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rates\model\InputDataProcessing\CarbonPrice\Revised2019\"/>
    </mc:Choice>
  </mc:AlternateContent>
  <bookViews>
    <workbookView xWindow="0" yWindow="0" windowWidth="19200" windowHeight="11175"/>
  </bookViews>
  <sheets>
    <sheet name="Cover" sheetId="1" r:id="rId1"/>
    <sheet name="GHG Price Calculations" sheetId="4" r:id="rId2"/>
    <sheet name="Auction Data" sheetId="9" r:id="rId3"/>
  </sheets>
  <definedNames>
    <definedName name="_xlnm.Print_Area" localSheetId="2">'Auction Data'!$A$1:$I$47</definedName>
    <definedName name="_xlnm.Print_Area" localSheetId="1">'GHG Price Calculations'!$A$3:$S$38</definedName>
    <definedName name="_xlnm.Print_Titles" localSheetId="1">'GHG Price Calculations'!$A:$A,'GHG Price Calculations'!$5:$5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45" i="4" l="1"/>
  <c r="B46" i="4"/>
  <c r="B44" i="4"/>
  <c r="A50" i="4" l="1"/>
  <c r="H11" i="4" l="1"/>
  <c r="H6" i="4" s="1"/>
  <c r="G11" i="4"/>
  <c r="F38" i="9"/>
  <c r="G38" i="9"/>
  <c r="F39" i="9"/>
  <c r="G39" i="9"/>
  <c r="F40" i="9"/>
  <c r="G40" i="9"/>
  <c r="F41" i="9"/>
  <c r="G41" i="9"/>
  <c r="F42" i="9"/>
  <c r="G42" i="9"/>
  <c r="F43" i="9"/>
  <c r="G43" i="9"/>
  <c r="G37" i="9"/>
  <c r="F37" i="9"/>
  <c r="E43" i="9"/>
  <c r="F8" i="9"/>
  <c r="F7" i="9"/>
  <c r="F6" i="9"/>
  <c r="F5" i="9"/>
  <c r="H7" i="4" l="1"/>
  <c r="H9" i="4"/>
  <c r="H8" i="4"/>
  <c r="H43" i="9"/>
  <c r="AE18" i="4" l="1"/>
  <c r="AF18" i="4"/>
  <c r="AG18" i="4"/>
  <c r="AH18" i="4"/>
  <c r="T18" i="4" l="1"/>
  <c r="U18" i="4"/>
  <c r="V18" i="4"/>
  <c r="W18" i="4"/>
  <c r="X18" i="4"/>
  <c r="Y18" i="4"/>
  <c r="Z18" i="4"/>
  <c r="AA18" i="4"/>
  <c r="AB18" i="4"/>
  <c r="AC18" i="4"/>
  <c r="AD18" i="4"/>
  <c r="D18" i="4" l="1"/>
  <c r="E18" i="4"/>
  <c r="F18" i="4"/>
  <c r="G18" i="4"/>
  <c r="H18" i="4"/>
  <c r="I18" i="4"/>
  <c r="J18" i="4"/>
  <c r="K18" i="4"/>
  <c r="L18" i="4"/>
  <c r="M18" i="4"/>
  <c r="N18" i="4"/>
  <c r="O18" i="4"/>
  <c r="P18" i="4"/>
  <c r="Q18" i="4"/>
  <c r="R18" i="4"/>
  <c r="S18" i="4"/>
  <c r="E38" i="9"/>
  <c r="E39" i="9" s="1"/>
  <c r="F33" i="9"/>
  <c r="F32" i="9"/>
  <c r="F31" i="9"/>
  <c r="F30" i="9"/>
  <c r="F29" i="9"/>
  <c r="F28" i="9"/>
  <c r="F27" i="9"/>
  <c r="F26" i="9"/>
  <c r="F25" i="9"/>
  <c r="F24" i="9"/>
  <c r="F23" i="9"/>
  <c r="F22" i="9"/>
  <c r="F21" i="9"/>
  <c r="F20" i="9"/>
  <c r="F19" i="9"/>
  <c r="F18" i="9"/>
  <c r="F17" i="9"/>
  <c r="A17" i="9"/>
  <c r="A21" i="9" s="1"/>
  <c r="A25" i="9" s="1"/>
  <c r="A29" i="9" s="1"/>
  <c r="F16" i="9"/>
  <c r="F15" i="9"/>
  <c r="F14" i="9"/>
  <c r="A14" i="9"/>
  <c r="F13" i="9"/>
  <c r="F12" i="9"/>
  <c r="F11" i="9"/>
  <c r="F10" i="9"/>
  <c r="F9" i="9"/>
  <c r="A15" i="9" l="1"/>
  <c r="E40" i="9"/>
  <c r="A18" i="9"/>
  <c r="A22" i="9" s="1"/>
  <c r="A26" i="9" s="1"/>
  <c r="A30" i="9" s="1"/>
  <c r="A25" i="4"/>
  <c r="A26" i="4"/>
  <c r="E41" i="9" l="1"/>
  <c r="A16" i="9"/>
  <c r="A19" i="9"/>
  <c r="A23" i="9" s="1"/>
  <c r="A27" i="9" s="1"/>
  <c r="A31" i="9" s="1"/>
  <c r="C18" i="4"/>
  <c r="E42" i="9" l="1"/>
  <c r="A20" i="9"/>
  <c r="A24" i="9" l="1"/>
  <c r="A28" i="9" l="1"/>
  <c r="A32" i="9" l="1"/>
  <c r="H37" i="9"/>
  <c r="B11" i="4" s="1"/>
  <c r="H40" i="9" l="1"/>
  <c r="E11" i="4" s="1"/>
  <c r="H42" i="9"/>
  <c r="H38" i="9"/>
  <c r="C11" i="4" s="1"/>
  <c r="H41" i="9" l="1"/>
  <c r="F11" i="4" s="1"/>
  <c r="H39" i="9"/>
  <c r="D11" i="4" s="1"/>
  <c r="D28" i="4" l="1"/>
  <c r="C28" i="4"/>
  <c r="B28" i="4"/>
  <c r="B29" i="4"/>
  <c r="J29" i="4"/>
  <c r="C29" i="4"/>
  <c r="F28" i="4"/>
  <c r="G28" i="4"/>
  <c r="H28" i="4"/>
  <c r="C51" i="4" l="1"/>
  <c r="C45" i="4"/>
  <c r="A24" i="4"/>
  <c r="A23" i="4"/>
  <c r="K16" i="4"/>
  <c r="L16" i="4" s="1"/>
  <c r="M16" i="4" s="1"/>
  <c r="N16" i="4" s="1"/>
  <c r="O16" i="4" s="1"/>
  <c r="P16" i="4" s="1"/>
  <c r="Q16" i="4" s="1"/>
  <c r="R16" i="4" s="1"/>
  <c r="S16" i="4" s="1"/>
  <c r="T16" i="4" s="1"/>
  <c r="U16" i="4" s="1"/>
  <c r="V16" i="4" s="1"/>
  <c r="W16" i="4" s="1"/>
  <c r="X16" i="4" s="1"/>
  <c r="Y16" i="4" s="1"/>
  <c r="Z16" i="4" s="1"/>
  <c r="AA16" i="4" s="1"/>
  <c r="AB16" i="4" s="1"/>
  <c r="AC16" i="4" s="1"/>
  <c r="AD16" i="4" s="1"/>
  <c r="AE16" i="4" s="1"/>
  <c r="AF16" i="4" s="1"/>
  <c r="AG16" i="4" s="1"/>
  <c r="AH16" i="4" s="1"/>
  <c r="K15" i="4"/>
  <c r="L15" i="4" s="1"/>
  <c r="M15" i="4" s="1"/>
  <c r="N15" i="4" s="1"/>
  <c r="O15" i="4" s="1"/>
  <c r="P15" i="4" s="1"/>
  <c r="Q15" i="4" s="1"/>
  <c r="R15" i="4" s="1"/>
  <c r="S15" i="4" s="1"/>
  <c r="K14" i="4"/>
  <c r="L14" i="4" s="1"/>
  <c r="M14" i="4" s="1"/>
  <c r="N14" i="4" s="1"/>
  <c r="O14" i="4" s="1"/>
  <c r="P14" i="4" s="1"/>
  <c r="Q14" i="4" s="1"/>
  <c r="R14" i="4" s="1"/>
  <c r="S14" i="4" s="1"/>
  <c r="K13" i="4"/>
  <c r="D13" i="4"/>
  <c r="D29" i="4" s="1"/>
  <c r="I28" i="4"/>
  <c r="E28" i="4"/>
  <c r="G23" i="4"/>
  <c r="F23" i="4"/>
  <c r="D6" i="4"/>
  <c r="C6" i="4"/>
  <c r="H24" i="4"/>
  <c r="T15" i="4" l="1"/>
  <c r="U15" i="4" s="1"/>
  <c r="V15" i="4" s="1"/>
  <c r="W15" i="4" s="1"/>
  <c r="X15" i="4" s="1"/>
  <c r="Y15" i="4" s="1"/>
  <c r="Z15" i="4" s="1"/>
  <c r="AA15" i="4" s="1"/>
  <c r="AB15" i="4" s="1"/>
  <c r="AC15" i="4" s="1"/>
  <c r="AD15" i="4" s="1"/>
  <c r="AE15" i="4" s="1"/>
  <c r="AF15" i="4" s="1"/>
  <c r="AG15" i="4" s="1"/>
  <c r="AH15" i="4" s="1"/>
  <c r="B51" i="4"/>
  <c r="D51" i="4" s="1"/>
  <c r="T14" i="4"/>
  <c r="D45" i="4"/>
  <c r="T8" i="4"/>
  <c r="T25" i="4" s="1"/>
  <c r="U14" i="4"/>
  <c r="I7" i="4"/>
  <c r="I24" i="4" s="1"/>
  <c r="E13" i="4"/>
  <c r="E29" i="4" s="1"/>
  <c r="L13" i="4"/>
  <c r="L29" i="4" s="1"/>
  <c r="K29" i="4"/>
  <c r="B23" i="4"/>
  <c r="F6" i="4"/>
  <c r="C23" i="4"/>
  <c r="B6" i="4"/>
  <c r="G6" i="4"/>
  <c r="D23" i="4"/>
  <c r="E23" i="4"/>
  <c r="E6" i="4"/>
  <c r="J12" i="4"/>
  <c r="J28" i="4" s="1"/>
  <c r="F13" i="4"/>
  <c r="F29" i="4" s="1"/>
  <c r="V14" i="4" l="1"/>
  <c r="U8" i="4"/>
  <c r="U25" i="4" s="1"/>
  <c r="M13" i="4"/>
  <c r="M29" i="4" s="1"/>
  <c r="G7" i="4"/>
  <c r="G8" i="4"/>
  <c r="G9" i="4"/>
  <c r="D44" i="4"/>
  <c r="E44" i="4" s="1" a="1"/>
  <c r="B50" i="4"/>
  <c r="D50" i="4" s="1"/>
  <c r="E50" i="4" s="1" a="1"/>
  <c r="G13" i="4"/>
  <c r="G29" i="4" s="1"/>
  <c r="K12" i="4"/>
  <c r="K28" i="4" s="1"/>
  <c r="J7" i="4"/>
  <c r="J24" i="4" s="1"/>
  <c r="W14" i="4" l="1"/>
  <c r="V8" i="4"/>
  <c r="V25" i="4" s="1"/>
  <c r="N13" i="4"/>
  <c r="N29" i="4" s="1"/>
  <c r="F45" i="4"/>
  <c r="E45" i="4"/>
  <c r="F44" i="4"/>
  <c r="E44" i="4"/>
  <c r="I8" i="4" s="1"/>
  <c r="F46" i="4"/>
  <c r="E46" i="4"/>
  <c r="F51" i="4"/>
  <c r="E51" i="4"/>
  <c r="F50" i="4"/>
  <c r="E50" i="4"/>
  <c r="F52" i="4"/>
  <c r="E52" i="4"/>
  <c r="L12" i="4"/>
  <c r="L28" i="4" s="1"/>
  <c r="K7" i="4"/>
  <c r="K24" i="4" s="1"/>
  <c r="H13" i="4"/>
  <c r="H29" i="4" s="1"/>
  <c r="J9" i="4" l="1"/>
  <c r="J26" i="4" s="1"/>
  <c r="I9" i="4"/>
  <c r="I26" i="4" s="1"/>
  <c r="K9" i="4"/>
  <c r="K26" i="4" s="1"/>
  <c r="K8" i="4"/>
  <c r="L8" i="4"/>
  <c r="J8" i="4"/>
  <c r="X14" i="4"/>
  <c r="W8" i="4"/>
  <c r="W25" i="4" s="1"/>
  <c r="O13" i="4"/>
  <c r="O29" i="4" s="1"/>
  <c r="H26" i="4"/>
  <c r="L7" i="4"/>
  <c r="L24" i="4" s="1"/>
  <c r="M12" i="4"/>
  <c r="M28" i="4" s="1"/>
  <c r="H25" i="4"/>
  <c r="I13" i="4"/>
  <c r="I29" i="4" s="1"/>
  <c r="L9" i="4" l="1"/>
  <c r="L26" i="4" s="1"/>
  <c r="J25" i="4"/>
  <c r="K25" i="4"/>
  <c r="I25" i="4"/>
  <c r="Y14" i="4"/>
  <c r="X8" i="4"/>
  <c r="X25" i="4" s="1"/>
  <c r="P13" i="4"/>
  <c r="P29" i="4" s="1"/>
  <c r="N12" i="4"/>
  <c r="N28" i="4" s="1"/>
  <c r="M7" i="4"/>
  <c r="M9" i="4" l="1"/>
  <c r="M8" i="4"/>
  <c r="L25" i="4"/>
  <c r="Z14" i="4"/>
  <c r="Y8" i="4"/>
  <c r="Y25" i="4" s="1"/>
  <c r="Q13" i="4"/>
  <c r="Q29" i="4" s="1"/>
  <c r="M24" i="4"/>
  <c r="M26" i="4"/>
  <c r="O12" i="4"/>
  <c r="O28" i="4" s="1"/>
  <c r="N7" i="4"/>
  <c r="N8" i="4" l="1"/>
  <c r="N9" i="4"/>
  <c r="M25" i="4"/>
  <c r="AA14" i="4"/>
  <c r="Z8" i="4"/>
  <c r="Z25" i="4" s="1"/>
  <c r="R13" i="4"/>
  <c r="R29" i="4" s="1"/>
  <c r="N24" i="4"/>
  <c r="N26" i="4"/>
  <c r="O7" i="4"/>
  <c r="P12" i="4"/>
  <c r="P28" i="4" s="1"/>
  <c r="O9" i="4" l="1"/>
  <c r="O26" i="4" s="1"/>
  <c r="O8" i="4"/>
  <c r="N25" i="4"/>
  <c r="AB14" i="4"/>
  <c r="AA8" i="4"/>
  <c r="AA25" i="4" s="1"/>
  <c r="S13" i="4"/>
  <c r="O24" i="4"/>
  <c r="P7" i="4"/>
  <c r="Q12" i="4"/>
  <c r="Q28" i="4" s="1"/>
  <c r="P8" i="4" l="1"/>
  <c r="P9" i="4"/>
  <c r="P26" i="4" s="1"/>
  <c r="O25" i="4"/>
  <c r="S29" i="4"/>
  <c r="T13" i="4"/>
  <c r="U13" i="4" s="1"/>
  <c r="V13" i="4" s="1"/>
  <c r="W13" i="4" s="1"/>
  <c r="X13" i="4" s="1"/>
  <c r="Y13" i="4" s="1"/>
  <c r="Z13" i="4" s="1"/>
  <c r="AA13" i="4" s="1"/>
  <c r="AB13" i="4" s="1"/>
  <c r="AC13" i="4" s="1"/>
  <c r="AD13" i="4" s="1"/>
  <c r="AE13" i="4" s="1"/>
  <c r="AF13" i="4" s="1"/>
  <c r="AG13" i="4" s="1"/>
  <c r="AH13" i="4" s="1"/>
  <c r="AC14" i="4"/>
  <c r="AB8" i="4"/>
  <c r="AB25" i="4" s="1"/>
  <c r="P24" i="4"/>
  <c r="Q7" i="4"/>
  <c r="R12" i="4"/>
  <c r="R28" i="4" s="1"/>
  <c r="Q8" i="4" l="1"/>
  <c r="Q9" i="4"/>
  <c r="Q26" i="4" s="1"/>
  <c r="P25" i="4"/>
  <c r="AD14" i="4"/>
  <c r="AC8" i="4"/>
  <c r="AC25" i="4" s="1"/>
  <c r="R7" i="4"/>
  <c r="S12" i="4"/>
  <c r="Q24" i="4"/>
  <c r="R9" i="4" l="1"/>
  <c r="R26" i="4" s="1"/>
  <c r="R8" i="4"/>
  <c r="R25" i="4" s="1"/>
  <c r="Q25" i="4"/>
  <c r="AE14" i="4"/>
  <c r="AD8" i="4"/>
  <c r="AD25" i="4" s="1"/>
  <c r="S28" i="4"/>
  <c r="T12" i="4"/>
  <c r="S7" i="4"/>
  <c r="R24" i="4"/>
  <c r="S8" i="4" l="1"/>
  <c r="S9" i="4"/>
  <c r="AF14" i="4"/>
  <c r="AE8" i="4"/>
  <c r="AE25" i="4" s="1"/>
  <c r="U12" i="4"/>
  <c r="T7" i="4"/>
  <c r="T24" i="4" s="1"/>
  <c r="S24" i="4"/>
  <c r="AG14" i="4" l="1"/>
  <c r="AF8" i="4"/>
  <c r="AF25" i="4" s="1"/>
  <c r="V12" i="4"/>
  <c r="U7" i="4"/>
  <c r="U24" i="4" s="1"/>
  <c r="S25" i="4"/>
  <c r="S26" i="4"/>
  <c r="AH14" i="4" l="1"/>
  <c r="AG8" i="4"/>
  <c r="AG25" i="4" s="1"/>
  <c r="W12" i="4"/>
  <c r="V7" i="4"/>
  <c r="V24" i="4" s="1"/>
  <c r="AH8" i="4" l="1"/>
  <c r="AH25" i="4" s="1"/>
  <c r="X12" i="4"/>
  <c r="W7" i="4"/>
  <c r="W24" i="4" s="1"/>
  <c r="Y12" i="4" l="1"/>
  <c r="X7" i="4"/>
  <c r="X24" i="4" s="1"/>
  <c r="Z12" i="4" l="1"/>
  <c r="Y7" i="4"/>
  <c r="Y24" i="4" s="1"/>
  <c r="AA12" i="4" l="1"/>
  <c r="Z7" i="4"/>
  <c r="Z24" i="4" s="1"/>
  <c r="AB12" i="4" l="1"/>
  <c r="AA7" i="4"/>
  <c r="AA24" i="4" s="1"/>
  <c r="AC12" i="4" l="1"/>
  <c r="AB7" i="4"/>
  <c r="AB24" i="4" s="1"/>
  <c r="AD12" i="4" l="1"/>
  <c r="AC7" i="4"/>
  <c r="AC24" i="4" s="1"/>
  <c r="AE12" i="4" l="1"/>
  <c r="AD7" i="4"/>
  <c r="AD24" i="4" s="1"/>
  <c r="AF12" i="4" l="1"/>
  <c r="AE7" i="4"/>
  <c r="AE24" i="4" s="1"/>
  <c r="AG12" i="4" l="1"/>
  <c r="AF7" i="4"/>
  <c r="AF24" i="4" s="1"/>
  <c r="AH12" i="4" l="1"/>
  <c r="AH7" i="4" s="1"/>
  <c r="AH24" i="4" s="1"/>
  <c r="AG7" i="4"/>
  <c r="AG24" i="4" s="1"/>
</calcChain>
</file>

<file path=xl/sharedStrings.xml><?xml version="1.0" encoding="utf-8"?>
<sst xmlns="http://schemas.openxmlformats.org/spreadsheetml/2006/main" count="82" uniqueCount="80">
  <si>
    <t>PROPOSED AMENDMENTS TO THE CALIFORNIA CAP ON GREENHOUSE GAS EMISSIONS AND</t>
  </si>
  <si>
    <t>MARKET-BASED COMPLIANCE MECHANISMS</t>
  </si>
  <si>
    <r>
      <t xml:space="preserve">Carbon Price </t>
    </r>
    <r>
      <rPr>
        <b/>
        <sz val="11"/>
        <color indexed="8"/>
        <rFont val="Calibri"/>
        <family val="2"/>
      </rPr>
      <t>(Nominal$/metric ton CO</t>
    </r>
    <r>
      <rPr>
        <b/>
        <vertAlign val="subscript"/>
        <sz val="11"/>
        <color indexed="8"/>
        <rFont val="Calibri"/>
        <family val="2"/>
      </rPr>
      <t>2</t>
    </r>
    <r>
      <rPr>
        <b/>
        <sz val="11"/>
        <color indexed="8"/>
        <rFont val="Calibri"/>
        <family val="2"/>
      </rPr>
      <t>e)</t>
    </r>
    <r>
      <rPr>
        <b/>
        <vertAlign val="superscript"/>
        <sz val="11"/>
        <color indexed="8"/>
        <rFont val="Calibri"/>
        <family val="2"/>
      </rPr>
      <t>1</t>
    </r>
  </si>
  <si>
    <r>
      <t>Annual Average Auction Sale Price</t>
    </r>
    <r>
      <rPr>
        <vertAlign val="superscript"/>
        <sz val="11"/>
        <color theme="1"/>
        <rFont val="Calibri"/>
        <family val="2"/>
        <scheme val="minor"/>
      </rPr>
      <t>2</t>
    </r>
  </si>
  <si>
    <r>
      <t xml:space="preserve">Tier 1 APCR / post-2020 price ceiling </t>
    </r>
    <r>
      <rPr>
        <vertAlign val="superscript"/>
        <sz val="11"/>
        <color theme="1"/>
        <rFont val="Calibri"/>
        <family val="2"/>
        <scheme val="minor"/>
      </rPr>
      <t>4</t>
    </r>
  </si>
  <si>
    <t>Post 2020 Price Ceiling</t>
  </si>
  <si>
    <t>CPI Annual Rate of Change</t>
  </si>
  <si>
    <r>
      <t xml:space="preserve">Carbon Price </t>
    </r>
    <r>
      <rPr>
        <b/>
        <sz val="11"/>
        <color indexed="8"/>
        <rFont val="Calibri"/>
        <family val="2"/>
      </rPr>
      <t>(2018$/metric ton CO</t>
    </r>
    <r>
      <rPr>
        <b/>
        <vertAlign val="subscript"/>
        <sz val="11"/>
        <color indexed="8"/>
        <rFont val="Calibri"/>
        <family val="2"/>
      </rPr>
      <t>2</t>
    </r>
    <r>
      <rPr>
        <b/>
        <sz val="11"/>
        <color indexed="8"/>
        <rFont val="Calibri"/>
        <family val="2"/>
      </rPr>
      <t>e)</t>
    </r>
  </si>
  <si>
    <t>Reserve Price</t>
  </si>
  <si>
    <t>Tier 1 APCR / Post-2020 Price Ceiling</t>
  </si>
  <si>
    <t>Regression Estimates for exponential curves</t>
  </si>
  <si>
    <t>Current and Target Price in 2030</t>
  </si>
  <si>
    <t>Mid case</t>
  </si>
  <si>
    <t>Fitted exponential coefs</t>
  </si>
  <si>
    <t>Mid</t>
  </si>
  <si>
    <t>t</t>
  </si>
  <si>
    <t>APCR</t>
  </si>
  <si>
    <t>high price</t>
  </si>
  <si>
    <t>Post 2020 Tier Price 1</t>
  </si>
  <si>
    <t>Post 2020 Tier Price 2</t>
  </si>
  <si>
    <t>Annual Average Auction Sale Price</t>
  </si>
  <si>
    <r>
      <t>Annual Auction Reserve  Price</t>
    </r>
    <r>
      <rPr>
        <vertAlign val="superscript"/>
        <sz val="11"/>
        <color theme="1"/>
        <rFont val="Calibri"/>
        <family val="2"/>
        <scheme val="minor"/>
      </rPr>
      <t>3</t>
    </r>
  </si>
  <si>
    <r>
      <t xml:space="preserve">GDP Implicit Deflator Series  2018=1 </t>
    </r>
    <r>
      <rPr>
        <vertAlign val="superscript"/>
        <sz val="11"/>
        <color theme="1"/>
        <rFont val="Calibri"/>
        <family val="2"/>
        <scheme val="minor"/>
      </rPr>
      <t>5</t>
    </r>
  </si>
  <si>
    <t>price</t>
  </si>
  <si>
    <t>revenues</t>
  </si>
  <si>
    <t>volume</t>
  </si>
  <si>
    <t>Annual</t>
  </si>
  <si>
    <t xml:space="preserve">Source: http://www.arb.ca.gov/cc/capandtrade/auction/auction.htm </t>
  </si>
  <si>
    <r>
      <rPr>
        <b/>
        <sz val="12"/>
        <rFont val="Arial"/>
        <family val="2"/>
      </rPr>
      <t>November 2012 Auction #1</t>
    </r>
  </si>
  <si>
    <r>
      <rPr>
        <b/>
        <sz val="12"/>
        <rFont val="Arial"/>
        <family val="2"/>
      </rPr>
      <t>February 2013 Auction #2</t>
    </r>
  </si>
  <si>
    <r>
      <rPr>
        <b/>
        <sz val="12"/>
        <rFont val="Arial"/>
        <family val="2"/>
      </rPr>
      <t>May 2013 Auction #3</t>
    </r>
  </si>
  <si>
    <r>
      <rPr>
        <b/>
        <sz val="12"/>
        <rFont val="Arial"/>
        <family val="2"/>
      </rPr>
      <t>August 2013 Auction #4</t>
    </r>
  </si>
  <si>
    <r>
      <rPr>
        <b/>
        <sz val="12"/>
        <rFont val="Arial"/>
        <family val="2"/>
      </rPr>
      <t>November 2013 Auction #5</t>
    </r>
  </si>
  <si>
    <r>
      <rPr>
        <b/>
        <sz val="12"/>
        <rFont val="Arial"/>
        <family val="2"/>
      </rPr>
      <t>February 2014 Auction #6</t>
    </r>
  </si>
  <si>
    <r>
      <rPr>
        <b/>
        <sz val="12"/>
        <rFont val="Arial"/>
        <family val="2"/>
      </rPr>
      <t>May 2014 Auction #7</t>
    </r>
  </si>
  <si>
    <r>
      <rPr>
        <b/>
        <sz val="12"/>
        <rFont val="Arial"/>
        <family val="2"/>
      </rPr>
      <t>August 2014 Auction #8</t>
    </r>
  </si>
  <si>
    <r>
      <rPr>
        <b/>
        <sz val="12"/>
        <rFont val="Arial"/>
        <family val="2"/>
      </rPr>
      <t>November 2014 Joint Auction #1</t>
    </r>
  </si>
  <si>
    <r>
      <rPr>
        <b/>
        <sz val="12"/>
        <rFont val="Arial"/>
        <family val="2"/>
      </rPr>
      <t>February 2015 Joint Auction #2</t>
    </r>
  </si>
  <si>
    <r>
      <rPr>
        <b/>
        <sz val="12"/>
        <rFont val="Arial"/>
        <family val="2"/>
      </rPr>
      <t>May 2015 Joint Auction #3</t>
    </r>
  </si>
  <si>
    <r>
      <rPr>
        <b/>
        <sz val="12"/>
        <rFont val="Arial"/>
        <family val="2"/>
      </rPr>
      <t>August 2015 Joint Auction #4</t>
    </r>
  </si>
  <si>
    <r>
      <rPr>
        <b/>
        <sz val="12"/>
        <rFont val="Arial"/>
        <family val="2"/>
      </rPr>
      <t>November 2015 Joint Auction #5</t>
    </r>
  </si>
  <si>
    <r>
      <rPr>
        <b/>
        <sz val="12"/>
        <rFont val="Arial"/>
        <family val="2"/>
      </rPr>
      <t>February 2016 Joint Auction #6</t>
    </r>
  </si>
  <si>
    <r>
      <rPr>
        <b/>
        <sz val="12"/>
        <rFont val="Arial"/>
        <family val="2"/>
      </rPr>
      <t>May 2016 Joint Auction #7</t>
    </r>
  </si>
  <si>
    <r>
      <rPr>
        <b/>
        <sz val="12"/>
        <rFont val="Arial"/>
        <family val="2"/>
      </rPr>
      <t>August 2016 Joint Auction #8</t>
    </r>
  </si>
  <si>
    <r>
      <rPr>
        <b/>
        <sz val="12"/>
        <rFont val="Arial"/>
        <family val="2"/>
      </rPr>
      <t>November 2016 Joint Auction #9</t>
    </r>
  </si>
  <si>
    <r>
      <rPr>
        <b/>
        <sz val="12"/>
        <rFont val="Arial"/>
        <family val="2"/>
      </rPr>
      <t>February 2017 Joint Auction #10</t>
    </r>
  </si>
  <si>
    <r>
      <rPr>
        <b/>
        <sz val="12"/>
        <rFont val="Arial"/>
        <family val="2"/>
      </rPr>
      <t>May 2017 Joint Auction #11</t>
    </r>
  </si>
  <si>
    <r>
      <rPr>
        <b/>
        <sz val="12"/>
        <rFont val="Arial"/>
        <family val="2"/>
      </rPr>
      <t>August 2017 Joint Auction #12</t>
    </r>
  </si>
  <si>
    <r>
      <rPr>
        <b/>
        <sz val="12"/>
        <rFont val="Arial"/>
        <family val="2"/>
      </rPr>
      <t>November 2017 Joint Auction #13</t>
    </r>
  </si>
  <si>
    <t>August 2018 Joint Auction #16</t>
  </si>
  <si>
    <t>November 2018 Joint Auction #17</t>
  </si>
  <si>
    <r>
      <rPr>
        <b/>
        <sz val="12"/>
        <rFont val="Arial"/>
        <family val="2"/>
      </rPr>
      <t>Advance Auction Settlement Price</t>
    </r>
  </si>
  <si>
    <r>
      <rPr>
        <b/>
        <sz val="12"/>
        <rFont val="Arial"/>
        <family val="2"/>
      </rPr>
      <t>Total Future Vintage Allowances Sold</t>
    </r>
  </si>
  <si>
    <r>
      <rPr>
        <b/>
        <sz val="12"/>
        <rFont val="Arial"/>
        <family val="2"/>
      </rPr>
      <t>Total Future Vintage Allowances Offered</t>
    </r>
  </si>
  <si>
    <t>Revenues</t>
  </si>
  <si>
    <r>
      <rPr>
        <b/>
        <sz val="12"/>
        <rFont val="Arial"/>
        <family val="2"/>
      </rPr>
      <t>Current Auction Settlement Price</t>
    </r>
  </si>
  <si>
    <r>
      <rPr>
        <b/>
        <sz val="12"/>
        <rFont val="Arial"/>
        <family val="2"/>
      </rPr>
      <t>Total Current Vintage Allowances Sold</t>
    </r>
  </si>
  <si>
    <r>
      <rPr>
        <b/>
        <sz val="12"/>
        <rFont val="Arial"/>
        <family val="2"/>
      </rPr>
      <t>Total Current Vintage Allowances Offered</t>
    </r>
  </si>
  <si>
    <r>
      <rPr>
        <b/>
        <sz val="12"/>
        <rFont val="Arial"/>
        <family val="2"/>
      </rPr>
      <t>Auction Name</t>
    </r>
  </si>
  <si>
    <r>
      <rPr>
        <b/>
        <sz val="12"/>
        <rFont val="Arial"/>
        <family val="2"/>
      </rPr>
      <t>SUMMARY OF JOINT AUCTION SETTLEMENT PRICES AND RESULTS</t>
    </r>
  </si>
  <si>
    <r>
      <rPr>
        <b/>
        <sz val="12"/>
        <rFont val="Arial"/>
        <family val="2"/>
      </rPr>
      <t>CALIFORNIA CAP-AND-TRADE PROGRAM</t>
    </r>
  </si>
  <si>
    <t>Low Price (High Demand Scenario)</t>
  </si>
  <si>
    <t>Mid Price (Mid Demand Scenario)</t>
  </si>
  <si>
    <t>High Price (Low Demand Scenario)</t>
  </si>
  <si>
    <t>May 2018 Joint Auction #15</t>
  </si>
  <si>
    <t>February 2018 Joint Auction #14</t>
  </si>
  <si>
    <t>NOTE: Auction revenues will include consigned allowances, so revenues column include proceeds distributed to utilities</t>
  </si>
  <si>
    <t xml:space="preserve">State versus consignment revenues may be found at: </t>
  </si>
  <si>
    <t>https://www.arb.ca.gov/cc/capandtrade/auction/proceeds_summary.pdf</t>
  </si>
  <si>
    <r>
      <t>CPI: Urban Consumer - All Items, (Index, 2018=1)</t>
    </r>
    <r>
      <rPr>
        <vertAlign val="superscript"/>
        <sz val="11"/>
        <color theme="1"/>
        <rFont val="Calibri"/>
        <family val="2"/>
        <scheme val="minor"/>
      </rPr>
      <t>5</t>
    </r>
  </si>
  <si>
    <r>
      <rPr>
        <b/>
        <sz val="12"/>
        <rFont val="Arial"/>
        <family val="2"/>
      </rPr>
      <t>November 2019 Joint Auction #21</t>
    </r>
  </si>
  <si>
    <r>
      <rPr>
        <b/>
        <sz val="12"/>
        <rFont val="Arial"/>
        <family val="2"/>
      </rPr>
      <t>August 2019 Joint Auction #20</t>
    </r>
  </si>
  <si>
    <r>
      <rPr>
        <b/>
        <sz val="12"/>
        <rFont val="Arial"/>
        <family val="2"/>
      </rPr>
      <t>May 2019 Joint Auction #19</t>
    </r>
  </si>
  <si>
    <r>
      <rPr>
        <b/>
        <sz val="12"/>
        <rFont val="Arial"/>
        <family val="2"/>
      </rPr>
      <t>February 2019 Joint Auction #18</t>
    </r>
  </si>
  <si>
    <t>Revised 2019 IEPR Carbon Price Projections</t>
  </si>
  <si>
    <r>
      <rPr>
        <vertAlign val="superscript"/>
        <sz val="11"/>
        <color theme="1"/>
        <rFont val="Calibri"/>
        <family val="2"/>
      </rPr>
      <t>2</t>
    </r>
    <r>
      <rPr>
        <sz val="11"/>
        <color theme="1"/>
        <rFont val="Calibri"/>
        <family val="2"/>
      </rPr>
      <t xml:space="preserve"> 2013 through 2019 prices are the volume-weighed average Vintage Settlement Price of all  auctions (February, May, August and November). </t>
    </r>
  </si>
  <si>
    <r>
      <rPr>
        <vertAlign val="superscript"/>
        <sz val="12"/>
        <color indexed="8"/>
        <rFont val="Calibri"/>
        <family val="2"/>
      </rPr>
      <t>4</t>
    </r>
    <r>
      <rPr>
        <sz val="11"/>
        <color indexed="8"/>
        <rFont val="Calibri"/>
        <family val="2"/>
      </rPr>
      <t xml:space="preserve"> 17 CCR § § 95915. Price Ceiling Sales.</t>
    </r>
  </si>
  <si>
    <r>
      <rPr>
        <vertAlign val="superscript"/>
        <sz val="11"/>
        <color indexed="8"/>
        <rFont val="Calibri"/>
        <family val="2"/>
      </rPr>
      <t xml:space="preserve">1 </t>
    </r>
    <r>
      <rPr>
        <sz val="11"/>
        <color indexed="8"/>
        <rFont val="Calibri"/>
        <family val="2"/>
      </rPr>
      <t xml:space="preserve">The low consumption (high price) scenario assumes that prices reach the Tier 2 price by 2030.  In the high consumption (low price) scenario, prices escalate at the rate of the auction reserve price (CPI +5%). In the mid case, prices are assumed to reach Tier 1 Price in 2030.
</t>
    </r>
  </si>
  <si>
    <r>
      <rPr>
        <vertAlign val="superscript"/>
        <sz val="11"/>
        <color theme="1"/>
        <rFont val="Calibri"/>
        <family val="2"/>
      </rPr>
      <t xml:space="preserve">3 </t>
    </r>
    <r>
      <rPr>
        <sz val="11"/>
        <color theme="1"/>
        <rFont val="Calibri"/>
        <family val="2"/>
      </rPr>
      <t>Price increases in calendar years subsequent to 2019 will be equal to the offer price for each tier from the previous calendar year increased by five percent plus the rate of inflation as measured by the Consumer Price Index for All Urban Consumers.</t>
    </r>
  </si>
  <si>
    <r>
      <rPr>
        <vertAlign val="superscript"/>
        <sz val="12"/>
        <color indexed="8"/>
        <rFont val="Calibri"/>
        <family val="2"/>
      </rPr>
      <t>5</t>
    </r>
    <r>
      <rPr>
        <sz val="11"/>
        <color indexed="8"/>
        <rFont val="Calibri"/>
        <family val="2"/>
      </rPr>
      <t xml:space="preserve"> Moody's Analytics, June 2019.</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</si>
</sst>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43" formatCode="_(* #,##0.00_);_(* \(#,##0.00\);_(* &quot;-&quot;??_);_(@_)"/>
    <numFmt numFmtId="164" formatCode="_(* #,##0.000000000000000000_);_(* \(#,##0.000000000000000000\);_(* &quot;-&quot;??_);_(@_)"/>
    <numFmt numFmtId="165" formatCode="_(* #,##0.0000_);_(* \(#,##0.0000\);_(* &quot;-&quot;??_);_(@_)"/>
    <numFmt numFmtId="166" formatCode="0.00000000000"/>
    <numFmt numFmtId="167" formatCode="0.0000"/>
    <numFmt numFmtId="168" formatCode="0.000"/>
    <numFmt numFmtId="169" formatCode="_(* #,##0.000_);_(* \(#,##0.000\);_(* &quot;-&quot;??_);_(@_)"/>
    <numFmt numFmtId="170" formatCode="_(* #,##0.0_);_(* \(#,##0.0\);_(* &quot;-&quot;??_);_(@_)"/>
    <numFmt numFmtId="171" formatCode="0_);\(0\)"/>
    <numFmt numFmtId="172" formatCode="\$0.00"/>
    <numFmt numFmtId="173" formatCode="0.0000000000000"/>
  </numFmts>
  <fonts count="21" x14ac:knownFonts="1">
    <font>
      <sz val="11"/>
      <color theme="1"/>
      <name val="Calibri"/>
      <family val="2"/>
      <scheme val="minor"/>
    </font>
    <font>
      <sz val="11"/>
      <color theme="1"/>
      <name val="Calibri"/>
      <family val="2"/>
      <scheme val="minor"/>
    </font>
    <font>
      <b/>
      <sz val="11"/>
      <color theme="1"/>
      <name val="Calibri"/>
      <family val="2"/>
      <scheme val="minor"/>
    </font>
    <font>
      <b/>
      <sz val="11"/>
      <color theme="1"/>
      <name val="Arial"/>
      <family val="2"/>
    </font>
    <font>
      <b/>
      <sz val="11"/>
      <color indexed="8"/>
      <name val="Calibri"/>
      <family val="2"/>
    </font>
    <font>
      <b/>
      <vertAlign val="subscript"/>
      <sz val="11"/>
      <color indexed="8"/>
      <name val="Calibri"/>
      <family val="2"/>
    </font>
    <font>
      <b/>
      <vertAlign val="superscript"/>
      <sz val="11"/>
      <color indexed="8"/>
      <name val="Calibri"/>
      <family val="2"/>
    </font>
    <font>
      <vertAlign val="superscript"/>
      <sz val="11"/>
      <color theme="1"/>
      <name val="Calibri"/>
      <family val="2"/>
      <scheme val="minor"/>
    </font>
    <font>
      <sz val="11"/>
      <color indexed="8"/>
      <name val="Calibri"/>
      <family val="2"/>
    </font>
    <font>
      <vertAlign val="superscript"/>
      <sz val="11"/>
      <color indexed="8"/>
      <name val="Calibri"/>
      <family val="2"/>
    </font>
    <font>
      <sz val="11"/>
      <color theme="1"/>
      <name val="Calibri"/>
      <family val="2"/>
    </font>
    <font>
      <vertAlign val="superscript"/>
      <sz val="11"/>
      <color theme="1"/>
      <name val="Calibri"/>
      <family val="2"/>
    </font>
    <font>
      <vertAlign val="superscript"/>
      <sz val="12"/>
      <color indexed="8"/>
      <name val="Calibri"/>
      <family val="2"/>
    </font>
    <font>
      <sz val="10"/>
      <color rgb="FF000000"/>
      <name val="Times New Roman"/>
      <family val="1"/>
    </font>
    <font>
      <sz val="12"/>
      <color rgb="FF000000"/>
      <name val="Arial"/>
      <family val="2"/>
    </font>
    <font>
      <b/>
      <sz val="12"/>
      <name val="Arial"/>
      <family val="2"/>
    </font>
    <font>
      <sz val="12"/>
      <color indexed="8"/>
      <name val="Arial"/>
      <family val="2"/>
    </font>
    <font>
      <b/>
      <sz val="12"/>
      <color indexed="8"/>
      <name val="Arial"/>
      <family val="2"/>
    </font>
    <font>
      <b/>
      <sz val="11"/>
      <name val="Arial"/>
      <family val="2"/>
    </font>
    <font>
      <b/>
      <sz val="14"/>
      <color theme="1"/>
      <name val="Calibri"/>
      <family val="2"/>
      <scheme val="minor"/>
    </font>
    <font>
      <sz val="11"/>
      <name val="Calibri"/>
      <family val="2"/>
      <scheme val="minor"/>
    </font>
  </fonts>
  <fills count="7">
    <fill>
      <patternFill patternType="none"/>
    </fill>
    <fill>
      <patternFill patternType="gray125"/>
    </fill>
    <fill>
      <patternFill patternType="solid">
        <fgColor theme="0"/>
        <bgColor indexed="64"/>
      </patternFill>
    </fill>
    <fill>
      <patternFill patternType="solid">
        <fgColor rgb="FFB8CCE3"/>
      </patternFill>
    </fill>
    <fill>
      <patternFill patternType="solid">
        <fgColor rgb="FF4F81BC"/>
      </patternFill>
    </fill>
    <fill>
      <patternFill patternType="solid">
        <fgColor rgb="FFB8CCE3"/>
        <bgColor indexed="64"/>
      </patternFill>
    </fill>
    <fill>
      <patternFill patternType="solid">
        <fgColor rgb="FFDBE4F0"/>
      </patternFill>
    </fill>
  </fills>
  <borders count="14">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right/>
      <top/>
      <bottom style="thin">
        <color auto="1"/>
      </bottom>
      <diagonal/>
    </border>
    <border>
      <left/>
      <right style="thin">
        <color auto="1"/>
      </right>
      <top/>
      <bottom style="thin">
        <color auto="1"/>
      </bottom>
      <diagonal/>
    </border>
    <border>
      <left style="thin">
        <color auto="1"/>
      </left>
      <right/>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1F5F"/>
      </top>
      <bottom style="thin">
        <color rgb="FF000000"/>
      </bottom>
      <diagonal/>
    </border>
    <border>
      <left style="thin">
        <color rgb="FF000000"/>
      </left>
      <right/>
      <top style="thin">
        <color rgb="FF001F5F"/>
      </top>
      <bottom style="thin">
        <color rgb="FF000000"/>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13" fillId="0" borderId="0"/>
  </cellStyleXfs>
  <cellXfs count="101">
    <xf numFmtId="0" fontId="0" fillId="0" borderId="0" xfId="0"/>
    <xf numFmtId="164" fontId="0" fillId="0" borderId="0" xfId="1" applyNumberFormat="1" applyFont="1"/>
    <xf numFmtId="165" fontId="0" fillId="0" borderId="0" xfId="1" applyNumberFormat="1" applyFont="1"/>
    <xf numFmtId="0" fontId="2" fillId="0" borderId="0" xfId="0" applyFont="1"/>
    <xf numFmtId="166" fontId="0" fillId="0" borderId="0" xfId="1" applyNumberFormat="1" applyFont="1"/>
    <xf numFmtId="166" fontId="0" fillId="0" borderId="0" xfId="0" applyNumberFormat="1"/>
    <xf numFmtId="43" fontId="0" fillId="0" borderId="0" xfId="0" applyNumberFormat="1"/>
    <xf numFmtId="0" fontId="0" fillId="0" borderId="0" xfId="0" applyFill="1"/>
    <xf numFmtId="43" fontId="0" fillId="0" borderId="0" xfId="1" applyFont="1" applyFill="1"/>
    <xf numFmtId="2" fontId="0" fillId="0" borderId="0" xfId="0" applyNumberFormat="1"/>
    <xf numFmtId="168" fontId="0" fillId="0" borderId="0" xfId="0" applyNumberFormat="1"/>
    <xf numFmtId="0" fontId="0" fillId="2" borderId="0" xfId="0" applyFill="1"/>
    <xf numFmtId="43" fontId="0" fillId="0" borderId="0" xfId="1" applyFont="1"/>
    <xf numFmtId="2" fontId="0" fillId="0" borderId="0" xfId="0" applyNumberFormat="1" applyFont="1"/>
    <xf numFmtId="167" fontId="1" fillId="0" borderId="0" xfId="2" applyNumberFormat="1" applyFont="1" applyFill="1"/>
    <xf numFmtId="43" fontId="1" fillId="0" borderId="0" xfId="1" applyFont="1" applyFill="1"/>
    <xf numFmtId="169" fontId="1" fillId="0" borderId="0" xfId="1" applyNumberFormat="1" applyFont="1" applyFill="1"/>
    <xf numFmtId="10" fontId="1" fillId="0" borderId="0" xfId="2" applyNumberFormat="1" applyFont="1" applyFill="1"/>
    <xf numFmtId="2" fontId="0" fillId="0" borderId="0" xfId="0" applyNumberFormat="1" applyFill="1"/>
    <xf numFmtId="0" fontId="8" fillId="0" borderId="0" xfId="0" applyFont="1"/>
    <xf numFmtId="0" fontId="0" fillId="0" borderId="0" xfId="0" applyAlignment="1">
      <alignment horizontal="left" indent="2"/>
    </xf>
    <xf numFmtId="0" fontId="8" fillId="0" borderId="1" xfId="0" applyFont="1" applyBorder="1"/>
    <xf numFmtId="0" fontId="0" fillId="0" borderId="2" xfId="0" applyBorder="1"/>
    <xf numFmtId="0" fontId="0" fillId="0" borderId="3" xfId="0" applyBorder="1"/>
    <xf numFmtId="0" fontId="0" fillId="0" borderId="4" xfId="0" applyBorder="1"/>
    <xf numFmtId="0" fontId="2" fillId="0" borderId="0" xfId="0" applyFont="1" applyBorder="1"/>
    <xf numFmtId="0" fontId="0" fillId="0" borderId="0" xfId="0" applyBorder="1"/>
    <xf numFmtId="0" fontId="0" fillId="0" borderId="5" xfId="0" applyBorder="1"/>
    <xf numFmtId="0" fontId="0" fillId="0" borderId="4" xfId="0" applyBorder="1" applyAlignment="1">
      <alignment horizontal="right" indent="5"/>
    </xf>
    <xf numFmtId="170" fontId="0" fillId="0" borderId="0" xfId="0" applyNumberFormat="1" applyBorder="1"/>
    <xf numFmtId="171" fontId="0" fillId="0" borderId="0" xfId="0" applyNumberFormat="1" applyFill="1" applyBorder="1" applyAlignment="1">
      <alignment horizontal="left" vertical="top"/>
    </xf>
    <xf numFmtId="168" fontId="0" fillId="0" borderId="0" xfId="0" applyNumberFormat="1" applyFill="1" applyBorder="1" applyAlignment="1">
      <alignment horizontal="left" vertical="top"/>
    </xf>
    <xf numFmtId="168" fontId="2" fillId="0" borderId="0" xfId="1" applyNumberFormat="1" applyFont="1" applyFill="1" applyBorder="1" applyAlignment="1">
      <alignment horizontal="left" vertical="top"/>
    </xf>
    <xf numFmtId="168" fontId="2" fillId="0" borderId="5" xfId="1" applyNumberFormat="1" applyFont="1" applyFill="1" applyBorder="1" applyAlignment="1">
      <alignment horizontal="left" vertical="top"/>
    </xf>
    <xf numFmtId="168" fontId="0" fillId="0" borderId="5" xfId="0" applyNumberFormat="1" applyFill="1" applyBorder="1" applyAlignment="1">
      <alignment horizontal="left" vertical="top"/>
    </xf>
    <xf numFmtId="43" fontId="0" fillId="0" borderId="0" xfId="0" applyNumberFormat="1" applyBorder="1"/>
    <xf numFmtId="170" fontId="2" fillId="0" borderId="0" xfId="0" applyNumberFormat="1" applyFont="1" applyBorder="1"/>
    <xf numFmtId="0" fontId="0" fillId="0" borderId="4" xfId="0" applyBorder="1" applyAlignment="1">
      <alignment horizontal="right"/>
    </xf>
    <xf numFmtId="168" fontId="0" fillId="0" borderId="0" xfId="0" applyNumberFormat="1" applyBorder="1"/>
    <xf numFmtId="168" fontId="0" fillId="0" borderId="5" xfId="0" applyNumberFormat="1" applyBorder="1"/>
    <xf numFmtId="168" fontId="2" fillId="0" borderId="0" xfId="0" applyNumberFormat="1" applyFont="1" applyBorder="1"/>
    <xf numFmtId="168" fontId="0" fillId="0" borderId="6" xfId="0" applyNumberFormat="1" applyFill="1" applyBorder="1" applyAlignment="1">
      <alignment horizontal="left" vertical="top"/>
    </xf>
    <xf numFmtId="168" fontId="0" fillId="0" borderId="7" xfId="0" applyNumberFormat="1" applyFill="1" applyBorder="1" applyAlignment="1">
      <alignment horizontal="left" vertical="top"/>
    </xf>
    <xf numFmtId="0" fontId="0" fillId="0" borderId="8" xfId="0" applyBorder="1" applyAlignment="1">
      <alignment horizontal="right" indent="5"/>
    </xf>
    <xf numFmtId="170" fontId="2" fillId="0" borderId="6" xfId="0" applyNumberFormat="1" applyFont="1" applyBorder="1"/>
    <xf numFmtId="171" fontId="0" fillId="0" borderId="6" xfId="0" applyNumberFormat="1" applyFill="1" applyBorder="1" applyAlignment="1">
      <alignment horizontal="left" vertical="top"/>
    </xf>
    <xf numFmtId="43" fontId="2" fillId="0" borderId="0" xfId="1" applyFont="1" applyFill="1"/>
    <xf numFmtId="43" fontId="2" fillId="0" borderId="0" xfId="1" applyFont="1"/>
    <xf numFmtId="169" fontId="0" fillId="0" borderId="0" xfId="1" applyNumberFormat="1" applyFont="1"/>
    <xf numFmtId="0" fontId="13" fillId="0" borderId="0" xfId="3" applyFill="1" applyBorder="1" applyAlignment="1">
      <alignment horizontal="left" vertical="top"/>
    </xf>
    <xf numFmtId="0" fontId="13" fillId="0" borderId="0" xfId="3" applyFont="1" applyFill="1" applyBorder="1" applyAlignment="1">
      <alignment horizontal="left" vertical="top"/>
    </xf>
    <xf numFmtId="0" fontId="15" fillId="0" borderId="9" xfId="3" applyFont="1" applyFill="1" applyBorder="1" applyAlignment="1">
      <alignment horizontal="left" vertical="top" wrapText="1"/>
    </xf>
    <xf numFmtId="0" fontId="15" fillId="3" borderId="9" xfId="3" applyFont="1" applyFill="1" applyBorder="1" applyAlignment="1">
      <alignment horizontal="left" vertical="top" wrapText="1"/>
    </xf>
    <xf numFmtId="0" fontId="15" fillId="0" borderId="10" xfId="3" applyFont="1" applyFill="1" applyBorder="1" applyAlignment="1">
      <alignment horizontal="left" vertical="top" wrapText="1"/>
    </xf>
    <xf numFmtId="0" fontId="15" fillId="3" borderId="10" xfId="3" applyFont="1" applyFill="1" applyBorder="1" applyAlignment="1">
      <alignment horizontal="left" vertical="top" wrapText="1"/>
    </xf>
    <xf numFmtId="0" fontId="15" fillId="4" borderId="10" xfId="3" applyFont="1" applyFill="1" applyBorder="1" applyAlignment="1">
      <alignment horizontal="left" vertical="top" wrapText="1"/>
    </xf>
    <xf numFmtId="0" fontId="17" fillId="5" borderId="9" xfId="0" applyFont="1" applyFill="1" applyBorder="1" applyAlignment="1">
      <alignment horizontal="left" vertical="top" wrapText="1"/>
    </xf>
    <xf numFmtId="0" fontId="17" fillId="0" borderId="11" xfId="0" applyFont="1" applyBorder="1" applyAlignment="1">
      <alignment horizontal="left" vertical="top" wrapText="1"/>
    </xf>
    <xf numFmtId="0" fontId="18" fillId="0" borderId="0" xfId="3" applyFont="1" applyFill="1" applyBorder="1" applyAlignment="1">
      <alignment horizontal="center" vertical="top"/>
    </xf>
    <xf numFmtId="0" fontId="15" fillId="0" borderId="0" xfId="3" applyFont="1" applyFill="1" applyBorder="1" applyAlignment="1">
      <alignment horizontal="left" vertical="top"/>
    </xf>
    <xf numFmtId="43" fontId="0" fillId="0" borderId="0" xfId="1" applyNumberFormat="1" applyFont="1"/>
    <xf numFmtId="0" fontId="19" fillId="0" borderId="0" xfId="0" applyFont="1"/>
    <xf numFmtId="0" fontId="0" fillId="0" borderId="0" xfId="0" applyFill="1" applyAlignment="1">
      <alignment wrapText="1"/>
    </xf>
    <xf numFmtId="0" fontId="13" fillId="0" borderId="0" xfId="3" applyFill="1" applyBorder="1" applyAlignment="1">
      <alignment horizontal="center"/>
    </xf>
    <xf numFmtId="0" fontId="13" fillId="0" borderId="0" xfId="3" applyFill="1" applyBorder="1" applyAlignment="1">
      <alignment horizontal="center" vertical="top"/>
    </xf>
    <xf numFmtId="43" fontId="13" fillId="0" borderId="0" xfId="1" applyFont="1" applyFill="1" applyBorder="1" applyAlignment="1">
      <alignment horizontal="center"/>
    </xf>
    <xf numFmtId="0" fontId="15" fillId="4" borderId="9" xfId="3" applyFont="1" applyFill="1" applyBorder="1" applyAlignment="1">
      <alignment horizontal="center" wrapText="1"/>
    </xf>
    <xf numFmtId="43" fontId="15" fillId="4" borderId="9" xfId="1" applyFont="1" applyFill="1" applyBorder="1" applyAlignment="1">
      <alignment horizontal="center" wrapText="1"/>
    </xf>
    <xf numFmtId="3" fontId="16" fillId="0" borderId="11" xfId="0" applyNumberFormat="1" applyFont="1" applyBorder="1" applyAlignment="1">
      <alignment horizontal="center" wrapText="1"/>
    </xf>
    <xf numFmtId="172" fontId="14" fillId="0" borderId="9" xfId="3" applyNumberFormat="1" applyFont="1" applyFill="1" applyBorder="1" applyAlignment="1">
      <alignment horizontal="center" wrapText="1"/>
    </xf>
    <xf numFmtId="43" fontId="14" fillId="0" borderId="9" xfId="1" applyFont="1" applyFill="1" applyBorder="1" applyAlignment="1">
      <alignment horizontal="center" wrapText="1"/>
    </xf>
    <xf numFmtId="3" fontId="16" fillId="5" borderId="9" xfId="0" applyNumberFormat="1" applyFont="1" applyFill="1" applyBorder="1" applyAlignment="1">
      <alignment horizontal="center" wrapText="1"/>
    </xf>
    <xf numFmtId="172" fontId="14" fillId="3" borderId="9" xfId="3" applyNumberFormat="1" applyFont="1" applyFill="1" applyBorder="1" applyAlignment="1">
      <alignment horizontal="center" wrapText="1"/>
    </xf>
    <xf numFmtId="3" fontId="14" fillId="3" borderId="9" xfId="3" applyNumberFormat="1" applyFont="1" applyFill="1" applyBorder="1" applyAlignment="1">
      <alignment horizontal="center" wrapText="1"/>
    </xf>
    <xf numFmtId="3" fontId="14" fillId="0" borderId="9" xfId="3" applyNumberFormat="1" applyFont="1" applyFill="1" applyBorder="1" applyAlignment="1">
      <alignment horizontal="center" wrapText="1"/>
    </xf>
    <xf numFmtId="0" fontId="13" fillId="0" borderId="0" xfId="3" applyFont="1" applyFill="1" applyBorder="1" applyAlignment="1">
      <alignment horizontal="center" vertical="top"/>
    </xf>
    <xf numFmtId="0" fontId="0" fillId="0" borderId="0" xfId="0" applyAlignment="1">
      <alignment horizontal="center"/>
    </xf>
    <xf numFmtId="0" fontId="13" fillId="2" borderId="0" xfId="3" applyFill="1" applyBorder="1" applyAlignment="1">
      <alignment horizontal="left" vertical="top"/>
    </xf>
    <xf numFmtId="0" fontId="20" fillId="0" borderId="0" xfId="0" applyFont="1"/>
    <xf numFmtId="0" fontId="20" fillId="0" borderId="0" xfId="3" applyFont="1" applyFill="1" applyBorder="1" applyAlignment="1">
      <alignment horizontal="left" vertical="top"/>
    </xf>
    <xf numFmtId="0" fontId="15" fillId="0" borderId="12" xfId="0" applyFont="1" applyFill="1" applyBorder="1" applyAlignment="1">
      <alignment horizontal="left" vertical="top" wrapText="1"/>
    </xf>
    <xf numFmtId="3" fontId="14" fillId="0" borderId="12" xfId="0" applyNumberFormat="1" applyFont="1" applyFill="1" applyBorder="1" applyAlignment="1">
      <alignment horizontal="right" vertical="top" wrapText="1"/>
    </xf>
    <xf numFmtId="172" fontId="14" fillId="0" borderId="12" xfId="0" applyNumberFormat="1" applyFont="1" applyFill="1" applyBorder="1" applyAlignment="1">
      <alignment horizontal="left" vertical="top" wrapText="1" indent="2"/>
    </xf>
    <xf numFmtId="172" fontId="14" fillId="0" borderId="13" xfId="0" applyNumberFormat="1" applyFont="1" applyFill="1" applyBorder="1" applyAlignment="1">
      <alignment horizontal="right" vertical="top" wrapText="1" indent="1"/>
    </xf>
    <xf numFmtId="0" fontId="15" fillId="6" borderId="9" xfId="0" applyFont="1" applyFill="1" applyBorder="1" applyAlignment="1">
      <alignment horizontal="left" vertical="top" wrapText="1"/>
    </xf>
    <xf numFmtId="3" fontId="14" fillId="6" borderId="9" xfId="0" applyNumberFormat="1" applyFont="1" applyFill="1" applyBorder="1" applyAlignment="1">
      <alignment horizontal="right" vertical="top" wrapText="1"/>
    </xf>
    <xf numFmtId="172" fontId="14" fillId="6" borderId="9" xfId="0" applyNumberFormat="1" applyFont="1" applyFill="1" applyBorder="1" applyAlignment="1">
      <alignment horizontal="left" vertical="top" wrapText="1" indent="2"/>
    </xf>
    <xf numFmtId="172" fontId="14" fillId="6" borderId="10" xfId="0" applyNumberFormat="1" applyFont="1" applyFill="1" applyBorder="1" applyAlignment="1">
      <alignment horizontal="right" vertical="top" wrapText="1" indent="1"/>
    </xf>
    <xf numFmtId="0" fontId="15" fillId="0" borderId="9" xfId="0" applyFont="1" applyFill="1" applyBorder="1" applyAlignment="1">
      <alignment horizontal="left" vertical="top" wrapText="1"/>
    </xf>
    <xf numFmtId="3" fontId="14" fillId="0" borderId="9" xfId="0" applyNumberFormat="1" applyFont="1" applyFill="1" applyBorder="1" applyAlignment="1">
      <alignment horizontal="right" vertical="top" wrapText="1"/>
    </xf>
    <xf numFmtId="172" fontId="14" fillId="0" borderId="9" xfId="0" applyNumberFormat="1" applyFont="1" applyFill="1" applyBorder="1" applyAlignment="1">
      <alignment horizontal="left" vertical="top" wrapText="1" indent="2"/>
    </xf>
    <xf numFmtId="172" fontId="14" fillId="0" borderId="10" xfId="0" applyNumberFormat="1" applyFont="1" applyFill="1" applyBorder="1" applyAlignment="1">
      <alignment horizontal="right" vertical="top" wrapText="1" indent="1"/>
    </xf>
    <xf numFmtId="169" fontId="0" fillId="0" borderId="0" xfId="0" applyNumberFormat="1"/>
    <xf numFmtId="0" fontId="8" fillId="0" borderId="0" xfId="0" applyFont="1" applyAlignment="1">
      <alignment horizontal="left" wrapText="1"/>
    </xf>
    <xf numFmtId="0" fontId="0" fillId="0" borderId="0" xfId="0" applyAlignment="1">
      <alignment wrapText="1"/>
    </xf>
    <xf numFmtId="0" fontId="3" fillId="0" borderId="0" xfId="0" applyFont="1" applyFill="1" applyAlignment="1">
      <alignment horizontal="left" wrapText="1"/>
    </xf>
    <xf numFmtId="0" fontId="3" fillId="0" borderId="0" xfId="0" applyFont="1" applyFill="1" applyAlignment="1">
      <alignment horizontal="left"/>
    </xf>
    <xf numFmtId="0" fontId="8" fillId="0" borderId="0" xfId="0" applyFont="1" applyAlignment="1">
      <alignment horizontal="left" vertical="top" wrapText="1"/>
    </xf>
    <xf numFmtId="0" fontId="10" fillId="0" borderId="0" xfId="0" applyFont="1" applyAlignment="1">
      <alignment horizontal="left" vertical="top" wrapText="1"/>
    </xf>
    <xf numFmtId="173" fontId="0" fillId="0" borderId="0" xfId="0" applyNumberFormat="1"/>
    <xf numFmtId="43" fontId="0" fillId="2" borderId="0" xfId="1" applyFont="1" applyFill="1"/>
  </cellXfs>
  <cellStyles count="4">
    <cellStyle name="Comma" xfId="1" builtinId="3"/>
    <cellStyle name="Normal" xfId="0" builtinId="0"/>
    <cellStyle name="Normal 2" xfId="3"/>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9523</xdr:rowOff>
    </xdr:from>
    <xdr:to>
      <xdr:col>11</xdr:col>
      <xdr:colOff>499294</xdr:colOff>
      <xdr:row>57</xdr:row>
      <xdr:rowOff>38879</xdr:rowOff>
    </xdr:to>
    <xdr:sp macro="" textlink="">
      <xdr:nvSpPr>
        <xdr:cNvPr id="2" name="TextBox 1"/>
        <xdr:cNvSpPr txBox="1"/>
      </xdr:nvSpPr>
      <xdr:spPr>
        <a:xfrm>
          <a:off x="0" y="9523"/>
          <a:ext cx="6622508" cy="11109458"/>
        </a:xfrm>
        <a:prstGeom prst="rect">
          <a:avLst/>
        </a:prstGeom>
        <a:solidFill>
          <a:sysClr val="window" lastClr="FFFFFF"/>
        </a:solidFill>
        <a:ln w="9525" cmpd="sng">
          <a:solidFill>
            <a:sysClr val="window" lastClr="FFFFFF">
              <a:shade val="50000"/>
            </a:sysClr>
          </a:solidFill>
        </a:ln>
        <a:effectLst/>
      </xdr:spPr>
      <xdr:txBody>
        <a:bodyPr vert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ysClr val="windowText" lastClr="000000"/>
              </a:solidFill>
              <a:effectLst/>
              <a:uLnTx/>
              <a:uFillTx/>
              <a:latin typeface="+mn-lt"/>
              <a:ea typeface="+mn-ea"/>
              <a:cs typeface="+mn-cs"/>
            </a:rPr>
            <a:t>2019 IEPR Final </a:t>
          </a:r>
          <a:r>
            <a:rPr kumimoji="0" lang="en-US" sz="1400" b="1" i="0" u="none" strike="noStrike" kern="0" cap="none" spc="0" normalizeH="0" baseline="0" noProof="0">
              <a:ln>
                <a:noFill/>
              </a:ln>
              <a:solidFill>
                <a:sysClr val="windowText" lastClr="000000"/>
              </a:solidFill>
              <a:effectLst/>
              <a:uLnTx/>
              <a:uFillTx/>
              <a:latin typeface="Calibri"/>
              <a:ea typeface="+mn-ea"/>
              <a:cs typeface="+mn-cs"/>
            </a:rPr>
            <a:t>GHG Allowance Price Projections</a:t>
          </a:r>
          <a:endParaRPr kumimoji="0" lang="en-US" sz="1400" b="0" i="0" u="none" strike="noStrike" kern="0" cap="none" spc="0" normalizeH="0" baseline="0" noProof="0">
            <a:ln>
              <a:noFill/>
            </a:ln>
            <a:solidFill>
              <a:sysClr val="windowText" lastClr="000000"/>
            </a:solidFill>
            <a:effectLst/>
            <a:uLnTx/>
            <a:uFillTx/>
            <a:latin typeface="Calibri"/>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ysClr val="windowText" lastClr="000000"/>
              </a:solidFill>
              <a:effectLst/>
              <a:uLnTx/>
              <a:uFillTx/>
              <a:latin typeface="Calibri"/>
              <a:ea typeface="+mn-ea"/>
              <a:cs typeface="+mn-cs"/>
            </a:rPr>
            <a:t>Energy Assessment Division</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ysClr val="windowText" lastClr="000000"/>
              </a:solidFill>
              <a:effectLst/>
              <a:uLnTx/>
              <a:uFillTx/>
              <a:latin typeface="Calibri"/>
              <a:ea typeface="+mn-ea"/>
              <a:cs typeface="+mn-cs"/>
            </a:rPr>
            <a:t>1-13-20</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sysClr val="windowText" lastClr="000000"/>
              </a:solidFill>
              <a:effectLst/>
              <a:uLnTx/>
              <a:uFillTx/>
              <a:latin typeface="Calibri"/>
              <a:ea typeface="+mn-ea"/>
              <a:cs typeface="+mn-cs"/>
            </a:rPr>
            <a:t>Summary:</a:t>
          </a:r>
          <a:r>
            <a:rPr kumimoji="0" lang="en-US" sz="1100" b="0" i="0" u="none" strike="noStrike" kern="0" cap="none" spc="0" normalizeH="0" baseline="0" noProof="0">
              <a:ln>
                <a:noFill/>
              </a:ln>
              <a:solidFill>
                <a:sysClr val="windowText" lastClr="000000"/>
              </a:solidFill>
              <a:effectLst/>
              <a:uLnTx/>
              <a:uFillTx/>
              <a:latin typeface="Calibri"/>
              <a:ea typeface="+mn-ea"/>
              <a:cs typeface="+mn-cs"/>
            </a:rPr>
            <a:t>  </a:t>
          </a:r>
          <a:r>
            <a:rPr kumimoji="0" lang="en-US" sz="1100" b="0" i="0" u="none" strike="noStrike" kern="0" cap="none" spc="0" normalizeH="0" baseline="0" noProof="0">
              <a:ln>
                <a:noFill/>
              </a:ln>
              <a:solidFill>
                <a:sysClr val="windowText" lastClr="000000"/>
              </a:solidFill>
              <a:effectLst/>
              <a:uLnTx/>
              <a:uFillTx/>
              <a:latin typeface="Calibri"/>
            </a:rPr>
            <a:t> </a:t>
          </a:r>
          <a:r>
            <a:rPr lang="en-US" sz="1100" b="0" i="0" u="none" strike="noStrike">
              <a:effectLst/>
              <a:latin typeface="Calibri" panose="020F0502020204030204" pitchFamily="34" charset="0"/>
              <a:ea typeface="+mn-ea"/>
              <a:cs typeface="+mn-cs"/>
            </a:rPr>
            <a:t>This spreadsheet presents revised low, mid and high California</a:t>
          </a:r>
          <a:r>
            <a:rPr lang="en-US" sz="1100" b="0" i="0" u="none" strike="noStrike" baseline="0">
              <a:effectLst/>
              <a:latin typeface="Calibri" panose="020F0502020204030204" pitchFamily="34" charset="0"/>
              <a:ea typeface="+mn-ea"/>
              <a:cs typeface="+mn-cs"/>
            </a:rPr>
            <a:t> Greenhouse Gas Allowance </a:t>
          </a:r>
          <a:r>
            <a:rPr lang="en-US" sz="1100" b="0" i="0" u="none" strike="noStrike">
              <a:effectLst/>
              <a:latin typeface="Calibri" panose="020F0502020204030204" pitchFamily="34" charset="0"/>
              <a:ea typeface="+mn-ea"/>
              <a:cs typeface="+mn-cs"/>
            </a:rPr>
            <a:t>price projections for</a:t>
          </a:r>
          <a:r>
            <a:rPr lang="en-US" sz="1100" b="0" i="0" u="none" strike="noStrike" baseline="0">
              <a:effectLst/>
              <a:latin typeface="Calibri" panose="020F0502020204030204" pitchFamily="34" charset="0"/>
              <a:ea typeface="+mn-ea"/>
              <a:cs typeface="+mn-cs"/>
            </a:rPr>
            <a:t> the </a:t>
          </a:r>
          <a:r>
            <a:rPr lang="en-US" sz="1100" b="0" i="1" u="none" strike="noStrike">
              <a:effectLst/>
              <a:latin typeface="Calibri" panose="020F0502020204030204" pitchFamily="34" charset="0"/>
              <a:ea typeface="+mn-ea"/>
              <a:cs typeface="+mn-cs"/>
            </a:rPr>
            <a:t>2019 IEPR </a:t>
          </a:r>
          <a:r>
            <a:rPr lang="en-US" sz="1100" b="0" i="0" u="none" strike="noStrike">
              <a:effectLst/>
              <a:latin typeface="Calibri" panose="020F0502020204030204" pitchFamily="34" charset="0"/>
              <a:ea typeface="+mn-ea"/>
              <a:cs typeface="+mn-cs"/>
            </a:rPr>
            <a:t>common scenarios.</a:t>
          </a:r>
          <a:r>
            <a:rPr lang="en-US" sz="1100" b="0" i="0" u="none" strike="noStrike" baseline="0">
              <a:effectLst/>
              <a:latin typeface="Calibri" panose="020F0502020204030204" pitchFamily="34" charset="0"/>
              <a:ea typeface="+mn-ea"/>
              <a:cs typeface="+mn-cs"/>
            </a:rPr>
            <a:t> </a:t>
          </a:r>
          <a:r>
            <a:rPr lang="en-US" sz="1100" b="0" i="0">
              <a:latin typeface="Calibri" panose="020F0502020204030204" pitchFamily="34" charset="0"/>
            </a:rPr>
            <a:t>T</a:t>
          </a:r>
          <a:r>
            <a:rPr lang="en-US" sz="1100" b="0" i="0" u="none" strike="noStrike">
              <a:effectLst/>
              <a:latin typeface="Calibri" panose="020F0502020204030204" pitchFamily="34" charset="0"/>
              <a:ea typeface="+mn-ea"/>
              <a:cs typeface="+mn-cs"/>
            </a:rPr>
            <a:t>hese projections are consistent</a:t>
          </a:r>
          <a:r>
            <a:rPr lang="en-US" sz="1100" b="0" i="0" u="none" strike="noStrike" baseline="0">
              <a:effectLst/>
              <a:latin typeface="Calibri" panose="020F0502020204030204" pitchFamily="34" charset="0"/>
              <a:ea typeface="+mn-ea"/>
              <a:cs typeface="+mn-cs"/>
            </a:rPr>
            <a:t> with amendments to Regulations for the </a:t>
          </a:r>
          <a:r>
            <a:rPr lang="en-US" sz="1100" b="0" i="0">
              <a:effectLst/>
              <a:latin typeface="Calibri" panose="020F0502020204030204" pitchFamily="34" charset="0"/>
              <a:ea typeface="+mn-ea"/>
              <a:cs typeface="+mn-cs"/>
            </a:rPr>
            <a:t>California Cap on Greenhouse Gas Emissions and Market-Based Compliance Mechanisms</a:t>
          </a:r>
          <a:r>
            <a:rPr lang="en-US" sz="1100" b="0" i="0" u="none" baseline="0">
              <a:effectLst/>
              <a:latin typeface="Calibri" panose="020F0502020204030204" pitchFamily="34" charset="0"/>
              <a:ea typeface="+mn-ea"/>
              <a:cs typeface="+mn-cs"/>
            </a:rPr>
            <a:t> approved by the</a:t>
          </a:r>
          <a:r>
            <a:rPr lang="en-US" sz="1100" b="0" i="0" u="none">
              <a:effectLst/>
              <a:latin typeface="Calibri" panose="020F0502020204030204" pitchFamily="34" charset="0"/>
              <a:ea typeface="+mn-ea"/>
              <a:cs typeface="+mn-cs"/>
            </a:rPr>
            <a:t> </a:t>
          </a:r>
          <a:r>
            <a:rPr lang="en-US" sz="1100" b="0" i="0" baseline="0">
              <a:effectLst/>
              <a:latin typeface="Calibri" panose="020F0502020204030204" pitchFamily="34" charset="0"/>
              <a:ea typeface="+mn-ea"/>
              <a:cs typeface="+mn-cs"/>
            </a:rPr>
            <a:t>California </a:t>
          </a:r>
          <a:r>
            <a:rPr lang="en-US" sz="1100" b="0" i="0">
              <a:effectLst/>
              <a:latin typeface="Calibri" panose="020F0502020204030204" pitchFamily="34" charset="0"/>
              <a:ea typeface="+mn-ea"/>
              <a:cs typeface="+mn-cs"/>
            </a:rPr>
            <a:t>Air Resource Board</a:t>
          </a:r>
          <a:r>
            <a:rPr lang="en-US" sz="1100" b="0" i="0" baseline="0">
              <a:effectLst/>
              <a:latin typeface="Calibri" panose="020F0502020204030204" pitchFamily="34" charset="0"/>
              <a:ea typeface="+mn-ea"/>
              <a:cs typeface="+mn-cs"/>
            </a:rPr>
            <a:t>  (CARB) December 13, 2018</a:t>
          </a:r>
          <a:r>
            <a:rPr lang="en-US" sz="1100" b="0" i="0">
              <a:latin typeface="Calibri" panose="020F0502020204030204" pitchFamily="34" charset="0"/>
            </a:rPr>
            <a:t>. </a:t>
          </a:r>
          <a:r>
            <a:rPr lang="en-US" sz="1100" b="0" i="0">
              <a:effectLst/>
              <a:latin typeface="Calibri" panose="020F0502020204030204" pitchFamily="34" charset="0"/>
              <a:ea typeface="+mn-ea"/>
              <a:cs typeface="+mn-cs"/>
            </a:rPr>
            <a:t>The adopted regulations have the following  features: </a:t>
          </a:r>
        </a:p>
        <a:p>
          <a:pPr marL="171450" indent="-171450">
            <a:buFont typeface="Arial" panose="020B0604020202020204" pitchFamily="34" charset="0"/>
            <a:buChar char="•"/>
          </a:pPr>
          <a:r>
            <a:rPr lang="en-US" sz="1100" b="0" i="0">
              <a:effectLst/>
              <a:latin typeface="Calibri" panose="020F0502020204030204" pitchFamily="34" charset="0"/>
              <a:ea typeface="+mn-ea"/>
              <a:cs typeface="+mn-cs"/>
            </a:rPr>
            <a:t> A $65 (nominal) price ceiling value in 2021. </a:t>
          </a:r>
        </a:p>
        <a:p>
          <a:pPr marL="171450" lvl="0" indent="-171450">
            <a:buFont typeface="Arial" panose="020B0604020202020204" pitchFamily="34" charset="0"/>
            <a:buChar char="•"/>
          </a:pPr>
          <a:r>
            <a:rPr lang="en-US" sz="1100" b="0" i="0">
              <a:effectLst/>
              <a:latin typeface="Calibri" panose="020F0502020204030204" pitchFamily="34" charset="0"/>
              <a:ea typeface="+mn-ea"/>
              <a:cs typeface="+mn-cs"/>
            </a:rPr>
            <a:t>A new post-2020 Reserve Tier 1 price fixed at the halfway point of the Auction Reserve Price (floor price) and price ceiling in all years ($41.40 in 2021). </a:t>
          </a:r>
        </a:p>
        <a:p>
          <a:pPr marL="171450" lvl="0" indent="-171450">
            <a:buFont typeface="Arial" panose="020B0604020202020204" pitchFamily="34" charset="0"/>
            <a:buChar char="•"/>
          </a:pPr>
          <a:r>
            <a:rPr lang="en-US" sz="1100" b="0" i="0">
              <a:effectLst/>
              <a:latin typeface="Calibri" panose="020F0502020204030204" pitchFamily="34" charset="0"/>
              <a:ea typeface="+mn-ea"/>
              <a:cs typeface="+mn-cs"/>
            </a:rPr>
            <a:t>A new post-2020 Reserve Tier 2 price fixed at the three-quarter point of the Auction Reserve Price and the price ceiling in all years ($53.2 in 2021). </a:t>
          </a:r>
        </a:p>
        <a:p>
          <a:pPr marL="171450" lvl="0" indent="-171450">
            <a:buFont typeface="Arial" panose="020B0604020202020204" pitchFamily="34" charset="0"/>
            <a:buChar char="•"/>
          </a:pPr>
          <a:r>
            <a:rPr lang="en-US" sz="1100" b="0" i="0">
              <a:effectLst/>
              <a:latin typeface="Calibri" panose="020F0502020204030204" pitchFamily="34" charset="0"/>
              <a:ea typeface="+mn-ea"/>
              <a:cs typeface="+mn-cs"/>
            </a:rPr>
            <a:t>After 2021, tier prices and the price ceiling escalate annually at 5 percent plus inflation, measured</a:t>
          </a:r>
          <a:r>
            <a:rPr lang="en-US" sz="1100" b="0" i="0" baseline="0">
              <a:effectLst/>
              <a:latin typeface="Calibri" panose="020F0502020204030204" pitchFamily="34" charset="0"/>
              <a:ea typeface="+mn-ea"/>
              <a:cs typeface="+mn-cs"/>
            </a:rPr>
            <a:t> by the all-urban Consumer Price Index (CPI)</a:t>
          </a:r>
          <a:r>
            <a:rPr lang="en-US" sz="1100" b="0" i="0">
              <a:effectLst/>
              <a:latin typeface="Calibri" panose="020F0502020204030204" pitchFamily="34" charset="0"/>
              <a:ea typeface="+mn-ea"/>
              <a:cs typeface="+mn-cs"/>
            </a:rPr>
            <a:t>. The Auction Reserve Price, currently $15.62, escalates at the same rate.</a:t>
          </a:r>
        </a:p>
        <a:p>
          <a:r>
            <a:rPr lang="en-US" sz="1100" b="0" i="0">
              <a:effectLst/>
              <a:latin typeface="Calibri" panose="020F0502020204030204" pitchFamily="34" charset="0"/>
              <a:ea typeface="+mn-ea"/>
              <a:cs typeface="+mn-cs"/>
            </a:rPr>
            <a:t>When prices reach a given tier price, regulated entities may purchase from a pool of allowances set aside for that tier. If prices reach the ceiling, CARB must make unlimited allowances available</a:t>
          </a:r>
          <a:r>
            <a:rPr lang="en-US" sz="1100" b="0" i="0">
              <a:effectLst/>
              <a:latin typeface="+mn-lt"/>
              <a:ea typeface="+mn-ea"/>
              <a:cs typeface="+mn-cs"/>
            </a:rPr>
            <a:t> at that</a:t>
          </a:r>
          <a:r>
            <a:rPr lang="en-US" sz="1100" b="0" i="0" baseline="0">
              <a:effectLst/>
              <a:latin typeface="+mn-lt"/>
              <a:ea typeface="+mn-ea"/>
              <a:cs typeface="+mn-cs"/>
            </a:rPr>
            <a:t> price</a:t>
          </a:r>
          <a:r>
            <a:rPr lang="en-US" sz="1100" b="0" i="0">
              <a:effectLst/>
              <a:latin typeface="+mn-lt"/>
              <a:ea typeface="+mn-ea"/>
              <a:cs typeface="+mn-cs"/>
            </a:rPr>
            <a:t>, although CARB has indicated it believes the price ceiling is extremely unlikely to be reached</a:t>
          </a:r>
          <a:r>
            <a:rPr lang="en-US" sz="1100" b="0" i="0">
              <a:effectLst/>
              <a:latin typeface="Calibri" panose="020F0502020204030204" pitchFamily="34" charset="0"/>
              <a:ea typeface="+mn-ea"/>
              <a:cs typeface="+mn-cs"/>
            </a:rPr>
            <a:t>. Meanwhile, the</a:t>
          </a:r>
          <a:r>
            <a:rPr lang="en-US" sz="1100" b="0" i="0" baseline="0">
              <a:effectLst/>
              <a:latin typeface="Calibri" panose="020F0502020204030204" pitchFamily="34" charset="0"/>
              <a:ea typeface="+mn-ea"/>
              <a:cs typeface="+mn-cs"/>
            </a:rPr>
            <a:t> increased supply of</a:t>
          </a:r>
          <a:r>
            <a:rPr lang="en-US" sz="1100" b="0" i="0">
              <a:effectLst/>
              <a:latin typeface="Calibri" panose="020F0502020204030204" pitchFamily="34" charset="0"/>
              <a:ea typeface="+mn-ea"/>
              <a:cs typeface="+mn-cs"/>
            </a:rPr>
            <a:t> allowances at Tier 1 and Tier 2 will slow price increases at those levels. In scenario analysis of similar</a:t>
          </a:r>
          <a:r>
            <a:rPr lang="en-US" sz="1100" b="0" i="0" baseline="0">
              <a:effectLst/>
              <a:latin typeface="Calibri" panose="020F0502020204030204" pitchFamily="34" charset="0"/>
              <a:ea typeface="+mn-ea"/>
              <a:cs typeface="+mn-cs"/>
            </a:rPr>
            <a:t> structures, </a:t>
          </a:r>
          <a:r>
            <a:rPr lang="en-US" sz="1100" b="0" i="0">
              <a:effectLst/>
              <a:latin typeface="+mn-lt"/>
              <a:ea typeface="+mn-ea"/>
              <a:cs typeface="+mn-cs"/>
            </a:rPr>
            <a:t>Borenstein,</a:t>
          </a:r>
          <a:r>
            <a:rPr lang="en-US" sz="1100" b="0" i="0" baseline="0">
              <a:effectLst/>
              <a:latin typeface="+mn-lt"/>
              <a:ea typeface="+mn-ea"/>
              <a:cs typeface="+mn-cs"/>
            </a:rPr>
            <a:t> Bushell and Wolak (2017)</a:t>
          </a:r>
          <a:r>
            <a:rPr lang="en-US" sz="1100" b="0" i="0" baseline="0">
              <a:effectLst/>
              <a:latin typeface="Calibri" panose="020F0502020204030204" pitchFamily="34" charset="0"/>
              <a:ea typeface="+mn-ea"/>
              <a:cs typeface="+mn-cs"/>
            </a:rPr>
            <a:t> found probability-weighted expected prices in 2030 in the $40-$60 range, but with high probabilities of being either at the cap or floor price. </a:t>
          </a:r>
          <a:r>
            <a:rPr lang="en-US" sz="1100" b="0" i="0">
              <a:effectLst/>
              <a:latin typeface="Calibri" panose="020F0502020204030204" pitchFamily="34" charset="0"/>
              <a:ea typeface="+mn-ea"/>
              <a:cs typeface="+mn-cs"/>
            </a:rPr>
            <a:t>For the </a:t>
          </a:r>
          <a:r>
            <a:rPr lang="en-US" sz="1100" b="0" i="1">
              <a:effectLst/>
              <a:latin typeface="Calibri" panose="020F0502020204030204" pitchFamily="34" charset="0"/>
              <a:ea typeface="+mn-ea"/>
              <a:cs typeface="+mn-cs"/>
            </a:rPr>
            <a:t>2019 IEPR </a:t>
          </a:r>
          <a:r>
            <a:rPr lang="en-US" sz="1100" b="0" i="0">
              <a:effectLst/>
              <a:latin typeface="Calibri" panose="020F0502020204030204" pitchFamily="34" charset="0"/>
              <a:ea typeface="+mn-ea"/>
              <a:cs typeface="+mn-cs"/>
            </a:rPr>
            <a:t>scenarios, therefore, staff selected </a:t>
          </a:r>
          <a:r>
            <a:rPr lang="en-US" sz="1100" b="0" i="0">
              <a:effectLst/>
              <a:latin typeface="+mn-lt"/>
              <a:ea typeface="+mn-ea"/>
              <a:cs typeface="+mn-cs"/>
            </a:rPr>
            <a:t>the 2030 Tier 1 price for</a:t>
          </a:r>
          <a:r>
            <a:rPr lang="en-US" sz="1100" b="0" i="0" baseline="0">
              <a:effectLst/>
              <a:latin typeface="+mn-lt"/>
              <a:ea typeface="+mn-ea"/>
              <a:cs typeface="+mn-cs"/>
            </a:rPr>
            <a:t> the mid case, </a:t>
          </a:r>
          <a:r>
            <a:rPr lang="en-US" sz="1100" b="0" i="0">
              <a:effectLst/>
              <a:latin typeface="Calibri" panose="020F0502020204030204" pitchFamily="34" charset="0"/>
              <a:ea typeface="+mn-ea"/>
              <a:cs typeface="+mn-cs"/>
            </a:rPr>
            <a:t>the Tier 2 price for the low</a:t>
          </a:r>
          <a:r>
            <a:rPr lang="en-US" sz="1100" b="0" i="0" baseline="0">
              <a:effectLst/>
              <a:latin typeface="Calibri" panose="020F0502020204030204" pitchFamily="34" charset="0"/>
              <a:ea typeface="+mn-ea"/>
              <a:cs typeface="+mn-cs"/>
            </a:rPr>
            <a:t> demand (high price)</a:t>
          </a:r>
          <a:r>
            <a:rPr lang="en-US" sz="1100" b="0" i="0">
              <a:effectLst/>
              <a:latin typeface="Calibri" panose="020F0502020204030204" pitchFamily="34" charset="0"/>
              <a:ea typeface="+mn-ea"/>
              <a:cs typeface="+mn-cs"/>
            </a:rPr>
            <a:t> case, and continues to use the Auction Reserve Price in the high demand (low price) case.</a:t>
          </a:r>
          <a:endParaRPr lang="en-US" sz="1100" b="0" i="0">
            <a:latin typeface="Calibri" panose="020F050202020403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100" b="0" i="0">
            <a:latin typeface="Calibri" panose="020F050202020403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pitchFamily="34" charset="0"/>
              <a:ea typeface="+mn-ea"/>
              <a:cs typeface="+mn-cs"/>
            </a:rPr>
            <a:t>Because credits are bankable over time, economic theory predicts that the price in any given year will equal the present discounted value of the final equilibrium price, so in the low demand case, prices increase at the rate which produces a final nominal price of $100, the estimated  2030 Tier 2 price. In the high consumption (low price) scenario, prices are assumed to stay at the auction reserve price, which escalates at the rate of the auction reserve price (CPI+5%). In the mid case, the prices are escalated  to reach the expected Tier 1 price of $78  by 2030. This file also includes a 2045 scenario, which was used in production cost modeling for  Time Dependent Valuation for the Title 24 Building Standards. For this scenario, the mid-case 2030 price is assumed to escalate at %5+CPI, reaching a nominal price of $223 ($136 in 2018$) in 2045.</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1" i="0" u="none" strike="noStrike" kern="0" cap="none" spc="0" normalizeH="0" baseline="0" noProof="0">
            <a:ln>
              <a:noFill/>
            </a:ln>
            <a:solidFill>
              <a:sysClr val="windowText" lastClr="000000"/>
            </a:solidFill>
            <a:effectLst/>
            <a:uLnTx/>
            <a:uFillTx/>
            <a:latin typeface="Calibri" panose="020F050202020403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sysClr val="windowText" lastClr="000000"/>
              </a:solidFill>
              <a:effectLst/>
              <a:uLnTx/>
              <a:uFillTx/>
              <a:latin typeface="Calibri" panose="020F0502020204030204" pitchFamily="34" charset="0"/>
              <a:ea typeface="+mn-ea"/>
              <a:cs typeface="+mn-cs"/>
            </a:rPr>
            <a:t>Sources: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pitchFamily="34" charset="0"/>
              <a:ea typeface="+mn-ea"/>
              <a:cs typeface="+mn-cs"/>
            </a:rPr>
            <a:t>The quarterly posted GHG auction price results: http://www.arb.ca.gov/cc/capandtrade/auction/auction.htm.  All prices are in USD.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1" u="none" strike="noStrike" kern="0" cap="none" spc="0" normalizeH="0" baseline="0" noProof="0">
              <a:ln>
                <a:noFill/>
              </a:ln>
              <a:solidFill>
                <a:sysClr val="windowText" lastClr="000000"/>
              </a:solidFill>
              <a:effectLst/>
              <a:uLnTx/>
              <a:uFillTx/>
              <a:latin typeface="Calibri" panose="020F0502020204030204" pitchFamily="34" charset="0"/>
              <a:ea typeface="+mn-ea"/>
              <a:cs typeface="+mn-cs"/>
            </a:rPr>
            <a:t>2019 IEPR </a:t>
          </a:r>
          <a:r>
            <a:rPr kumimoji="0" lang="en-US" sz="1100" b="0" i="0" u="none" strike="noStrike" kern="0" cap="none" spc="0" normalizeH="0" baseline="0" noProof="0">
              <a:ln>
                <a:noFill/>
              </a:ln>
              <a:solidFill>
                <a:sysClr val="windowText" lastClr="000000"/>
              </a:solidFill>
              <a:effectLst/>
              <a:uLnTx/>
              <a:uFillTx/>
              <a:latin typeface="Calibri" panose="020F0502020204030204" pitchFamily="34" charset="0"/>
              <a:ea typeface="+mn-ea"/>
              <a:cs typeface="+mn-cs"/>
            </a:rPr>
            <a:t>Deflator Series, using Moody's Analytics, June 2019 GDP Deflator and CPI Forecast</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1" u="none" strike="noStrike" kern="0" cap="none" spc="0" normalizeH="0" baseline="0" noProof="0">
              <a:ln>
                <a:noFill/>
              </a:ln>
              <a:solidFill>
                <a:sysClr val="windowText" lastClr="000000"/>
              </a:solidFill>
              <a:effectLst/>
              <a:uLnTx/>
              <a:uFillTx/>
              <a:latin typeface="Calibri" panose="020F0502020204030204" pitchFamily="34" charset="0"/>
              <a:ea typeface="+mn-ea"/>
              <a:cs typeface="+mn-cs"/>
            </a:rPr>
            <a:t>CARB </a:t>
          </a:r>
          <a:r>
            <a:rPr lang="en-US" sz="1100" b="0" i="1">
              <a:effectLst/>
              <a:latin typeface="Calibri" panose="020F0502020204030204" pitchFamily="34" charset="0"/>
              <a:ea typeface="+mn-ea"/>
              <a:cs typeface="+mn-cs"/>
            </a:rPr>
            <a:t>California Cap on Greenhouse Gas Emissions and Market-Based Compliance Mechanisms Regulation</a:t>
          </a:r>
          <a:r>
            <a:rPr lang="en-US" sz="1100" b="0" i="0">
              <a:effectLst/>
              <a:latin typeface="Calibri" panose="020F0502020204030204" pitchFamily="34" charset="0"/>
              <a:ea typeface="+mn-ea"/>
              <a:cs typeface="+mn-cs"/>
            </a:rPr>
            <a:t>,</a:t>
          </a:r>
          <a:r>
            <a:rPr lang="en-US" sz="1100" b="0" i="0" baseline="0">
              <a:effectLst/>
              <a:latin typeface="Calibri" panose="020F0502020204030204" pitchFamily="34" charset="0"/>
              <a:ea typeface="+mn-ea"/>
              <a:cs typeface="+mn-cs"/>
            </a:rPr>
            <a:t> </a:t>
          </a:r>
          <a:r>
            <a:rPr kumimoji="0" lang="en-US" sz="1100" b="0" i="0" u="none" strike="noStrike" kern="0" cap="none" spc="0" normalizeH="0" baseline="0" noProof="0">
              <a:ln>
                <a:noFill/>
              </a:ln>
              <a:solidFill>
                <a:sysClr val="windowText" lastClr="000000"/>
              </a:solidFill>
              <a:effectLst/>
              <a:uLnTx/>
              <a:uFillTx/>
              <a:latin typeface="Calibri" panose="020F0502020204030204" pitchFamily="34" charset="0"/>
              <a:ea typeface="+mn-ea"/>
              <a:cs typeface="+mn-cs"/>
            </a:rPr>
            <a:t>https://www.arb.ca.gov/regact/2018/capandtrade18/capandtrade18.htm.</a:t>
          </a:r>
        </a:p>
        <a:p>
          <a:pPr marL="0" marR="0" lvl="0" indent="0" defTabSz="914400" eaLnBrk="1" fontAlgn="auto" latinLnBrk="0" hangingPunct="1">
            <a:lnSpc>
              <a:spcPct val="100000"/>
            </a:lnSpc>
            <a:spcBef>
              <a:spcPts val="0"/>
            </a:spcBef>
            <a:spcAft>
              <a:spcPts val="0"/>
            </a:spcAft>
            <a:buClrTx/>
            <a:buSzTx/>
            <a:buFontTx/>
            <a:buNone/>
            <a:tabLst/>
            <a:defRPr/>
          </a:pPr>
          <a:r>
            <a:rPr lang="en-US" sz="1100" b="0" i="1" baseline="0">
              <a:effectLst/>
              <a:latin typeface="Calibri" panose="020F0502020204030204" pitchFamily="34" charset="0"/>
              <a:ea typeface="+mn-ea"/>
              <a:cs typeface="+mn-cs"/>
            </a:rPr>
            <a:t>Staff Report: Initial Statement of Reasons</a:t>
          </a:r>
          <a:r>
            <a:rPr lang="en-US" sz="1100" b="0" i="0" baseline="0">
              <a:effectLst/>
              <a:latin typeface="Calibri" panose="020F0502020204030204" pitchFamily="34" charset="0"/>
              <a:ea typeface="+mn-ea"/>
              <a:cs typeface="+mn-cs"/>
            </a:rPr>
            <a:t>, September 4, 2018,  https://www.arb.ca.gov/regact/2018/capandtrade18/ct18isor.pdf</a:t>
          </a:r>
        </a:p>
        <a:p>
          <a:pPr marL="0" marR="0" lvl="0" indent="0" defTabSz="914400" eaLnBrk="1" fontAlgn="auto" latinLnBrk="0" hangingPunct="1">
            <a:lnSpc>
              <a:spcPct val="100000"/>
            </a:lnSpc>
            <a:spcBef>
              <a:spcPts val="0"/>
            </a:spcBef>
            <a:spcAft>
              <a:spcPts val="0"/>
            </a:spcAft>
            <a:buClrTx/>
            <a:buSzTx/>
            <a:buFontTx/>
            <a:buNone/>
            <a:tabLst/>
            <a:defRPr/>
          </a:pPr>
          <a:r>
            <a:rPr lang="en-US" sz="1100" b="0" i="0">
              <a:effectLst/>
              <a:latin typeface="+mn-lt"/>
              <a:ea typeface="+mn-ea"/>
              <a:cs typeface="+mn-cs"/>
            </a:rPr>
            <a:t>"Expecting the Unexpected: Emissions Uncertainty and Environmental Market Design", Borenstein,</a:t>
          </a:r>
          <a:r>
            <a:rPr lang="en-US" sz="1100" b="0" i="0" baseline="0">
              <a:effectLst/>
              <a:latin typeface="+mn-lt"/>
              <a:ea typeface="+mn-ea"/>
              <a:cs typeface="+mn-cs"/>
            </a:rPr>
            <a:t> Bushell and Wolak, July 2017, </a:t>
          </a:r>
          <a:r>
            <a:rPr lang="en-US" sz="1100" b="0" i="0">
              <a:effectLst/>
              <a:latin typeface="+mn-lt"/>
              <a:ea typeface="+mn-ea"/>
              <a:cs typeface="+mn-cs"/>
            </a:rPr>
            <a:t>https://ei.haas.berkeley.edu/research/papers/WP281.pdf</a:t>
          </a:r>
          <a:endParaRPr lang="en-US" sz="1100">
            <a:effectLst/>
            <a:latin typeface="Calibri" panose="020F050202020403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panose="020F050202020403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sysClr val="windowText" lastClr="000000"/>
              </a:solidFill>
              <a:effectLst/>
              <a:uLnTx/>
              <a:uFillTx/>
              <a:latin typeface="Calibri" panose="020F0502020204030204" pitchFamily="34" charset="0"/>
              <a:ea typeface="+mn-ea"/>
              <a:cs typeface="+mn-cs"/>
            </a:rPr>
            <a:t>Key Caveats: </a:t>
          </a:r>
          <a:r>
            <a:rPr lang="en-US" sz="1100" b="0" i="0">
              <a:effectLst/>
              <a:latin typeface="Calibri" panose="020F0502020204030204" pitchFamily="34" charset="0"/>
              <a:ea typeface="+mn-ea"/>
              <a:cs typeface="+mn-cs"/>
            </a:rPr>
            <a:t>Because of the many non-market policies that affect California emissions and abatement, emissions uncertainty is very large and increases the probability that prices will be near the floor or ceiling. </a:t>
          </a:r>
          <a:r>
            <a:rPr lang="en-US" sz="1100" b="0" i="0">
              <a:effectLst/>
              <a:latin typeface="+mn-lt"/>
              <a:ea typeface="+mn-ea"/>
              <a:cs typeface="+mn-cs"/>
            </a:rPr>
            <a:t>For an analysis of this issue under the previously adopted CARB regulations, see "Expecting the Unexpected: Emissions Uncertainty and Environmental Market Design", Borenstein,</a:t>
          </a:r>
          <a:r>
            <a:rPr lang="en-US" sz="1100" b="0" i="0" baseline="0">
              <a:effectLst/>
              <a:latin typeface="+mn-lt"/>
              <a:ea typeface="+mn-ea"/>
              <a:cs typeface="+mn-cs"/>
            </a:rPr>
            <a:t> Bushell et al., June 2018, </a:t>
          </a:r>
          <a:r>
            <a:rPr lang="en-US" sz="1100" b="0" i="0">
              <a:effectLst/>
              <a:latin typeface="+mn-lt"/>
              <a:ea typeface="+mn-ea"/>
              <a:cs typeface="+mn-cs"/>
            </a:rPr>
            <a:t>https://ei.haas.berkeley.edu/research/papers/WP274.pdf</a:t>
          </a:r>
          <a:r>
            <a:rPr lang="en-US" sz="1100" b="0" i="0">
              <a:effectLst/>
              <a:latin typeface="Calibri" panose="020F0502020204030204" pitchFamily="34" charset="0"/>
              <a:ea typeface="+mn-ea"/>
              <a:cs typeface="+mn-cs"/>
            </a:rPr>
            <a:t>.</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panose="020F050202020403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sysClr val="windowText" lastClr="000000"/>
              </a:solidFill>
              <a:effectLst/>
              <a:uLnTx/>
              <a:uFillTx/>
              <a:latin typeface="Calibri" panose="020F0502020204030204" pitchFamily="34" charset="0"/>
              <a:ea typeface="+mn-ea"/>
              <a:cs typeface="+mn-cs"/>
            </a:rPr>
            <a:t>Major Updates:</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sysClr val="windowText" lastClr="000000"/>
              </a:solidFill>
              <a:effectLst/>
              <a:uLnTx/>
              <a:uFillTx/>
              <a:latin typeface="Calibri" panose="020F0502020204030204" pitchFamily="34" charset="0"/>
              <a:ea typeface="+mn-ea"/>
              <a:cs typeface="+mn-cs"/>
            </a:rPr>
            <a:t>January 2020: </a:t>
          </a:r>
          <a:r>
            <a:rPr kumimoji="0" lang="en-US" sz="1100" b="0" i="0" u="none" strike="noStrike" kern="0" cap="none" spc="0" normalizeH="0" baseline="0" noProof="0">
              <a:ln>
                <a:noFill/>
              </a:ln>
              <a:solidFill>
                <a:sysClr val="windowText" lastClr="000000"/>
              </a:solidFill>
              <a:effectLst/>
              <a:uLnTx/>
              <a:uFillTx/>
              <a:latin typeface="Calibri" panose="020F0502020204030204" pitchFamily="34" charset="0"/>
              <a:ea typeface="+mn-ea"/>
              <a:cs typeface="+mn-cs"/>
            </a:rPr>
            <a:t>Incorporated </a:t>
          </a:r>
          <a:r>
            <a:rPr lang="en-US" sz="1100" b="0" i="0" baseline="0">
              <a:effectLst/>
              <a:latin typeface="+mn-lt"/>
              <a:ea typeface="+mn-ea"/>
              <a:cs typeface="+mn-cs"/>
            </a:rPr>
            <a:t>2019 auction results and </a:t>
          </a:r>
          <a:r>
            <a:rPr kumimoji="0" lang="en-US" sz="1100" b="0" i="0" u="none" strike="noStrike" kern="0" cap="none" spc="0" normalizeH="0" baseline="0" noProof="0">
              <a:ln>
                <a:noFill/>
              </a:ln>
              <a:solidFill>
                <a:sysClr val="windowText" lastClr="000000"/>
              </a:solidFill>
              <a:effectLst/>
              <a:uLnTx/>
              <a:uFillTx/>
              <a:latin typeface="Calibri" panose="020F0502020204030204" pitchFamily="34" charset="0"/>
              <a:ea typeface="+mn-ea"/>
              <a:cs typeface="+mn-cs"/>
            </a:rPr>
            <a:t>2020 auction reserve price of $16.68 (https://ww3.arb.ca.gov/cc/capandtrade/auction/feb-2020/notice.pdf).  Updated GDP and CPI series with June 2019 Moody's projections. Added 2045 mid-case scenario developed for time dependent valuation for the Title 24 Building Standards.</a:t>
          </a:r>
          <a:endParaRPr lang="en-US" sz="1100" b="0" i="0">
            <a:effectLst/>
            <a:latin typeface="Calibri" panose="020F050202020403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sysClr val="windowText" lastClr="000000"/>
              </a:solidFill>
              <a:effectLst/>
              <a:uLnTx/>
              <a:uFillTx/>
              <a:latin typeface="Calibri" panose="020F0502020204030204" pitchFamily="34" charset="0"/>
              <a:ea typeface="+mn-ea"/>
              <a:cs typeface="+mn-cs"/>
            </a:rPr>
            <a:t>March 2019</a:t>
          </a:r>
          <a:r>
            <a:rPr kumimoji="0" lang="en-US" sz="1100" b="0" i="0" u="none" strike="noStrike" kern="0" cap="none" spc="0" normalizeH="0" baseline="0" noProof="0">
              <a:ln>
                <a:noFill/>
              </a:ln>
              <a:solidFill>
                <a:sysClr val="windowText" lastClr="000000"/>
              </a:solidFill>
              <a:effectLst/>
              <a:uLnTx/>
              <a:uFillTx/>
              <a:latin typeface="Calibri" panose="020F0502020204030204" pitchFamily="34" charset="0"/>
              <a:ea typeface="+mn-ea"/>
              <a:cs typeface="+mn-cs"/>
            </a:rPr>
            <a:t>: This is the first version modeling revised regulations per AB 398 and incorporates  comments received from CARB 3/12/2019. Previous carbon price forecasts are documented in https://efiling.energy.ca.gov/GetDocument.aspx?tn=222145</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sysClr val="windowText" lastClr="000000"/>
              </a:solidFill>
              <a:effectLst/>
              <a:uLnTx/>
              <a:uFillTx/>
              <a:latin typeface="Calibri"/>
              <a:ea typeface="+mn-ea"/>
              <a:cs typeface="+mn-cs"/>
            </a:rPr>
            <a:t>Author</a:t>
          </a:r>
          <a:r>
            <a:rPr kumimoji="0" lang="en-US" sz="1100" b="0" i="0" u="none" strike="noStrike" kern="0" cap="none" spc="0" normalizeH="0" baseline="0" noProof="0">
              <a:ln>
                <a:noFill/>
              </a:ln>
              <a:solidFill>
                <a:sysClr val="windowText" lastClr="000000"/>
              </a:solidFill>
              <a:effectLst/>
              <a:uLnTx/>
              <a:uFillTx/>
              <a:latin typeface="Calibri"/>
              <a:ea typeface="+mn-ea"/>
              <a:cs typeface="+mn-cs"/>
            </a:rPr>
            <a:t>:</a:t>
          </a:r>
        </a:p>
        <a:p>
          <a:pPr eaLnBrk="1" fontAlgn="auto" latinLnBrk="0" hangingPunct="1"/>
          <a:r>
            <a:rPr lang="en-US" sz="1100" b="0" i="0" baseline="0">
              <a:effectLst/>
              <a:latin typeface="+mn-lt"/>
              <a:ea typeface="+mn-ea"/>
              <a:cs typeface="+mn-cs"/>
            </a:rPr>
            <a:t>Lynn Marshall, Energy Assessments Division, 916-654-4767. Lynn.Marshall@energy.ca.gov </a:t>
          </a:r>
          <a:endParaRPr lang="en-US" sz="1100">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2"/>
  <sheetViews>
    <sheetView tabSelected="1" topLeftCell="B1" zoomScale="98" zoomScaleNormal="98" workbookViewId="0">
      <selection activeCell="N48" sqref="N48"/>
    </sheetView>
  </sheetViews>
  <sheetFormatPr defaultRowHeight="15" x14ac:dyDescent="0.25"/>
  <cols>
    <col min="1" max="1" width="2.42578125" hidden="1" customWidth="1"/>
  </cols>
  <sheetData>
    <row r="1" spans="2:2" x14ac:dyDescent="0.25">
      <c r="B1" t="s">
        <v>0</v>
      </c>
    </row>
    <row r="2" spans="2:2" x14ac:dyDescent="0.25">
      <c r="B2" t="s">
        <v>1</v>
      </c>
    </row>
  </sheetData>
  <pageMargins left="0.7" right="0.7" top="0.75" bottom="0.75" header="0.3" footer="0.3"/>
  <pageSetup scale="81"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52"/>
  <sheetViews>
    <sheetView zoomScale="64" zoomScaleNormal="64" workbookViewId="0">
      <pane xSplit="6" ySplit="6" topLeftCell="G7" activePane="bottomRight" state="frozen"/>
      <selection pane="topRight" activeCell="G1" sqref="G1"/>
      <selection pane="bottomLeft" activeCell="A7" sqref="A7"/>
      <selection pane="bottomRight" activeCell="B1" sqref="B1:F1048576"/>
    </sheetView>
  </sheetViews>
  <sheetFormatPr defaultRowHeight="15" x14ac:dyDescent="0.25"/>
  <cols>
    <col min="1" max="1" width="25.7109375" customWidth="1"/>
    <col min="2" max="2" width="10" hidden="1" customWidth="1"/>
    <col min="3" max="3" width="8.42578125" hidden="1" customWidth="1"/>
    <col min="4" max="4" width="9.5703125" hidden="1" customWidth="1"/>
    <col min="5" max="6" width="9.140625" hidden="1" customWidth="1"/>
    <col min="7" max="8" width="9.140625" customWidth="1"/>
    <col min="9" max="9" width="11" customWidth="1"/>
    <col min="10" max="10" width="10.140625" customWidth="1"/>
    <col min="11" max="11" width="11.42578125" customWidth="1"/>
    <col min="12" max="14" width="11" customWidth="1"/>
    <col min="15" max="15" width="11.42578125" customWidth="1"/>
    <col min="16" max="16" width="11" customWidth="1"/>
    <col min="17" max="17" width="12.5703125" customWidth="1"/>
    <col min="18" max="18" width="11.42578125" customWidth="1"/>
    <col min="19" max="19" width="13.42578125" customWidth="1"/>
    <col min="20" max="20" width="11.5703125" hidden="1" customWidth="1"/>
    <col min="21" max="21" width="9.7109375" hidden="1" customWidth="1"/>
    <col min="22" max="22" width="13.28515625" hidden="1" customWidth="1"/>
    <col min="23" max="23" width="11.42578125" hidden="1" customWidth="1"/>
    <col min="24" max="24" width="10.42578125" hidden="1" customWidth="1"/>
    <col min="25" max="28" width="9.140625" hidden="1" customWidth="1"/>
    <col min="29" max="29" width="11.140625" hidden="1" customWidth="1"/>
    <col min="30" max="32" width="9.140625" hidden="1" customWidth="1"/>
    <col min="33" max="33" width="11" hidden="1" customWidth="1"/>
    <col min="34" max="34" width="14.7109375" customWidth="1"/>
  </cols>
  <sheetData>
    <row r="1" spans="1:35" x14ac:dyDescent="0.25">
      <c r="F1" s="1"/>
      <c r="G1" s="1"/>
      <c r="H1" s="2"/>
      <c r="I1" s="1"/>
      <c r="J1" s="1"/>
      <c r="K1" s="1"/>
      <c r="L1" s="1"/>
      <c r="M1" s="1"/>
      <c r="N1" s="1"/>
      <c r="O1" s="1"/>
      <c r="P1" s="1"/>
      <c r="Q1" s="1"/>
      <c r="R1" s="1"/>
      <c r="S1" s="1"/>
    </row>
    <row r="2" spans="1:35" x14ac:dyDescent="0.25">
      <c r="A2" s="3"/>
      <c r="F2" s="4"/>
      <c r="G2" s="4"/>
      <c r="H2" s="4"/>
      <c r="I2" s="4"/>
      <c r="J2" s="4"/>
      <c r="K2" s="4"/>
      <c r="L2" s="4"/>
      <c r="M2" s="4"/>
      <c r="N2" s="4"/>
      <c r="O2" s="4"/>
      <c r="P2" s="4"/>
      <c r="Q2" s="4"/>
      <c r="R2" s="4"/>
      <c r="S2" s="4"/>
    </row>
    <row r="3" spans="1:35" ht="23.25" customHeight="1" x14ac:dyDescent="0.3">
      <c r="A3" s="61" t="s">
        <v>74</v>
      </c>
      <c r="F3" s="5"/>
      <c r="G3" s="5"/>
      <c r="H3" s="5"/>
      <c r="I3" s="5"/>
      <c r="J3" s="5"/>
      <c r="K3" s="5"/>
      <c r="L3" s="5"/>
      <c r="M3" s="5"/>
      <c r="N3" s="5"/>
      <c r="O3" s="5"/>
      <c r="P3" s="5"/>
      <c r="Q3" s="5"/>
      <c r="R3" s="5"/>
      <c r="S3" s="5"/>
    </row>
    <row r="4" spans="1:35" ht="26.25" customHeight="1" x14ac:dyDescent="0.35">
      <c r="A4" s="95" t="s">
        <v>2</v>
      </c>
      <c r="B4" s="95"/>
      <c r="C4" s="95"/>
      <c r="D4" s="95"/>
      <c r="E4" s="95"/>
      <c r="F4" s="95"/>
      <c r="G4" s="95"/>
      <c r="H4" s="95"/>
      <c r="I4" s="95"/>
      <c r="J4" s="95"/>
      <c r="K4" s="95"/>
      <c r="L4" s="95"/>
      <c r="M4" s="95"/>
      <c r="N4" s="95"/>
      <c r="O4" s="95"/>
      <c r="P4" s="95"/>
      <c r="Q4" s="95"/>
      <c r="R4" s="95"/>
      <c r="S4" s="95"/>
    </row>
    <row r="5" spans="1:35" x14ac:dyDescent="0.25">
      <c r="B5">
        <v>2013</v>
      </c>
      <c r="C5">
        <v>2014</v>
      </c>
      <c r="D5">
        <v>2015</v>
      </c>
      <c r="E5">
        <v>2016</v>
      </c>
      <c r="F5">
        <v>2017</v>
      </c>
      <c r="G5">
        <v>2018</v>
      </c>
      <c r="H5">
        <v>2019</v>
      </c>
      <c r="I5">
        <v>2020</v>
      </c>
      <c r="J5">
        <v>2021</v>
      </c>
      <c r="K5">
        <v>2022</v>
      </c>
      <c r="L5">
        <v>2023</v>
      </c>
      <c r="M5">
        <v>2024</v>
      </c>
      <c r="N5">
        <v>2025</v>
      </c>
      <c r="O5">
        <v>2026</v>
      </c>
      <c r="P5">
        <v>2027</v>
      </c>
      <c r="Q5">
        <v>2028</v>
      </c>
      <c r="R5">
        <v>2029</v>
      </c>
      <c r="S5">
        <v>2030</v>
      </c>
      <c r="T5">
        <v>2031</v>
      </c>
      <c r="U5">
        <v>2032</v>
      </c>
      <c r="V5">
        <v>2033</v>
      </c>
      <c r="W5">
        <v>2034</v>
      </c>
      <c r="X5">
        <v>2035</v>
      </c>
      <c r="Y5">
        <v>2036</v>
      </c>
      <c r="Z5">
        <v>2037</v>
      </c>
      <c r="AA5">
        <v>2038</v>
      </c>
      <c r="AB5">
        <v>2039</v>
      </c>
      <c r="AC5">
        <v>2040</v>
      </c>
      <c r="AD5">
        <v>2041</v>
      </c>
      <c r="AE5">
        <v>2042</v>
      </c>
      <c r="AF5">
        <v>2043</v>
      </c>
      <c r="AG5">
        <v>2044</v>
      </c>
      <c r="AH5">
        <v>2045</v>
      </c>
    </row>
    <row r="6" spans="1:35" x14ac:dyDescent="0.25">
      <c r="A6" t="s">
        <v>20</v>
      </c>
      <c r="B6" s="6">
        <f>+B11</f>
        <v>12.766366054493103</v>
      </c>
      <c r="C6" s="6">
        <f t="shared" ref="C6:H6" si="0">+C11</f>
        <v>11.663986959374096</v>
      </c>
      <c r="D6" s="6">
        <f t="shared" si="0"/>
        <v>12.437281556525077</v>
      </c>
      <c r="E6" s="6">
        <f t="shared" si="0"/>
        <v>12.73</v>
      </c>
      <c r="F6" s="6">
        <f t="shared" si="0"/>
        <v>14.486740520427819</v>
      </c>
      <c r="G6" s="6">
        <f t="shared" si="0"/>
        <v>14.880124463738202</v>
      </c>
      <c r="H6" s="6">
        <f t="shared" si="0"/>
        <v>16.77847358151163</v>
      </c>
    </row>
    <row r="7" spans="1:35" s="47" customFormat="1" x14ac:dyDescent="0.25">
      <c r="A7" s="46" t="s">
        <v>61</v>
      </c>
      <c r="F7" s="46"/>
      <c r="G7" s="47">
        <f>+G6</f>
        <v>14.880124463738202</v>
      </c>
      <c r="H7" s="47">
        <f>+H6</f>
        <v>16.77847358151163</v>
      </c>
      <c r="I7" s="47">
        <f t="shared" ref="I7:AH7" si="1">+I12</f>
        <v>16.68</v>
      </c>
      <c r="J7" s="47">
        <f t="shared" si="1"/>
        <v>17.898908207187127</v>
      </c>
      <c r="K7" s="47">
        <f t="shared" si="1"/>
        <v>19.199227216103242</v>
      </c>
      <c r="L7" s="47">
        <f t="shared" si="1"/>
        <v>20.600060853798652</v>
      </c>
      <c r="M7" s="47">
        <f t="shared" si="1"/>
        <v>22.08775299202814</v>
      </c>
      <c r="N7" s="47">
        <f t="shared" si="1"/>
        <v>23.682116115044781</v>
      </c>
      <c r="O7" s="47">
        <f t="shared" si="1"/>
        <v>25.405092999826273</v>
      </c>
      <c r="P7" s="47">
        <f t="shared" si="1"/>
        <v>27.270740763971194</v>
      </c>
      <c r="Q7" s="47">
        <f t="shared" si="1"/>
        <v>29.279302538156408</v>
      </c>
      <c r="R7" s="47">
        <f t="shared" si="1"/>
        <v>31.432307851662777</v>
      </c>
      <c r="S7" s="47">
        <f t="shared" si="1"/>
        <v>33.731303601730438</v>
      </c>
      <c r="T7" s="47">
        <f t="shared" si="1"/>
        <v>36.184026823035822</v>
      </c>
      <c r="U7" s="47">
        <f t="shared" si="1"/>
        <v>38.808368644419332</v>
      </c>
      <c r="V7" s="47">
        <f t="shared" si="1"/>
        <v>41.618913196249103</v>
      </c>
      <c r="W7" s="47">
        <f t="shared" si="1"/>
        <v>44.636543482473726</v>
      </c>
      <c r="X7" s="47">
        <f t="shared" si="1"/>
        <v>47.874379038317848</v>
      </c>
      <c r="Y7" s="47">
        <f t="shared" si="1"/>
        <v>51.345251910920553</v>
      </c>
      <c r="Z7" s="47">
        <f t="shared" si="1"/>
        <v>55.06536611901015</v>
      </c>
      <c r="AA7" s="47">
        <f t="shared" si="1"/>
        <v>59.056339192290032</v>
      </c>
      <c r="AB7" s="47">
        <f t="shared" si="1"/>
        <v>63.343381864959625</v>
      </c>
      <c r="AC7" s="47">
        <f t="shared" si="1"/>
        <v>67.947822308830823</v>
      </c>
      <c r="AD7" s="47">
        <f t="shared" si="1"/>
        <v>72.888568870116686</v>
      </c>
      <c r="AE7" s="47">
        <f t="shared" si="1"/>
        <v>78.194428272425853</v>
      </c>
      <c r="AF7" s="47">
        <f t="shared" si="1"/>
        <v>83.894780746353064</v>
      </c>
      <c r="AG7" s="47">
        <f t="shared" si="1"/>
        <v>90.015198287696222</v>
      </c>
      <c r="AH7" s="47">
        <f t="shared" si="1"/>
        <v>96.592436663463232</v>
      </c>
    </row>
    <row r="8" spans="1:35" s="47" customFormat="1" x14ac:dyDescent="0.25">
      <c r="A8" s="46" t="s">
        <v>62</v>
      </c>
      <c r="B8" s="46"/>
      <c r="F8" s="46"/>
      <c r="G8" s="46">
        <f>+G6</f>
        <v>14.880124463738202</v>
      </c>
      <c r="H8" s="46">
        <f>+H6</f>
        <v>16.77847358151163</v>
      </c>
      <c r="I8" s="46">
        <f t="shared" ref="I8:S8" si="2">MAX(EXP($E$44*(I$22-2019)+$F$44),I$7)</f>
        <v>19.294344968388078</v>
      </c>
      <c r="J8" s="46">
        <f t="shared" si="2"/>
        <v>22.187462163982104</v>
      </c>
      <c r="K8" s="46">
        <f t="shared" si="2"/>
        <v>25.51439181193745</v>
      </c>
      <c r="L8" s="46">
        <f t="shared" si="2"/>
        <v>29.340182519379454</v>
      </c>
      <c r="M8" s="46">
        <f t="shared" si="2"/>
        <v>33.739636696640162</v>
      </c>
      <c r="N8" s="46">
        <f t="shared" si="2"/>
        <v>38.798773104746978</v>
      </c>
      <c r="O8" s="46">
        <f t="shared" si="2"/>
        <v>44.616508706613956</v>
      </c>
      <c r="P8" s="46">
        <f t="shared" si="2"/>
        <v>51.306592705731909</v>
      </c>
      <c r="Q8" s="46">
        <f t="shared" si="2"/>
        <v>58.999830586960307</v>
      </c>
      <c r="R8" s="46">
        <f t="shared" si="2"/>
        <v>67.84664164418632</v>
      </c>
      <c r="S8" s="46">
        <f t="shared" si="2"/>
        <v>78.019999999999982</v>
      </c>
      <c r="T8" s="47">
        <f>+T14</f>
        <v>83.693300906038971</v>
      </c>
      <c r="U8" s="47">
        <f t="shared" ref="U8:AH8" si="3">+U14</f>
        <v>89.763377926806697</v>
      </c>
      <c r="V8" s="47">
        <f t="shared" si="3"/>
        <v>96.264140045863257</v>
      </c>
      <c r="W8" s="47">
        <f t="shared" si="3"/>
        <v>103.24388944753542</v>
      </c>
      <c r="X8" s="47">
        <f t="shared" si="3"/>
        <v>110.73297148875857</v>
      </c>
      <c r="Y8" s="47">
        <f t="shared" si="3"/>
        <v>118.76106656933186</v>
      </c>
      <c r="Z8" s="47">
        <f t="shared" si="3"/>
        <v>127.36565442643183</v>
      </c>
      <c r="AA8" s="47">
        <f t="shared" si="3"/>
        <v>136.59673619528755</v>
      </c>
      <c r="AB8" s="47">
        <f t="shared" si="3"/>
        <v>146.51262405805977</v>
      </c>
      <c r="AC8" s="47">
        <f t="shared" si="3"/>
        <v>157.16264986799854</v>
      </c>
      <c r="AD8" s="47">
        <f t="shared" si="3"/>
        <v>168.59054844535984</v>
      </c>
      <c r="AE8" s="47">
        <f t="shared" si="3"/>
        <v>180.8629494607132</v>
      </c>
      <c r="AF8" s="47">
        <f t="shared" si="3"/>
        <v>194.04780910068973</v>
      </c>
      <c r="AG8" s="47">
        <f t="shared" si="3"/>
        <v>208.20427514200182</v>
      </c>
      <c r="AH8" s="47">
        <f t="shared" si="3"/>
        <v>223.41736331502321</v>
      </c>
    </row>
    <row r="9" spans="1:35" s="47" customFormat="1" x14ac:dyDescent="0.25">
      <c r="A9" s="46" t="s">
        <v>63</v>
      </c>
      <c r="B9" s="46"/>
      <c r="F9" s="46"/>
      <c r="G9" s="46">
        <f>+G6</f>
        <v>14.880124463738202</v>
      </c>
      <c r="H9" s="46">
        <f>+H6</f>
        <v>16.77847358151163</v>
      </c>
      <c r="I9" s="46">
        <f t="shared" ref="I9:S9" si="4">MAX(EXP($E$50*(I$22-2019)+$F$50),I$7)</f>
        <v>19.739273052757646</v>
      </c>
      <c r="J9" s="46">
        <f t="shared" si="4"/>
        <v>23.222547555259787</v>
      </c>
      <c r="K9" s="46">
        <f t="shared" si="4"/>
        <v>27.320495213523692</v>
      </c>
      <c r="L9" s="46">
        <f t="shared" si="4"/>
        <v>32.141583817883621</v>
      </c>
      <c r="M9" s="46">
        <f t="shared" si="4"/>
        <v>37.813421837634245</v>
      </c>
      <c r="N9" s="46">
        <f t="shared" si="4"/>
        <v>44.486136065121379</v>
      </c>
      <c r="O9" s="46">
        <f t="shared" si="4"/>
        <v>52.33634529300528</v>
      </c>
      <c r="P9" s="46">
        <f t="shared" si="4"/>
        <v>61.571835203197544</v>
      </c>
      <c r="Q9" s="46">
        <f t="shared" si="4"/>
        <v>72.437058206209826</v>
      </c>
      <c r="R9" s="46">
        <f t="shared" si="4"/>
        <v>85.219603805106871</v>
      </c>
      <c r="S9" s="46">
        <f t="shared" si="4"/>
        <v>100.25781074688646</v>
      </c>
    </row>
    <row r="10" spans="1:35" s="11" customFormat="1" x14ac:dyDescent="0.25">
      <c r="A10"/>
      <c r="B10"/>
      <c r="C10"/>
      <c r="D10"/>
      <c r="E10"/>
      <c r="F10" s="9"/>
      <c r="G10" s="10"/>
      <c r="H10"/>
      <c r="I10"/>
      <c r="J10"/>
      <c r="K10"/>
      <c r="L10"/>
      <c r="M10"/>
      <c r="N10"/>
      <c r="O10"/>
      <c r="P10"/>
      <c r="Q10"/>
      <c r="R10"/>
      <c r="S10"/>
      <c r="T10"/>
      <c r="U10"/>
      <c r="V10"/>
      <c r="W10"/>
      <c r="X10"/>
      <c r="Y10"/>
      <c r="Z10"/>
      <c r="AA10"/>
      <c r="AB10"/>
      <c r="AC10"/>
      <c r="AD10"/>
      <c r="AE10"/>
      <c r="AF10"/>
      <c r="AG10"/>
      <c r="AH10" s="12"/>
    </row>
    <row r="11" spans="1:35" s="11" customFormat="1" ht="17.25" x14ac:dyDescent="0.25">
      <c r="A11" t="s">
        <v>3</v>
      </c>
      <c r="B11" s="8">
        <f>VLOOKUP(B$5,'Auction Data'!$E$36:$H$42,4,FALSE)</f>
        <v>12.766366054493103</v>
      </c>
      <c r="C11" s="8">
        <f>VLOOKUP(C$5,'Auction Data'!$E$36:$H$42,4,FALSE)</f>
        <v>11.663986959374096</v>
      </c>
      <c r="D11" s="8">
        <f>VLOOKUP(D$5,'Auction Data'!$E$36:$H$42,4,FALSE)</f>
        <v>12.437281556525077</v>
      </c>
      <c r="E11" s="8">
        <f>VLOOKUP(E$5,'Auction Data'!$E$36:$H$42,4,FALSE)</f>
        <v>12.73</v>
      </c>
      <c r="F11" s="8">
        <f>VLOOKUP(F$5,'Auction Data'!$E$36:$H$42,4,FALSE)</f>
        <v>14.486740520427819</v>
      </c>
      <c r="G11" s="8">
        <f>VLOOKUP(G$5,'Auction Data'!$E$36:$H$43,4,FALSE)</f>
        <v>14.880124463738202</v>
      </c>
      <c r="H11" s="8">
        <f>VLOOKUP(H$5,'Auction Data'!$E$36:$H$43,4,FALSE)</f>
        <v>16.77847358151163</v>
      </c>
      <c r="I11" s="12"/>
      <c r="J11" s="99"/>
      <c r="K11" s="99"/>
      <c r="L11"/>
      <c r="M11"/>
      <c r="N11"/>
      <c r="O11"/>
      <c r="P11"/>
      <c r="Q11"/>
      <c r="R11"/>
      <c r="S11"/>
      <c r="T11"/>
      <c r="AH11" s="100"/>
    </row>
    <row r="12" spans="1:35" s="11" customFormat="1" ht="17.25" x14ac:dyDescent="0.25">
      <c r="A12" s="7" t="s">
        <v>21</v>
      </c>
      <c r="B12" s="60">
        <v>12.002742366814928</v>
      </c>
      <c r="C12" s="60">
        <v>11.663986959374096</v>
      </c>
      <c r="D12" s="60">
        <v>12.437281556525077</v>
      </c>
      <c r="E12" s="8">
        <v>12.73</v>
      </c>
      <c r="F12" s="8">
        <v>13.57</v>
      </c>
      <c r="G12" s="9">
        <v>14.53</v>
      </c>
      <c r="H12" s="13">
        <v>15.62</v>
      </c>
      <c r="I12" s="13">
        <v>16.68</v>
      </c>
      <c r="J12" s="13">
        <f t="shared" ref="J12:S12" si="5">I12*(1+J18+0.05)</f>
        <v>17.898908207187127</v>
      </c>
      <c r="K12" s="13">
        <f t="shared" si="5"/>
        <v>19.199227216103242</v>
      </c>
      <c r="L12" s="13">
        <f t="shared" si="5"/>
        <v>20.600060853798652</v>
      </c>
      <c r="M12" s="13">
        <f t="shared" si="5"/>
        <v>22.08775299202814</v>
      </c>
      <c r="N12" s="13">
        <f t="shared" si="5"/>
        <v>23.682116115044781</v>
      </c>
      <c r="O12" s="13">
        <f t="shared" si="5"/>
        <v>25.405092999826273</v>
      </c>
      <c r="P12" s="13">
        <f t="shared" si="5"/>
        <v>27.270740763971194</v>
      </c>
      <c r="Q12" s="13">
        <f t="shared" si="5"/>
        <v>29.279302538156408</v>
      </c>
      <c r="R12" s="13">
        <f t="shared" si="5"/>
        <v>31.432307851662777</v>
      </c>
      <c r="S12" s="13">
        <f t="shared" si="5"/>
        <v>33.731303601730438</v>
      </c>
      <c r="T12" s="13">
        <f t="shared" ref="T12:AH12" si="6">S12*(1+T18+0.05)</f>
        <v>36.184026823035822</v>
      </c>
      <c r="U12" s="13">
        <f t="shared" si="6"/>
        <v>38.808368644419332</v>
      </c>
      <c r="V12" s="13">
        <f t="shared" si="6"/>
        <v>41.618913196249103</v>
      </c>
      <c r="W12" s="13">
        <f t="shared" si="6"/>
        <v>44.636543482473726</v>
      </c>
      <c r="X12" s="13">
        <f t="shared" si="6"/>
        <v>47.874379038317848</v>
      </c>
      <c r="Y12" s="13">
        <f t="shared" si="6"/>
        <v>51.345251910920553</v>
      </c>
      <c r="Z12" s="13">
        <f t="shared" si="6"/>
        <v>55.06536611901015</v>
      </c>
      <c r="AA12" s="13">
        <f t="shared" si="6"/>
        <v>59.056339192290032</v>
      </c>
      <c r="AB12" s="13">
        <f t="shared" si="6"/>
        <v>63.343381864959625</v>
      </c>
      <c r="AC12" s="13">
        <f t="shared" si="6"/>
        <v>67.947822308830823</v>
      </c>
      <c r="AD12" s="13">
        <f t="shared" si="6"/>
        <v>72.888568870116686</v>
      </c>
      <c r="AE12" s="13">
        <f t="shared" si="6"/>
        <v>78.194428272425853</v>
      </c>
      <c r="AF12" s="13">
        <f t="shared" si="6"/>
        <v>83.894780746353064</v>
      </c>
      <c r="AG12" s="13">
        <f t="shared" si="6"/>
        <v>90.015198287696222</v>
      </c>
      <c r="AH12" s="12">
        <f t="shared" si="6"/>
        <v>96.592436663463232</v>
      </c>
      <c r="AI12" s="13"/>
    </row>
    <row r="13" spans="1:35" s="7" customFormat="1" ht="17.25" x14ac:dyDescent="0.25">
      <c r="A13" s="7" t="s">
        <v>4</v>
      </c>
      <c r="B13" s="14">
        <v>39</v>
      </c>
      <c r="C13" s="15">
        <v>40</v>
      </c>
      <c r="D13" s="15">
        <f t="shared" ref="D13:I13" si="7">C13*(1.05+D$18)</f>
        <v>42.048372140182039</v>
      </c>
      <c r="E13" s="15">
        <f t="shared" si="7"/>
        <v>44.68547492413515</v>
      </c>
      <c r="F13" s="15">
        <f t="shared" si="7"/>
        <v>47.875418530426217</v>
      </c>
      <c r="G13" s="15">
        <f t="shared" si="7"/>
        <v>51.438016666128298</v>
      </c>
      <c r="H13" s="15">
        <f t="shared" si="7"/>
        <v>55.086390127563462</v>
      </c>
      <c r="I13" s="15">
        <f t="shared" si="7"/>
        <v>59.095194764433828</v>
      </c>
      <c r="J13" s="15">
        <v>65</v>
      </c>
      <c r="K13" s="15">
        <f>J13*(1.05+K$18)</f>
        <v>69.72211682417641</v>
      </c>
      <c r="L13" s="15">
        <f t="shared" ref="L13:S13" si="8">K13*(1.05+L$18)</f>
        <v>74.809253167701527</v>
      </c>
      <c r="M13" s="15">
        <f t="shared" si="8"/>
        <v>80.211816713230405</v>
      </c>
      <c r="N13" s="15">
        <f t="shared" si="8"/>
        <v>86.001756624451843</v>
      </c>
      <c r="O13" s="15">
        <f t="shared" si="8"/>
        <v>92.258758236752811</v>
      </c>
      <c r="P13" s="15">
        <f t="shared" si="8"/>
        <v>99.0338700628879</v>
      </c>
      <c r="Q13" s="15">
        <f t="shared" si="8"/>
        <v>106.32797503347014</v>
      </c>
      <c r="R13" s="15">
        <f t="shared" si="8"/>
        <v>114.14662764389698</v>
      </c>
      <c r="S13" s="15">
        <f t="shared" si="8"/>
        <v>122.4954454614214</v>
      </c>
      <c r="T13" s="15">
        <f t="shared" ref="T13:AH13" si="9">S13*(1.05+T$18)</f>
        <v>131.40252557711435</v>
      </c>
      <c r="U13" s="15">
        <f t="shared" si="9"/>
        <v>140.93283974015546</v>
      </c>
      <c r="V13" s="15">
        <f t="shared" si="9"/>
        <v>151.13935031355345</v>
      </c>
      <c r="W13" s="15">
        <f t="shared" si="9"/>
        <v>162.09789406014019</v>
      </c>
      <c r="X13" s="15">
        <f t="shared" si="9"/>
        <v>173.85611465626349</v>
      </c>
      <c r="Y13" s="15">
        <f t="shared" si="9"/>
        <v>186.46061176344378</v>
      </c>
      <c r="Z13" s="15">
        <f t="shared" si="9"/>
        <v>199.97023037966355</v>
      </c>
      <c r="AA13" s="15">
        <f t="shared" si="9"/>
        <v>214.46347470274623</v>
      </c>
      <c r="AB13" s="15">
        <f t="shared" si="9"/>
        <v>230.03189767569782</v>
      </c>
      <c r="AC13" s="15">
        <f t="shared" si="9"/>
        <v>246.75295269130217</v>
      </c>
      <c r="AD13" s="15">
        <f t="shared" si="9"/>
        <v>264.69530553015449</v>
      </c>
      <c r="AE13" s="15">
        <f t="shared" si="9"/>
        <v>283.96356799387354</v>
      </c>
      <c r="AF13" s="15">
        <f t="shared" si="9"/>
        <v>304.66443457837778</v>
      </c>
      <c r="AG13" s="15">
        <f t="shared" si="9"/>
        <v>326.89077015048616</v>
      </c>
      <c r="AH13" s="15">
        <f t="shared" si="9"/>
        <v>350.7760535139256</v>
      </c>
      <c r="AI13" s="15"/>
    </row>
    <row r="14" spans="1:35" s="7" customFormat="1" x14ac:dyDescent="0.25">
      <c r="A14" s="7" t="s">
        <v>18</v>
      </c>
      <c r="B14" s="14"/>
      <c r="C14" s="15"/>
      <c r="D14" s="15"/>
      <c r="E14" s="15"/>
      <c r="F14" s="15"/>
      <c r="G14" s="15"/>
      <c r="H14" s="15"/>
      <c r="I14" s="15"/>
      <c r="J14" s="15">
        <v>41.4</v>
      </c>
      <c r="K14" s="15">
        <f t="shared" ref="K14:S16" si="10">J14*(1.05+K$18)</f>
        <v>44.407625177244661</v>
      </c>
      <c r="L14" s="15">
        <f t="shared" si="10"/>
        <v>47.64773970988989</v>
      </c>
      <c r="M14" s="15">
        <f t="shared" si="10"/>
        <v>51.088757106580587</v>
      </c>
      <c r="N14" s="15">
        <f t="shared" si="10"/>
        <v>54.776503450035477</v>
      </c>
      <c r="O14" s="15">
        <f t="shared" si="10"/>
        <v>58.761732169254863</v>
      </c>
      <c r="P14" s="15">
        <f t="shared" si="10"/>
        <v>63.076957240054746</v>
      </c>
      <c r="Q14" s="15">
        <f t="shared" si="10"/>
        <v>67.722741021317901</v>
      </c>
      <c r="R14" s="15">
        <f t="shared" si="10"/>
        <v>72.702621299343605</v>
      </c>
      <c r="S14" s="15">
        <f t="shared" si="10"/>
        <v>78.020176032351458</v>
      </c>
      <c r="T14" s="15">
        <f t="shared" ref="T14:AH14" si="11">S14*(1.05+T$18)</f>
        <v>83.693300906038971</v>
      </c>
      <c r="U14" s="15">
        <f t="shared" si="11"/>
        <v>89.763377926806697</v>
      </c>
      <c r="V14" s="15">
        <f t="shared" si="11"/>
        <v>96.264140045863257</v>
      </c>
      <c r="W14" s="15">
        <f t="shared" si="11"/>
        <v>103.24388944753542</v>
      </c>
      <c r="X14" s="15">
        <f t="shared" si="11"/>
        <v>110.73297148875857</v>
      </c>
      <c r="Y14" s="15">
        <f t="shared" si="11"/>
        <v>118.76106656933186</v>
      </c>
      <c r="Z14" s="15">
        <f t="shared" si="11"/>
        <v>127.36565442643183</v>
      </c>
      <c r="AA14" s="15">
        <f t="shared" si="11"/>
        <v>136.59673619528755</v>
      </c>
      <c r="AB14" s="15">
        <f t="shared" si="11"/>
        <v>146.51262405805977</v>
      </c>
      <c r="AC14" s="15">
        <f t="shared" si="11"/>
        <v>157.16264986799854</v>
      </c>
      <c r="AD14" s="15">
        <f t="shared" si="11"/>
        <v>168.59054844535984</v>
      </c>
      <c r="AE14" s="15">
        <f t="shared" si="11"/>
        <v>180.8629494607132</v>
      </c>
      <c r="AF14" s="15">
        <f t="shared" si="11"/>
        <v>194.04780910068973</v>
      </c>
      <c r="AG14" s="15">
        <f t="shared" si="11"/>
        <v>208.20427514200182</v>
      </c>
      <c r="AH14" s="15">
        <f t="shared" si="11"/>
        <v>223.41736331502321</v>
      </c>
      <c r="AI14" s="15"/>
    </row>
    <row r="15" spans="1:35" s="7" customFormat="1" x14ac:dyDescent="0.25">
      <c r="A15" s="7" t="s">
        <v>19</v>
      </c>
      <c r="B15" s="14"/>
      <c r="C15" s="15"/>
      <c r="D15" s="15"/>
      <c r="E15" s="15"/>
      <c r="F15" s="15"/>
      <c r="G15" s="15"/>
      <c r="H15" s="15"/>
      <c r="I15" s="15"/>
      <c r="J15" s="15">
        <v>53.2</v>
      </c>
      <c r="K15" s="15">
        <f t="shared" si="10"/>
        <v>57.064871000710539</v>
      </c>
      <c r="L15" s="15">
        <f t="shared" si="10"/>
        <v>61.228496438795716</v>
      </c>
      <c r="M15" s="15">
        <f t="shared" si="10"/>
        <v>65.650286909905503</v>
      </c>
      <c r="N15" s="15">
        <f t="shared" si="10"/>
        <v>70.389130037243675</v>
      </c>
      <c r="O15" s="15">
        <f t="shared" si="10"/>
        <v>75.510245203003848</v>
      </c>
      <c r="P15" s="15">
        <f t="shared" si="10"/>
        <v>81.055413651471341</v>
      </c>
      <c r="Q15" s="15">
        <f t="shared" si="10"/>
        <v>87.025358027394034</v>
      </c>
      <c r="R15" s="15">
        <f t="shared" si="10"/>
        <v>93.424624471620305</v>
      </c>
      <c r="S15" s="15">
        <f t="shared" si="10"/>
        <v>100.25781074688645</v>
      </c>
      <c r="T15" s="15">
        <f t="shared" ref="T15:AH15" si="12">S15*(1.05+T$18)</f>
        <v>107.54791324157668</v>
      </c>
      <c r="U15" s="15">
        <f t="shared" si="12"/>
        <v>115.34810883348111</v>
      </c>
      <c r="V15" s="15">
        <f t="shared" si="12"/>
        <v>123.70174517970838</v>
      </c>
      <c r="W15" s="15">
        <f t="shared" si="12"/>
        <v>132.67089175383782</v>
      </c>
      <c r="X15" s="15">
        <f t="shared" si="12"/>
        <v>142.29454307251103</v>
      </c>
      <c r="Y15" s="15">
        <f t="shared" si="12"/>
        <v>152.61083916638782</v>
      </c>
      <c r="Z15" s="15">
        <f t="shared" si="12"/>
        <v>163.6679424030477</v>
      </c>
      <c r="AA15" s="15">
        <f t="shared" si="12"/>
        <v>175.5301054490169</v>
      </c>
      <c r="AB15" s="15">
        <f t="shared" si="12"/>
        <v>188.27226086687881</v>
      </c>
      <c r="AC15" s="15">
        <f t="shared" si="12"/>
        <v>201.95780127965037</v>
      </c>
      <c r="AD15" s="15">
        <f t="shared" si="12"/>
        <v>216.64292698775719</v>
      </c>
      <c r="AE15" s="15">
        <f t="shared" si="12"/>
        <v>232.4132587272934</v>
      </c>
      <c r="AF15" s="15">
        <f t="shared" si="12"/>
        <v>249.35612183953378</v>
      </c>
      <c r="AG15" s="15">
        <f t="shared" si="12"/>
        <v>267.54752264624403</v>
      </c>
      <c r="AH15" s="15">
        <f t="shared" si="12"/>
        <v>287.09670841447445</v>
      </c>
      <c r="AI15" s="15"/>
    </row>
    <row r="16" spans="1:35" s="7" customFormat="1" x14ac:dyDescent="0.25">
      <c r="A16" s="7" t="s">
        <v>5</v>
      </c>
      <c r="B16" s="14"/>
      <c r="C16" s="15"/>
      <c r="D16" s="15"/>
      <c r="E16" s="15"/>
      <c r="F16" s="15"/>
      <c r="G16" s="15"/>
      <c r="H16" s="16"/>
      <c r="I16" s="15"/>
      <c r="J16" s="15">
        <v>65</v>
      </c>
      <c r="K16" s="15">
        <f t="shared" si="10"/>
        <v>69.72211682417641</v>
      </c>
      <c r="L16" s="15">
        <f t="shared" si="10"/>
        <v>74.809253167701527</v>
      </c>
      <c r="M16" s="15">
        <f t="shared" si="10"/>
        <v>80.211816713230405</v>
      </c>
      <c r="N16" s="15">
        <f t="shared" si="10"/>
        <v>86.001756624451843</v>
      </c>
      <c r="O16" s="15">
        <f t="shared" si="10"/>
        <v>92.258758236752811</v>
      </c>
      <c r="P16" s="15">
        <f t="shared" si="10"/>
        <v>99.0338700628879</v>
      </c>
      <c r="Q16" s="15">
        <f t="shared" si="10"/>
        <v>106.32797503347014</v>
      </c>
      <c r="R16" s="15">
        <f t="shared" si="10"/>
        <v>114.14662764389698</v>
      </c>
      <c r="S16" s="15">
        <f t="shared" si="10"/>
        <v>122.4954454614214</v>
      </c>
      <c r="T16" s="15">
        <f t="shared" ref="T16:AH16" si="13">S16*(1.05+T$18)</f>
        <v>131.40252557711435</v>
      </c>
      <c r="U16" s="15">
        <f t="shared" si="13"/>
        <v>140.93283974015546</v>
      </c>
      <c r="V16" s="15">
        <f t="shared" si="13"/>
        <v>151.13935031355345</v>
      </c>
      <c r="W16" s="15">
        <f t="shared" si="13"/>
        <v>162.09789406014019</v>
      </c>
      <c r="X16" s="15">
        <f t="shared" si="13"/>
        <v>173.85611465626349</v>
      </c>
      <c r="Y16" s="15">
        <f t="shared" si="13"/>
        <v>186.46061176344378</v>
      </c>
      <c r="Z16" s="15">
        <f t="shared" si="13"/>
        <v>199.97023037966355</v>
      </c>
      <c r="AA16" s="15">
        <f t="shared" si="13"/>
        <v>214.46347470274623</v>
      </c>
      <c r="AB16" s="15">
        <f t="shared" si="13"/>
        <v>230.03189767569782</v>
      </c>
      <c r="AC16" s="15">
        <f t="shared" si="13"/>
        <v>246.75295269130217</v>
      </c>
      <c r="AD16" s="15">
        <f t="shared" si="13"/>
        <v>264.69530553015449</v>
      </c>
      <c r="AE16" s="15">
        <f t="shared" si="13"/>
        <v>283.96356799387354</v>
      </c>
      <c r="AF16" s="15">
        <f t="shared" si="13"/>
        <v>304.66443457837778</v>
      </c>
      <c r="AG16" s="15">
        <f t="shared" si="13"/>
        <v>326.89077015048616</v>
      </c>
      <c r="AH16" s="15">
        <f t="shared" si="13"/>
        <v>350.7760535139256</v>
      </c>
      <c r="AI16" s="15"/>
    </row>
    <row r="17" spans="1:43" s="7" customFormat="1" ht="32.25" x14ac:dyDescent="0.25">
      <c r="A17" s="62" t="s">
        <v>69</v>
      </c>
      <c r="B17" s="15">
        <v>0.92763611440200067</v>
      </c>
      <c r="C17" s="15">
        <v>0.94258788746466671</v>
      </c>
      <c r="D17" s="15">
        <v>0.94372776230032496</v>
      </c>
      <c r="E17" s="15">
        <v>0.95572813891805752</v>
      </c>
      <c r="F17" s="15">
        <v>0.97616790325644964</v>
      </c>
      <c r="G17" s="15">
        <v>1</v>
      </c>
      <c r="H17" s="15">
        <v>1.0209275687108208</v>
      </c>
      <c r="I17" s="15">
        <v>1.044177203535166</v>
      </c>
      <c r="J17" s="15">
        <v>1.0682726696861484</v>
      </c>
      <c r="K17" s="15">
        <v>1.0924668569146534</v>
      </c>
      <c r="L17" s="15">
        <v>1.1175531973810615</v>
      </c>
      <c r="M17" s="15">
        <v>1.1423828285048141</v>
      </c>
      <c r="N17" s="15">
        <v>1.1677244541296616</v>
      </c>
      <c r="O17" s="15">
        <v>1.1942952611280253</v>
      </c>
      <c r="P17" s="15">
        <v>1.2222847345279759</v>
      </c>
      <c r="Q17" s="15">
        <v>1.2511949828785094</v>
      </c>
      <c r="R17" s="15">
        <v>1.2806397971240082</v>
      </c>
      <c r="S17" s="15">
        <v>1.310275299481551</v>
      </c>
      <c r="T17" s="9">
        <v>1.3400363181709307</v>
      </c>
      <c r="U17">
        <v>1.3702241646829834</v>
      </c>
      <c r="V17">
        <v>1.4009460908307674</v>
      </c>
      <c r="W17">
        <v>1.4324760988231833</v>
      </c>
      <c r="X17">
        <v>1.464760923085979</v>
      </c>
      <c r="Y17">
        <v>1.4977174439404441</v>
      </c>
      <c r="Z17">
        <v>1.5313455966151444</v>
      </c>
      <c r="AA17">
        <v>1.5657656664147908</v>
      </c>
      <c r="AB17">
        <v>1.6011401044737992</v>
      </c>
      <c r="AC17">
        <v>1.6374702266229464</v>
      </c>
      <c r="AD17">
        <v>1.6746634508616869</v>
      </c>
      <c r="AE17">
        <v>1.7128359345030655</v>
      </c>
      <c r="AF17">
        <v>1.7520594097977988</v>
      </c>
      <c r="AG17">
        <v>1.7922752982381522</v>
      </c>
      <c r="AH17" s="12">
        <v>1.833619661461841</v>
      </c>
    </row>
    <row r="18" spans="1:43" s="7" customFormat="1" x14ac:dyDescent="0.25">
      <c r="A18" s="7" t="s">
        <v>6</v>
      </c>
      <c r="B18" s="17">
        <v>1.4647595320435247E-2</v>
      </c>
      <c r="C18" s="17">
        <f>+C17/B17-1</f>
        <v>1.6118144637247811E-2</v>
      </c>
      <c r="D18" s="17">
        <f t="shared" ref="D18:S18" si="14">+D17/C17-1</f>
        <v>1.2093035045508405E-3</v>
      </c>
      <c r="E18" s="17">
        <f t="shared" si="14"/>
        <v>1.2715930480292181E-2</v>
      </c>
      <c r="F18" s="17">
        <f t="shared" si="14"/>
        <v>2.1386588409473051E-2</v>
      </c>
      <c r="G18" s="17">
        <f t="shared" si="14"/>
        <v>2.4413931931225763E-2</v>
      </c>
      <c r="H18" s="17">
        <f t="shared" si="14"/>
        <v>2.0927568710820799E-2</v>
      </c>
      <c r="I18" s="17">
        <f t="shared" si="14"/>
        <v>2.2773050250473492E-2</v>
      </c>
      <c r="J18" s="17">
        <f t="shared" si="14"/>
        <v>2.3076031605942848E-2</v>
      </c>
      <c r="K18" s="17">
        <f t="shared" si="14"/>
        <v>2.264795114117546E-2</v>
      </c>
      <c r="L18" s="17">
        <f t="shared" si="14"/>
        <v>2.2963021997076449E-2</v>
      </c>
      <c r="M18" s="17">
        <f t="shared" si="14"/>
        <v>2.2217851626159524E-2</v>
      </c>
      <c r="N18" s="17">
        <f t="shared" si="14"/>
        <v>2.2183128976137834E-2</v>
      </c>
      <c r="O18" s="17">
        <f t="shared" si="14"/>
        <v>2.2754346630659228E-2</v>
      </c>
      <c r="P18" s="17">
        <f t="shared" si="14"/>
        <v>2.3435974596025977E-2</v>
      </c>
      <c r="Q18" s="17">
        <f t="shared" si="14"/>
        <v>2.3652629811905523E-2</v>
      </c>
      <c r="R18" s="17">
        <f t="shared" si="14"/>
        <v>2.3533353832476012E-2</v>
      </c>
      <c r="S18" s="17">
        <f t="shared" si="14"/>
        <v>2.3141169299983222E-2</v>
      </c>
      <c r="T18" s="17">
        <f t="shared" ref="T18:AH18" si="15">+T17/S17-1</f>
        <v>2.2713561570729013E-2</v>
      </c>
      <c r="U18" s="17">
        <f t="shared" si="15"/>
        <v>2.2527633096733668E-2</v>
      </c>
      <c r="V18" s="17">
        <f t="shared" si="15"/>
        <v>2.242109498549949E-2</v>
      </c>
      <c r="W18" s="17">
        <f t="shared" si="15"/>
        <v>2.250622504233446E-2</v>
      </c>
      <c r="X18" s="17">
        <f t="shared" si="15"/>
        <v>2.2537775177762898E-2</v>
      </c>
      <c r="Y18" s="17">
        <f t="shared" si="15"/>
        <v>2.2499590434889472E-2</v>
      </c>
      <c r="Z18" s="17">
        <f t="shared" si="15"/>
        <v>2.2452935171954458E-2</v>
      </c>
      <c r="AA18" s="17">
        <f t="shared" si="15"/>
        <v>2.2477009680719862E-2</v>
      </c>
      <c r="AB18" s="17">
        <f t="shared" si="15"/>
        <v>2.2592421597803281E-2</v>
      </c>
      <c r="AC18" s="17">
        <f t="shared" si="15"/>
        <v>2.2690158123974236E-2</v>
      </c>
      <c r="AD18" s="17">
        <f t="shared" si="15"/>
        <v>2.271383237022051E-2</v>
      </c>
      <c r="AE18" s="17">
        <f t="shared" si="15"/>
        <v>2.2794122378282822E-2</v>
      </c>
      <c r="AF18" s="17">
        <f t="shared" si="15"/>
        <v>2.2899726999312975E-2</v>
      </c>
      <c r="AG18" s="17">
        <f t="shared" si="15"/>
        <v>2.2953495877742203E-2</v>
      </c>
      <c r="AH18" s="15">
        <f t="shared" si="15"/>
        <v>2.3068087399481074E-2</v>
      </c>
    </row>
    <row r="19" spans="1:43" x14ac:dyDescent="0.25">
      <c r="A19" s="7"/>
      <c r="B19" s="9"/>
      <c r="C19" s="9"/>
      <c r="D19" s="9"/>
      <c r="E19" s="9"/>
      <c r="F19" s="9"/>
      <c r="G19" s="9"/>
      <c r="H19" s="9"/>
      <c r="I19" s="9"/>
      <c r="J19" s="9"/>
      <c r="K19" s="9"/>
      <c r="L19" s="9"/>
      <c r="M19" s="9"/>
      <c r="N19" s="9"/>
      <c r="O19" s="9"/>
      <c r="P19" s="9"/>
      <c r="Q19" s="9"/>
      <c r="R19" s="9"/>
      <c r="S19" s="9"/>
      <c r="T19" s="9"/>
      <c r="U19" s="9"/>
      <c r="V19" s="9"/>
      <c r="W19" s="9"/>
      <c r="X19" s="9"/>
      <c r="Y19" s="9"/>
      <c r="Z19" s="9"/>
      <c r="AA19" s="9"/>
      <c r="AB19" s="9"/>
      <c r="AC19" s="9"/>
      <c r="AD19" s="9"/>
      <c r="AE19" s="9"/>
      <c r="AF19" s="9"/>
      <c r="AG19" s="9"/>
      <c r="AH19" s="12"/>
    </row>
    <row r="20" spans="1:43" x14ac:dyDescent="0.25">
      <c r="A20" s="7"/>
      <c r="G20" s="6"/>
      <c r="H20" s="6"/>
      <c r="I20" s="6"/>
      <c r="J20" s="6"/>
      <c r="K20" s="6"/>
      <c r="L20" s="6"/>
      <c r="M20" s="6"/>
      <c r="N20" s="6"/>
      <c r="O20" s="6"/>
      <c r="P20" s="6"/>
      <c r="Q20" s="6"/>
      <c r="R20" s="6"/>
      <c r="S20" s="6"/>
      <c r="AH20" s="12"/>
    </row>
    <row r="21" spans="1:43" ht="18" x14ac:dyDescent="0.35">
      <c r="A21" s="96" t="s">
        <v>7</v>
      </c>
      <c r="B21" s="96"/>
      <c r="C21" s="96"/>
      <c r="D21" s="96"/>
      <c r="E21" s="96"/>
      <c r="F21" s="96"/>
      <c r="G21" s="96"/>
      <c r="H21" s="96"/>
      <c r="I21" s="96"/>
      <c r="J21" s="96"/>
      <c r="K21" s="96"/>
      <c r="L21" s="96"/>
      <c r="M21" s="96"/>
      <c r="N21" s="96"/>
      <c r="O21" s="96"/>
      <c r="P21" s="96"/>
      <c r="Q21" s="96"/>
      <c r="R21" s="96"/>
      <c r="S21" s="96"/>
      <c r="AH21" s="12"/>
    </row>
    <row r="22" spans="1:43" x14ac:dyDescent="0.25">
      <c r="B22">
        <v>2013</v>
      </c>
      <c r="C22">
        <v>2014</v>
      </c>
      <c r="D22">
        <v>2015</v>
      </c>
      <c r="E22">
        <v>2016</v>
      </c>
      <c r="F22">
        <v>2017</v>
      </c>
      <c r="G22">
        <v>2018</v>
      </c>
      <c r="H22">
        <v>2019</v>
      </c>
      <c r="I22">
        <v>2020</v>
      </c>
      <c r="J22">
        <v>2021</v>
      </c>
      <c r="K22">
        <v>2022</v>
      </c>
      <c r="L22">
        <v>2023</v>
      </c>
      <c r="M22">
        <v>2024</v>
      </c>
      <c r="N22">
        <v>2025</v>
      </c>
      <c r="O22">
        <v>2026</v>
      </c>
      <c r="P22">
        <v>2027</v>
      </c>
      <c r="Q22">
        <v>2028</v>
      </c>
      <c r="R22">
        <v>2029</v>
      </c>
      <c r="S22">
        <v>2030</v>
      </c>
      <c r="AH22" s="12"/>
    </row>
    <row r="23" spans="1:43" x14ac:dyDescent="0.25">
      <c r="A23" s="7" t="str">
        <f>+A6</f>
        <v>Annual Average Auction Sale Price</v>
      </c>
      <c r="B23" s="18">
        <f t="shared" ref="B23:G23" si="16">+B11/B$30</f>
        <v>13.852969138898224</v>
      </c>
      <c r="C23" s="18">
        <f t="shared" si="16"/>
        <v>12.422027814468837</v>
      </c>
      <c r="D23" s="18">
        <f t="shared" si="16"/>
        <v>13.104890186466077</v>
      </c>
      <c r="E23" s="18">
        <f t="shared" si="16"/>
        <v>13.26843293236881</v>
      </c>
      <c r="F23" s="18">
        <f t="shared" si="16"/>
        <v>14.817928705676918</v>
      </c>
      <c r="G23" s="18">
        <f t="shared" si="16"/>
        <v>14.880124463738202</v>
      </c>
      <c r="AH23" s="12"/>
    </row>
    <row r="24" spans="1:43" x14ac:dyDescent="0.25">
      <c r="A24" s="7" t="str">
        <f>+A7</f>
        <v>Low Price (High Demand Scenario)</v>
      </c>
      <c r="C24" s="18"/>
      <c r="D24" s="18"/>
      <c r="E24" s="18"/>
      <c r="F24" s="18"/>
      <c r="G24" s="18"/>
      <c r="H24" s="18">
        <f t="shared" ref="H24:AH24" si="17">+H7/H$30</f>
        <v>16.508273094023576</v>
      </c>
      <c r="I24" s="18">
        <f t="shared" si="17"/>
        <v>16.125236913423546</v>
      </c>
      <c r="J24" s="18">
        <f t="shared" si="17"/>
        <v>16.962574763735994</v>
      </c>
      <c r="K24" s="18">
        <f t="shared" si="17"/>
        <v>17.826948029067321</v>
      </c>
      <c r="L24" s="18">
        <f t="shared" si="17"/>
        <v>18.759831155266767</v>
      </c>
      <c r="M24" s="18">
        <f t="shared" si="17"/>
        <v>19.731407442772102</v>
      </c>
      <c r="N24" s="18">
        <f t="shared" si="17"/>
        <v>20.763797897954092</v>
      </c>
      <c r="O24" s="18">
        <f t="shared" si="17"/>
        <v>21.859218447326146</v>
      </c>
      <c r="P24" s="18">
        <f t="shared" si="17"/>
        <v>23.019494692092803</v>
      </c>
      <c r="Q24" s="18">
        <f t="shared" si="17"/>
        <v>24.245237912453959</v>
      </c>
      <c r="R24" s="18">
        <f t="shared" si="17"/>
        <v>25.526822355652083</v>
      </c>
      <c r="S24" s="18">
        <f t="shared" si="17"/>
        <v>26.871968498454262</v>
      </c>
      <c r="T24" s="18">
        <f t="shared" si="17"/>
        <v>28.285830907886972</v>
      </c>
      <c r="U24" s="18">
        <f t="shared" si="17"/>
        <v>29.773897673066134</v>
      </c>
      <c r="V24" s="18">
        <f t="shared" si="17"/>
        <v>31.334269892726589</v>
      </c>
      <c r="W24" s="18">
        <f t="shared" si="17"/>
        <v>32.985638578515832</v>
      </c>
      <c r="X24" s="18">
        <f t="shared" si="17"/>
        <v>34.72929916011558</v>
      </c>
      <c r="Y24" s="18">
        <f t="shared" si="17"/>
        <v>36.571233549356144</v>
      </c>
      <c r="Z24" s="18">
        <f t="shared" si="17"/>
        <v>38.512485539395193</v>
      </c>
      <c r="AA24" s="18">
        <f t="shared" si="17"/>
        <v>40.560037495594337</v>
      </c>
      <c r="AB24" s="18">
        <f t="shared" si="17"/>
        <v>42.732594682057801</v>
      </c>
      <c r="AC24" s="18">
        <f t="shared" si="17"/>
        <v>45.032172950878021</v>
      </c>
      <c r="AD24" s="18">
        <f t="shared" si="17"/>
        <v>47.460992626469576</v>
      </c>
      <c r="AE24" s="18">
        <f t="shared" si="17"/>
        <v>50.037435067382951</v>
      </c>
      <c r="AF24" s="18">
        <f t="shared" si="17"/>
        <v>52.771776208615115</v>
      </c>
      <c r="AG24" s="18">
        <f t="shared" si="17"/>
        <v>55.672032056594752</v>
      </c>
      <c r="AH24" s="8">
        <f t="shared" si="17"/>
        <v>58.745619766339892</v>
      </c>
    </row>
    <row r="25" spans="1:43" x14ac:dyDescent="0.25">
      <c r="A25" s="7" t="str">
        <f>+A8</f>
        <v>Mid Price (Mid Demand Scenario)</v>
      </c>
      <c r="B25" s="18"/>
      <c r="C25" s="18"/>
      <c r="D25" s="18"/>
      <c r="E25" s="18"/>
      <c r="F25" s="18"/>
      <c r="G25" s="18"/>
      <c r="H25" s="18">
        <f t="shared" ref="H25:AH25" si="18">+H8/H$30</f>
        <v>16.508273094023576</v>
      </c>
      <c r="I25" s="18">
        <f t="shared" si="18"/>
        <v>18.652630917540723</v>
      </c>
      <c r="J25" s="18">
        <f t="shared" si="18"/>
        <v>21.026784506497883</v>
      </c>
      <c r="K25" s="18">
        <f t="shared" si="18"/>
        <v>23.690731491691089</v>
      </c>
      <c r="L25" s="18">
        <f t="shared" si="18"/>
        <v>26.719186609915823</v>
      </c>
      <c r="M25" s="18">
        <f t="shared" si="18"/>
        <v>30.140255501444006</v>
      </c>
      <c r="N25" s="18">
        <f t="shared" si="18"/>
        <v>34.017647727170591</v>
      </c>
      <c r="O25" s="18">
        <f t="shared" si="18"/>
        <v>38.38923204026738</v>
      </c>
      <c r="P25" s="18">
        <f t="shared" si="18"/>
        <v>43.308388601578166</v>
      </c>
      <c r="Q25" s="18">
        <f t="shared" si="18"/>
        <v>48.855840316249591</v>
      </c>
      <c r="R25" s="18">
        <f t="shared" si="18"/>
        <v>55.099650234149522</v>
      </c>
      <c r="S25" s="18">
        <f t="shared" si="18"/>
        <v>62.154460645921986</v>
      </c>
      <c r="T25" s="18">
        <f t="shared" si="18"/>
        <v>65.424850836226071</v>
      </c>
      <c r="U25" s="18">
        <f t="shared" si="18"/>
        <v>68.86673474139522</v>
      </c>
      <c r="V25" s="18">
        <f t="shared" si="18"/>
        <v>72.475860457119254</v>
      </c>
      <c r="W25" s="18">
        <f t="shared" si="18"/>
        <v>76.295460110925106</v>
      </c>
      <c r="X25" s="18">
        <f t="shared" si="18"/>
        <v>80.32853001902393</v>
      </c>
      <c r="Y25" s="18">
        <f t="shared" si="18"/>
        <v>84.588906285099171</v>
      </c>
      <c r="Z25" s="18">
        <f t="shared" si="18"/>
        <v>89.079003192537684</v>
      </c>
      <c r="AA25" s="18">
        <f t="shared" si="18"/>
        <v>93.814970884276917</v>
      </c>
      <c r="AB25" s="18">
        <f t="shared" si="18"/>
        <v>98.840074453637158</v>
      </c>
      <c r="AC25" s="18">
        <f t="shared" si="18"/>
        <v>104.15897654683464</v>
      </c>
      <c r="AD25" s="18">
        <f t="shared" si="18"/>
        <v>109.77681275257115</v>
      </c>
      <c r="AE25" s="18">
        <f t="shared" si="18"/>
        <v>115.73609897378232</v>
      </c>
      <c r="AF25" s="18">
        <f t="shared" si="18"/>
        <v>122.0606033478288</v>
      </c>
      <c r="AG25" s="18">
        <f t="shared" si="18"/>
        <v>128.76886681934846</v>
      </c>
      <c r="AH25" s="8">
        <f t="shared" si="18"/>
        <v>135.87804519551077</v>
      </c>
      <c r="AI25" s="9"/>
      <c r="AJ25" s="9"/>
      <c r="AK25" s="9"/>
      <c r="AL25" s="9"/>
      <c r="AM25" s="9"/>
      <c r="AN25" s="9"/>
      <c r="AO25" s="9"/>
      <c r="AP25" s="9"/>
      <c r="AQ25" s="9"/>
    </row>
    <row r="26" spans="1:43" x14ac:dyDescent="0.25">
      <c r="A26" s="7" t="str">
        <f>+A9</f>
        <v>High Price (Low Demand Scenario)</v>
      </c>
      <c r="B26" s="18"/>
      <c r="C26" s="18"/>
      <c r="D26" s="18"/>
      <c r="E26" s="18"/>
      <c r="F26" s="18"/>
      <c r="G26" s="18"/>
      <c r="H26" s="18">
        <f t="shared" ref="H26:S26" si="19">+H9/H$30</f>
        <v>16.508273094023576</v>
      </c>
      <c r="I26" s="18">
        <f t="shared" si="19"/>
        <v>19.082761059620758</v>
      </c>
      <c r="J26" s="18">
        <f t="shared" si="19"/>
        <v>22.007722177844144</v>
      </c>
      <c r="K26" s="18">
        <f t="shared" si="19"/>
        <v>25.367742295969418</v>
      </c>
      <c r="L26" s="18">
        <f t="shared" si="19"/>
        <v>29.270335158993642</v>
      </c>
      <c r="M26" s="18">
        <f t="shared" si="19"/>
        <v>33.779444806045348</v>
      </c>
      <c r="N26" s="18">
        <f t="shared" si="19"/>
        <v>39.004163902830371</v>
      </c>
      <c r="O26" s="18">
        <f t="shared" si="19"/>
        <v>45.031584985826072</v>
      </c>
      <c r="P26" s="18">
        <f t="shared" si="19"/>
        <v>51.973378571181222</v>
      </c>
      <c r="Q26" s="18">
        <f t="shared" si="19"/>
        <v>59.982771365510004</v>
      </c>
      <c r="R26" s="18">
        <f t="shared" si="19"/>
        <v>69.20858938574365</v>
      </c>
      <c r="S26" s="18">
        <f t="shared" si="19"/>
        <v>79.870163451854012</v>
      </c>
      <c r="T26" s="9"/>
      <c r="U26" s="18"/>
      <c r="AH26" s="12"/>
      <c r="AI26" s="9"/>
      <c r="AJ26" s="9"/>
      <c r="AK26" s="9"/>
      <c r="AL26" s="9"/>
      <c r="AM26" s="9"/>
      <c r="AN26" s="9"/>
      <c r="AO26" s="9"/>
      <c r="AP26" s="9"/>
      <c r="AQ26" s="9"/>
    </row>
    <row r="27" spans="1:43" x14ac:dyDescent="0.25">
      <c r="A27" s="7"/>
      <c r="B27" s="18"/>
      <c r="C27" s="18"/>
      <c r="D27" s="18"/>
      <c r="E27" s="18"/>
      <c r="F27" s="18"/>
      <c r="G27" s="18"/>
      <c r="H27" s="18"/>
      <c r="I27" s="18"/>
      <c r="J27" s="18"/>
      <c r="K27" s="18"/>
      <c r="L27" s="18"/>
      <c r="M27" s="18"/>
      <c r="N27" s="18"/>
      <c r="O27" s="18"/>
      <c r="P27" s="18"/>
      <c r="Q27" s="18"/>
      <c r="R27" s="18"/>
      <c r="S27" s="18"/>
      <c r="T27" s="9"/>
      <c r="U27" s="18"/>
      <c r="AH27" s="12"/>
    </row>
    <row r="28" spans="1:43" x14ac:dyDescent="0.25">
      <c r="A28" s="7" t="s">
        <v>8</v>
      </c>
      <c r="B28" s="18">
        <f t="shared" ref="B28:S28" si="20">+B12/B$30</f>
        <v>13.024349989644366</v>
      </c>
      <c r="C28" s="18">
        <f t="shared" si="20"/>
        <v>12.422027814468837</v>
      </c>
      <c r="D28" s="18">
        <f t="shared" si="20"/>
        <v>13.104890186466077</v>
      </c>
      <c r="E28" s="18">
        <f t="shared" si="20"/>
        <v>13.26843293236881</v>
      </c>
      <c r="F28" s="18">
        <f t="shared" si="20"/>
        <v>13.880230149252204</v>
      </c>
      <c r="G28" s="18">
        <f t="shared" si="20"/>
        <v>14.53</v>
      </c>
      <c r="H28" s="18">
        <f t="shared" si="20"/>
        <v>15.368455567542563</v>
      </c>
      <c r="I28" s="18">
        <f t="shared" si="20"/>
        <v>16.125236913423546</v>
      </c>
      <c r="J28" s="18">
        <f t="shared" si="20"/>
        <v>16.962574763735994</v>
      </c>
      <c r="K28" s="18">
        <f t="shared" si="20"/>
        <v>17.826948029067321</v>
      </c>
      <c r="L28" s="18">
        <f t="shared" si="20"/>
        <v>18.759831155266767</v>
      </c>
      <c r="M28" s="18">
        <f t="shared" si="20"/>
        <v>19.731407442772102</v>
      </c>
      <c r="N28" s="18">
        <f t="shared" si="20"/>
        <v>20.763797897954092</v>
      </c>
      <c r="O28" s="18">
        <f t="shared" si="20"/>
        <v>21.859218447326146</v>
      </c>
      <c r="P28" s="18">
        <f t="shared" si="20"/>
        <v>23.019494692092803</v>
      </c>
      <c r="Q28" s="18">
        <f t="shared" si="20"/>
        <v>24.245237912453959</v>
      </c>
      <c r="R28" s="18">
        <f t="shared" si="20"/>
        <v>25.526822355652083</v>
      </c>
      <c r="S28" s="18">
        <f t="shared" si="20"/>
        <v>26.871968498454262</v>
      </c>
      <c r="AH28" s="12"/>
    </row>
    <row r="29" spans="1:43" x14ac:dyDescent="0.25">
      <c r="A29" s="7" t="s">
        <v>9</v>
      </c>
      <c r="B29" s="18">
        <f t="shared" ref="B29:S29" si="21">+B13/B$30</f>
        <v>42.31946617470561</v>
      </c>
      <c r="C29" s="18">
        <f t="shared" si="21"/>
        <v>42.599594316197411</v>
      </c>
      <c r="D29" s="18">
        <f t="shared" si="21"/>
        <v>44.305445439373266</v>
      </c>
      <c r="E29" s="18">
        <f t="shared" si="21"/>
        <v>46.575508804551099</v>
      </c>
      <c r="F29" s="18">
        <f t="shared" si="21"/>
        <v>48.96992097966762</v>
      </c>
      <c r="G29" s="18">
        <f t="shared" si="21"/>
        <v>51.438016666128298</v>
      </c>
      <c r="H29" s="18">
        <f t="shared" si="21"/>
        <v>54.199279068615525</v>
      </c>
      <c r="I29" s="18">
        <f t="shared" si="21"/>
        <v>57.129737171546893</v>
      </c>
      <c r="J29" s="18">
        <f t="shared" si="21"/>
        <v>61.599699092267251</v>
      </c>
      <c r="K29" s="18">
        <f t="shared" si="21"/>
        <v>64.738676151436479</v>
      </c>
      <c r="L29" s="18">
        <f t="shared" si="21"/>
        <v>68.1264472099313</v>
      </c>
      <c r="M29" s="18">
        <f t="shared" si="21"/>
        <v>71.654732731977205</v>
      </c>
      <c r="N29" s="18">
        <f t="shared" si="21"/>
        <v>75.40386529414566</v>
      </c>
      <c r="O29" s="18">
        <f t="shared" si="21"/>
        <v>79.381892047788241</v>
      </c>
      <c r="P29" s="18">
        <f t="shared" si="21"/>
        <v>83.595442675392974</v>
      </c>
      <c r="Q29" s="18">
        <f t="shared" si="21"/>
        <v>88.046737044927937</v>
      </c>
      <c r="R29" s="18">
        <f t="shared" si="21"/>
        <v>92.700819173491979</v>
      </c>
      <c r="S29" s="18">
        <f t="shared" si="21"/>
        <v>97.585726022002063</v>
      </c>
      <c r="AH29" s="12"/>
    </row>
    <row r="30" spans="1:43" ht="18.75" customHeight="1" x14ac:dyDescent="0.25">
      <c r="A30" t="s">
        <v>22</v>
      </c>
      <c r="B30">
        <v>0.92156171911521756</v>
      </c>
      <c r="C30" s="48">
        <v>0.93897607810765038</v>
      </c>
      <c r="D30" s="48">
        <v>0.94905652619428549</v>
      </c>
      <c r="E30" s="48">
        <v>0.95942000572989417</v>
      </c>
      <c r="F30" s="48">
        <v>0.97764949529537037</v>
      </c>
      <c r="G30" s="48">
        <v>1</v>
      </c>
      <c r="H30" s="48">
        <v>1.0163675804215933</v>
      </c>
      <c r="I30" s="48">
        <v>1.0344034068804682</v>
      </c>
      <c r="J30" s="48">
        <v>1.0551999597049915</v>
      </c>
      <c r="K30" s="48">
        <v>1.0769777970294401</v>
      </c>
      <c r="L30" s="48">
        <v>1.0980941503844637</v>
      </c>
      <c r="M30" s="48">
        <v>1.1194210578282493</v>
      </c>
      <c r="N30" s="48">
        <v>1.1405483828841465</v>
      </c>
      <c r="O30" s="48">
        <v>1.1622141505673944</v>
      </c>
      <c r="P30" s="48">
        <v>1.1846802516190198</v>
      </c>
      <c r="Q30" s="48">
        <v>1.2076310673411301</v>
      </c>
      <c r="R30" s="48">
        <v>1.231344325342677</v>
      </c>
      <c r="S30" s="48">
        <v>1.2552598669379484</v>
      </c>
      <c r="T30" s="12">
        <v>1.2792279972566261</v>
      </c>
      <c r="U30">
        <v>1.3034359515356937</v>
      </c>
      <c r="V30">
        <v>1.328223486257448</v>
      </c>
      <c r="W30">
        <v>1.3532114400703568</v>
      </c>
      <c r="X30">
        <v>1.3785011559720319</v>
      </c>
      <c r="Y30">
        <v>1.4039792188476647</v>
      </c>
      <c r="Z30">
        <v>1.4298055642937582</v>
      </c>
      <c r="AA30">
        <v>1.4560227958049787</v>
      </c>
      <c r="AB30">
        <v>1.4823200495137663</v>
      </c>
      <c r="AC30">
        <v>1.5088728314964868</v>
      </c>
      <c r="AD30">
        <v>1.5357573627624854</v>
      </c>
      <c r="AE30">
        <v>1.5627185559596584</v>
      </c>
      <c r="AF30">
        <v>1.5897660979744896</v>
      </c>
      <c r="AG30">
        <v>1.6168836480800466</v>
      </c>
      <c r="AH30" s="12">
        <v>1.6442491720686354</v>
      </c>
    </row>
    <row r="31" spans="1:43" ht="12.75" customHeight="1" x14ac:dyDescent="0.25">
      <c r="T31" s="12"/>
    </row>
    <row r="32" spans="1:43" ht="9" customHeight="1" x14ac:dyDescent="0.25">
      <c r="H32" s="92"/>
      <c r="I32" s="92"/>
      <c r="J32" s="92"/>
      <c r="K32" s="92"/>
    </row>
    <row r="33" spans="1:19" ht="35.25" customHeight="1" x14ac:dyDescent="0.25">
      <c r="A33" s="97" t="s">
        <v>77</v>
      </c>
      <c r="B33" s="97"/>
      <c r="C33" s="97"/>
      <c r="D33" s="97"/>
      <c r="E33" s="97"/>
      <c r="F33" s="97"/>
      <c r="G33" s="97"/>
      <c r="H33" s="97"/>
      <c r="I33" s="97"/>
      <c r="J33" s="97"/>
      <c r="K33" s="97"/>
      <c r="L33" s="97"/>
      <c r="M33" s="97"/>
      <c r="N33" s="97"/>
      <c r="O33" s="97"/>
      <c r="P33" s="97"/>
      <c r="Q33" s="97"/>
      <c r="R33" s="97"/>
      <c r="S33" s="97"/>
    </row>
    <row r="34" spans="1:19" ht="21" customHeight="1" x14ac:dyDescent="0.25">
      <c r="A34" s="98" t="s">
        <v>75</v>
      </c>
      <c r="B34" s="98"/>
      <c r="C34" s="98"/>
      <c r="D34" s="98"/>
      <c r="E34" s="98"/>
      <c r="F34" s="98"/>
      <c r="G34" s="98"/>
      <c r="H34" s="98"/>
      <c r="I34" s="98"/>
      <c r="J34" s="98"/>
      <c r="K34" s="98"/>
      <c r="L34" s="98"/>
      <c r="M34" s="98"/>
      <c r="N34" s="98"/>
      <c r="O34" s="98"/>
      <c r="P34" s="98"/>
      <c r="Q34" s="98"/>
      <c r="R34" s="98"/>
      <c r="S34" s="98"/>
    </row>
    <row r="35" spans="1:19" ht="33" customHeight="1" x14ac:dyDescent="0.25">
      <c r="A35" s="98" t="s">
        <v>78</v>
      </c>
      <c r="B35" s="98"/>
      <c r="C35" s="98"/>
      <c r="D35" s="98"/>
      <c r="E35" s="98"/>
      <c r="F35" s="98"/>
      <c r="G35" s="98"/>
      <c r="H35" s="98"/>
      <c r="I35" s="98"/>
      <c r="J35" s="98"/>
      <c r="K35" s="98"/>
      <c r="L35" s="98"/>
      <c r="M35" s="98"/>
      <c r="N35" s="98"/>
      <c r="O35" s="98"/>
      <c r="P35" s="98"/>
      <c r="Q35" s="98"/>
      <c r="R35" s="98"/>
      <c r="S35" s="98"/>
    </row>
    <row r="36" spans="1:19" ht="22.5" customHeight="1" x14ac:dyDescent="0.25">
      <c r="A36" s="93" t="s">
        <v>76</v>
      </c>
      <c r="B36" s="94"/>
      <c r="C36" s="94"/>
      <c r="D36" s="94"/>
      <c r="E36" s="94"/>
      <c r="F36" s="94"/>
      <c r="G36" s="94"/>
      <c r="H36" s="94"/>
      <c r="I36" s="94"/>
      <c r="J36" s="94"/>
      <c r="K36" s="94"/>
      <c r="L36" s="94"/>
      <c r="M36" s="94"/>
    </row>
    <row r="37" spans="1:19" ht="18" x14ac:dyDescent="0.25">
      <c r="A37" s="19" t="s">
        <v>79</v>
      </c>
    </row>
    <row r="38" spans="1:19" ht="31.5" customHeight="1" x14ac:dyDescent="0.25">
      <c r="N38" s="20"/>
      <c r="O38" s="20"/>
      <c r="P38" s="20"/>
      <c r="Q38" s="20"/>
      <c r="R38" s="20"/>
      <c r="S38" s="20"/>
    </row>
    <row r="40" spans="1:19" ht="20.25" customHeight="1" x14ac:dyDescent="0.25"/>
    <row r="41" spans="1:19" x14ac:dyDescent="0.25">
      <c r="A41" s="21" t="s">
        <v>10</v>
      </c>
      <c r="B41" s="22"/>
      <c r="C41" s="22"/>
      <c r="D41" s="22"/>
      <c r="E41" s="22"/>
      <c r="F41" s="23"/>
    </row>
    <row r="42" spans="1:19" x14ac:dyDescent="0.25">
      <c r="A42" s="24"/>
      <c r="B42" s="25" t="s">
        <v>11</v>
      </c>
      <c r="C42" s="26"/>
      <c r="D42" s="25" t="s">
        <v>12</v>
      </c>
      <c r="E42" s="25" t="s">
        <v>13</v>
      </c>
      <c r="F42" s="27"/>
    </row>
    <row r="43" spans="1:19" x14ac:dyDescent="0.25">
      <c r="A43" s="24"/>
      <c r="B43" s="26" t="s">
        <v>14</v>
      </c>
      <c r="C43" s="26" t="s">
        <v>15</v>
      </c>
      <c r="D43" s="26"/>
      <c r="E43" s="26"/>
      <c r="F43" s="27"/>
    </row>
    <row r="44" spans="1:19" x14ac:dyDescent="0.25">
      <c r="A44" s="28">
        <v>2019</v>
      </c>
      <c r="B44" s="29">
        <f>HLOOKUP(A44,B$5:Z$6,2,FALSE)</f>
        <v>16.77847358151163</v>
      </c>
      <c r="C44" s="30">
        <v>0</v>
      </c>
      <c r="D44" s="31">
        <f>LN(B44)</f>
        <v>2.8200967303645021</v>
      </c>
      <c r="E44" s="32">
        <f t="array" ref="E44:F46">LINEST(D44:D45,C44:C45,1,TRUE)</f>
        <v>0.13971531579218258</v>
      </c>
      <c r="F44" s="33">
        <v>2.8200967303645017</v>
      </c>
      <c r="S44" s="6"/>
    </row>
    <row r="45" spans="1:19" x14ac:dyDescent="0.25">
      <c r="A45" s="28">
        <v>2030</v>
      </c>
      <c r="B45" s="35">
        <f>78.02</f>
        <v>78.02</v>
      </c>
      <c r="C45" s="30">
        <f>+A45-A44</f>
        <v>11</v>
      </c>
      <c r="D45" s="31">
        <f>LN(B45)</f>
        <v>4.3569652040785103</v>
      </c>
      <c r="E45" s="31">
        <v>0</v>
      </c>
      <c r="F45" s="34">
        <v>0</v>
      </c>
      <c r="S45" s="6"/>
    </row>
    <row r="46" spans="1:19" x14ac:dyDescent="0.25">
      <c r="A46" s="28"/>
      <c r="B46" s="36">
        <f>HLOOKUP(A45,B5:Z6,2,FALSE)</f>
        <v>0</v>
      </c>
      <c r="C46" s="30"/>
      <c r="D46" s="31"/>
      <c r="E46" s="31">
        <v>1</v>
      </c>
      <c r="F46" s="34">
        <v>0</v>
      </c>
    </row>
    <row r="47" spans="1:19" x14ac:dyDescent="0.25">
      <c r="A47" s="37"/>
      <c r="B47" s="36"/>
      <c r="C47" s="26"/>
      <c r="D47" s="38"/>
      <c r="E47" s="38"/>
      <c r="F47" s="39"/>
    </row>
    <row r="48" spans="1:19" x14ac:dyDescent="0.25">
      <c r="A48" s="37"/>
      <c r="B48" s="29"/>
      <c r="C48" s="26"/>
      <c r="D48" s="10"/>
      <c r="E48" s="10"/>
      <c r="F48" s="10"/>
      <c r="G48" s="6"/>
    </row>
    <row r="49" spans="1:6" x14ac:dyDescent="0.25">
      <c r="A49" s="37"/>
      <c r="B49" s="29" t="s">
        <v>16</v>
      </c>
      <c r="C49" s="26" t="s">
        <v>15</v>
      </c>
      <c r="D49" s="40" t="s">
        <v>17</v>
      </c>
      <c r="E49" s="38" t="s">
        <v>13</v>
      </c>
      <c r="F49" s="39"/>
    </row>
    <row r="50" spans="1:6" x14ac:dyDescent="0.25">
      <c r="A50" s="28">
        <f>+A44</f>
        <v>2019</v>
      </c>
      <c r="B50" s="29">
        <f>+B44</f>
        <v>16.77847358151163</v>
      </c>
      <c r="C50" s="30">
        <v>0</v>
      </c>
      <c r="D50" s="31">
        <f>LN(B50)</f>
        <v>2.8200967303645021</v>
      </c>
      <c r="E50" s="31">
        <f t="array" ref="E50:F52">LINEST(D50:D51,C50:C51,1,TRUE)</f>
        <v>0.16251347686129883</v>
      </c>
      <c r="F50" s="34">
        <v>2.8200967303645026</v>
      </c>
    </row>
    <row r="51" spans="1:6" x14ac:dyDescent="0.25">
      <c r="A51" s="28">
        <v>2030</v>
      </c>
      <c r="B51" s="29">
        <f>+S15</f>
        <v>100.25781074688645</v>
      </c>
      <c r="C51" s="30">
        <f>+A51-A50</f>
        <v>11</v>
      </c>
      <c r="D51" s="31">
        <f>LN(B51)</f>
        <v>4.6077449758387896</v>
      </c>
      <c r="E51" s="31">
        <v>0</v>
      </c>
      <c r="F51" s="34">
        <v>0</v>
      </c>
    </row>
    <row r="52" spans="1:6" x14ac:dyDescent="0.25">
      <c r="A52" s="43"/>
      <c r="B52" s="44"/>
      <c r="C52" s="45"/>
      <c r="D52" s="41"/>
      <c r="E52" s="41">
        <v>1</v>
      </c>
      <c r="F52" s="42">
        <v>0</v>
      </c>
    </row>
  </sheetData>
  <mergeCells count="6">
    <mergeCell ref="A36:M36"/>
    <mergeCell ref="A4:S4"/>
    <mergeCell ref="A21:S21"/>
    <mergeCell ref="A33:S33"/>
    <mergeCell ref="A34:S34"/>
    <mergeCell ref="A35:S35"/>
  </mergeCells>
  <pageMargins left="0" right="0" top="0.25" bottom="0.25" header="0" footer="0"/>
  <pageSetup scale="8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7"/>
  <sheetViews>
    <sheetView workbookViewId="0">
      <selection activeCell="F37" sqref="F37:G43"/>
    </sheetView>
  </sheetViews>
  <sheetFormatPr defaultRowHeight="15" x14ac:dyDescent="0.25"/>
  <cols>
    <col min="1" max="1" width="8.140625" customWidth="1"/>
    <col min="2" max="2" width="41.42578125" customWidth="1"/>
    <col min="3" max="3" width="15.5703125" style="76" customWidth="1"/>
    <col min="4" max="4" width="16.140625" style="76" customWidth="1"/>
    <col min="5" max="5" width="14.85546875" style="76" customWidth="1"/>
    <col min="6" max="6" width="20.42578125" style="76" bestFit="1" customWidth="1"/>
    <col min="7" max="7" width="15.5703125" style="76" customWidth="1"/>
    <col min="8" max="8" width="15" style="76" customWidth="1"/>
    <col min="9" max="9" width="14.42578125" style="76" customWidth="1"/>
    <col min="10" max="10" width="10.85546875" customWidth="1"/>
  </cols>
  <sheetData>
    <row r="1" spans="1:10" ht="15.75" x14ac:dyDescent="0.25">
      <c r="A1" s="49"/>
      <c r="B1" s="59" t="s">
        <v>60</v>
      </c>
      <c r="C1" s="63"/>
      <c r="D1" s="64"/>
      <c r="E1" s="63"/>
      <c r="F1" s="65"/>
      <c r="G1" s="64"/>
      <c r="H1" s="64"/>
      <c r="I1" s="64"/>
      <c r="J1" s="49"/>
    </row>
    <row r="2" spans="1:10" ht="15.75" x14ac:dyDescent="0.25">
      <c r="A2" s="49"/>
      <c r="B2" s="59" t="s">
        <v>59</v>
      </c>
      <c r="C2" s="63"/>
      <c r="D2" s="64"/>
      <c r="E2" s="63"/>
      <c r="F2" s="65"/>
      <c r="G2" s="64"/>
      <c r="H2" s="64"/>
      <c r="I2" s="64"/>
      <c r="J2" s="49"/>
    </row>
    <row r="3" spans="1:10" x14ac:dyDescent="0.25">
      <c r="A3" s="49"/>
      <c r="B3" s="58"/>
      <c r="C3" s="63"/>
      <c r="D3" s="64"/>
      <c r="E3" s="63"/>
      <c r="F3" s="65"/>
      <c r="G3" s="64"/>
      <c r="H3" s="64"/>
      <c r="I3" s="64"/>
      <c r="J3" s="49"/>
    </row>
    <row r="4" spans="1:10" ht="78.75" x14ac:dyDescent="0.25">
      <c r="A4" s="50"/>
      <c r="B4" s="55" t="s">
        <v>58</v>
      </c>
      <c r="C4" s="66" t="s">
        <v>57</v>
      </c>
      <c r="D4" s="66" t="s">
        <v>56</v>
      </c>
      <c r="E4" s="66" t="s">
        <v>55</v>
      </c>
      <c r="F4" s="67" t="s">
        <v>54</v>
      </c>
      <c r="G4" s="66" t="s">
        <v>53</v>
      </c>
      <c r="H4" s="66" t="s">
        <v>52</v>
      </c>
      <c r="I4" s="66" t="s">
        <v>51</v>
      </c>
      <c r="J4" s="49"/>
    </row>
    <row r="5" spans="1:10" ht="15.75" x14ac:dyDescent="0.25">
      <c r="A5" s="50">
        <v>2019</v>
      </c>
      <c r="B5" s="80" t="s">
        <v>70</v>
      </c>
      <c r="C5" s="81">
        <v>67435661</v>
      </c>
      <c r="D5" s="81">
        <v>67435661</v>
      </c>
      <c r="E5" s="82">
        <v>17</v>
      </c>
      <c r="F5" s="70">
        <f t="shared" ref="F5:F12" si="0">+D5*E5</f>
        <v>1146406237</v>
      </c>
      <c r="G5" s="81">
        <v>9038000</v>
      </c>
      <c r="H5" s="81">
        <v>9038000</v>
      </c>
      <c r="I5" s="83">
        <v>16.8</v>
      </c>
      <c r="J5" s="49"/>
    </row>
    <row r="6" spans="1:10" ht="15.75" x14ac:dyDescent="0.25">
      <c r="A6" s="50">
        <v>2019</v>
      </c>
      <c r="B6" s="84" t="s">
        <v>71</v>
      </c>
      <c r="C6" s="85">
        <v>66289515</v>
      </c>
      <c r="D6" s="85">
        <v>66289515</v>
      </c>
      <c r="E6" s="86">
        <v>17.16</v>
      </c>
      <c r="F6" s="70">
        <f t="shared" si="0"/>
        <v>1137528077.4000001</v>
      </c>
      <c r="G6" s="85">
        <v>9038000</v>
      </c>
      <c r="H6" s="85">
        <v>9038000</v>
      </c>
      <c r="I6" s="87">
        <v>16.850000000000001</v>
      </c>
      <c r="J6" s="49"/>
    </row>
    <row r="7" spans="1:10" ht="15.75" x14ac:dyDescent="0.25">
      <c r="A7" s="50">
        <v>2019</v>
      </c>
      <c r="B7" s="88" t="s">
        <v>72</v>
      </c>
      <c r="C7" s="89">
        <v>66321122</v>
      </c>
      <c r="D7" s="89">
        <v>66321122</v>
      </c>
      <c r="E7" s="90">
        <v>17.45</v>
      </c>
      <c r="F7" s="70">
        <f t="shared" si="0"/>
        <v>1157303578.8999999</v>
      </c>
      <c r="G7" s="89">
        <v>9038000</v>
      </c>
      <c r="H7" s="89">
        <v>9038000</v>
      </c>
      <c r="I7" s="91">
        <v>17.399999999999999</v>
      </c>
      <c r="J7" s="49"/>
    </row>
    <row r="8" spans="1:10" ht="15.75" x14ac:dyDescent="0.25">
      <c r="A8" s="50">
        <v>2019</v>
      </c>
      <c r="B8" s="84" t="s">
        <v>73</v>
      </c>
      <c r="C8" s="85">
        <v>80847404</v>
      </c>
      <c r="D8" s="85">
        <v>80847404</v>
      </c>
      <c r="E8" s="86">
        <v>15.73</v>
      </c>
      <c r="F8" s="70">
        <f t="shared" si="0"/>
        <v>1271729664.9200001</v>
      </c>
      <c r="G8" s="85">
        <v>9038000</v>
      </c>
      <c r="H8" s="85">
        <v>5983000</v>
      </c>
      <c r="I8" s="87">
        <v>15.62</v>
      </c>
      <c r="J8" s="49"/>
    </row>
    <row r="9" spans="1:10" ht="15.75" x14ac:dyDescent="0.25">
      <c r="A9" s="50">
        <v>2018</v>
      </c>
      <c r="B9" s="57" t="s">
        <v>50</v>
      </c>
      <c r="C9" s="68">
        <v>78825717</v>
      </c>
      <c r="D9" s="68">
        <v>78825717</v>
      </c>
      <c r="E9" s="69">
        <v>15.31</v>
      </c>
      <c r="F9" s="70">
        <f t="shared" si="0"/>
        <v>1206821727.27</v>
      </c>
      <c r="G9" s="68">
        <v>9401500</v>
      </c>
      <c r="H9" s="68">
        <v>9401500</v>
      </c>
      <c r="I9" s="69">
        <v>15.33</v>
      </c>
      <c r="J9" s="49"/>
    </row>
    <row r="10" spans="1:10" ht="15.75" x14ac:dyDescent="0.25">
      <c r="A10" s="50">
        <v>2018</v>
      </c>
      <c r="B10" s="56" t="s">
        <v>49</v>
      </c>
      <c r="C10" s="71">
        <v>79421265</v>
      </c>
      <c r="D10" s="71">
        <v>79421265</v>
      </c>
      <c r="E10" s="72">
        <v>15.05</v>
      </c>
      <c r="F10" s="70">
        <f t="shared" si="0"/>
        <v>1195290038.25</v>
      </c>
      <c r="G10" s="71">
        <v>9401500</v>
      </c>
      <c r="H10" s="71">
        <v>9401500</v>
      </c>
      <c r="I10" s="72">
        <v>14.9</v>
      </c>
      <c r="J10" s="49"/>
    </row>
    <row r="11" spans="1:10" ht="15.75" x14ac:dyDescent="0.25">
      <c r="A11" s="50">
        <v>2018</v>
      </c>
      <c r="B11" s="57" t="s">
        <v>64</v>
      </c>
      <c r="C11" s="68">
        <v>90587738</v>
      </c>
      <c r="D11" s="68">
        <v>90587738</v>
      </c>
      <c r="E11" s="69">
        <v>14.65</v>
      </c>
      <c r="F11" s="70">
        <f t="shared" si="0"/>
        <v>1327110361.7</v>
      </c>
      <c r="G11" s="68">
        <v>12427950</v>
      </c>
      <c r="H11" s="68">
        <v>6057000</v>
      </c>
      <c r="I11" s="69">
        <v>14.53</v>
      </c>
      <c r="J11" s="49"/>
    </row>
    <row r="12" spans="1:10" ht="15.75" x14ac:dyDescent="0.25">
      <c r="A12" s="50">
        <v>2018</v>
      </c>
      <c r="B12" s="56" t="s">
        <v>65</v>
      </c>
      <c r="C12" s="71">
        <v>98215920</v>
      </c>
      <c r="D12" s="71">
        <v>98215920</v>
      </c>
      <c r="E12" s="72">
        <v>14.61</v>
      </c>
      <c r="F12" s="70">
        <f t="shared" si="0"/>
        <v>1434934591.2</v>
      </c>
      <c r="G12" s="71">
        <v>12428950</v>
      </c>
      <c r="H12" s="71">
        <v>8576000</v>
      </c>
      <c r="I12" s="72">
        <v>14.53</v>
      </c>
      <c r="J12" s="49"/>
    </row>
    <row r="13" spans="1:10" ht="15.75" x14ac:dyDescent="0.25">
      <c r="A13" s="49">
        <v>2017</v>
      </c>
      <c r="B13" s="53" t="s">
        <v>48</v>
      </c>
      <c r="C13" s="68">
        <v>79548286</v>
      </c>
      <c r="D13" s="68">
        <v>79548286</v>
      </c>
      <c r="E13" s="69">
        <v>15.06</v>
      </c>
      <c r="F13" s="70">
        <f t="shared" ref="F13:F33" si="1">D13*E13</f>
        <v>1197997187.1600001</v>
      </c>
      <c r="G13" s="68">
        <v>9723500</v>
      </c>
      <c r="H13" s="68">
        <v>9723500</v>
      </c>
      <c r="I13" s="69">
        <v>14.76</v>
      </c>
      <c r="J13" s="49"/>
    </row>
    <row r="14" spans="1:10" ht="15.75" x14ac:dyDescent="0.25">
      <c r="A14" s="49">
        <f>+A13</f>
        <v>2017</v>
      </c>
      <c r="B14" s="54" t="s">
        <v>47</v>
      </c>
      <c r="C14" s="73">
        <v>63887833</v>
      </c>
      <c r="D14" s="71">
        <v>63887833</v>
      </c>
      <c r="E14" s="72">
        <v>14.75</v>
      </c>
      <c r="F14" s="70">
        <f t="shared" si="1"/>
        <v>942345536.75</v>
      </c>
      <c r="G14" s="73">
        <v>9723500</v>
      </c>
      <c r="H14" s="73">
        <v>9723500</v>
      </c>
      <c r="I14" s="72">
        <v>14.55</v>
      </c>
      <c r="J14" s="49"/>
    </row>
    <row r="15" spans="1:10" ht="15.75" x14ac:dyDescent="0.25">
      <c r="A15" s="49">
        <f>+A14</f>
        <v>2017</v>
      </c>
      <c r="B15" s="53" t="s">
        <v>46</v>
      </c>
      <c r="C15" s="74">
        <v>75311960</v>
      </c>
      <c r="D15" s="68">
        <v>75311960</v>
      </c>
      <c r="E15" s="69">
        <v>13.8</v>
      </c>
      <c r="F15" s="70">
        <f t="shared" si="1"/>
        <v>1039305048</v>
      </c>
      <c r="G15" s="74">
        <v>9723500</v>
      </c>
      <c r="H15" s="74">
        <v>2117000</v>
      </c>
      <c r="I15" s="69">
        <v>13.57</v>
      </c>
      <c r="J15" s="49"/>
    </row>
    <row r="16" spans="1:10" ht="15.75" x14ac:dyDescent="0.25">
      <c r="A16" s="49">
        <f>+A15</f>
        <v>2017</v>
      </c>
      <c r="B16" s="54" t="s">
        <v>45</v>
      </c>
      <c r="C16" s="73">
        <v>65104273</v>
      </c>
      <c r="D16" s="71">
        <v>11673000</v>
      </c>
      <c r="E16" s="72">
        <v>13.57</v>
      </c>
      <c r="F16" s="70">
        <f t="shared" si="1"/>
        <v>158402610</v>
      </c>
      <c r="G16" s="73">
        <v>9723500</v>
      </c>
      <c r="H16" s="73">
        <v>701000</v>
      </c>
      <c r="I16" s="72">
        <v>13.57</v>
      </c>
      <c r="J16" s="49"/>
    </row>
    <row r="17" spans="1:10" ht="15.75" x14ac:dyDescent="0.25">
      <c r="A17" s="49">
        <f t="shared" ref="A17:A32" si="2">+A13-1</f>
        <v>2016</v>
      </c>
      <c r="B17" s="53" t="s">
        <v>44</v>
      </c>
      <c r="C17" s="74">
        <v>87069495</v>
      </c>
      <c r="D17" s="68">
        <v>76960000</v>
      </c>
      <c r="E17" s="69">
        <v>12.73</v>
      </c>
      <c r="F17" s="70">
        <f t="shared" si="1"/>
        <v>979700800</v>
      </c>
      <c r="G17" s="74">
        <v>10078750</v>
      </c>
      <c r="H17" s="74">
        <v>1020000</v>
      </c>
      <c r="I17" s="69">
        <v>12.73</v>
      </c>
      <c r="J17" s="49"/>
    </row>
    <row r="18" spans="1:10" ht="15.75" x14ac:dyDescent="0.25">
      <c r="A18" s="49">
        <f t="shared" si="2"/>
        <v>2016</v>
      </c>
      <c r="B18" s="54" t="s">
        <v>43</v>
      </c>
      <c r="C18" s="73">
        <v>86278410</v>
      </c>
      <c r="D18" s="71">
        <v>30021000</v>
      </c>
      <c r="E18" s="72">
        <v>12.73</v>
      </c>
      <c r="F18" s="70">
        <f t="shared" si="1"/>
        <v>382167330</v>
      </c>
      <c r="G18" s="73">
        <v>10078750</v>
      </c>
      <c r="H18" s="73">
        <v>769000</v>
      </c>
      <c r="I18" s="72">
        <v>12.73</v>
      </c>
      <c r="J18" s="49"/>
    </row>
    <row r="19" spans="1:10" ht="15.75" x14ac:dyDescent="0.25">
      <c r="A19" s="49">
        <f t="shared" si="2"/>
        <v>2016</v>
      </c>
      <c r="B19" s="53" t="s">
        <v>42</v>
      </c>
      <c r="C19" s="74">
        <v>67675951</v>
      </c>
      <c r="D19" s="68">
        <v>7260000</v>
      </c>
      <c r="E19" s="69">
        <v>12.73</v>
      </c>
      <c r="F19" s="70">
        <f t="shared" si="1"/>
        <v>92419800</v>
      </c>
      <c r="G19" s="74">
        <v>10078750</v>
      </c>
      <c r="H19" s="74">
        <v>914000</v>
      </c>
      <c r="I19" s="69">
        <v>12.73</v>
      </c>
      <c r="J19" s="49"/>
    </row>
    <row r="20" spans="1:10" ht="15.75" x14ac:dyDescent="0.25">
      <c r="A20" s="49">
        <f t="shared" si="2"/>
        <v>2016</v>
      </c>
      <c r="B20" s="54" t="s">
        <v>41</v>
      </c>
      <c r="C20" s="73">
        <v>71555827</v>
      </c>
      <c r="D20" s="71">
        <v>68026000</v>
      </c>
      <c r="E20" s="72">
        <v>12.73</v>
      </c>
      <c r="F20" s="70">
        <f t="shared" si="1"/>
        <v>865970980</v>
      </c>
      <c r="G20" s="73">
        <v>10078750</v>
      </c>
      <c r="H20" s="73">
        <v>9361000</v>
      </c>
      <c r="I20" s="72">
        <v>12.73</v>
      </c>
      <c r="J20" s="49"/>
    </row>
    <row r="21" spans="1:10" ht="15.75" x14ac:dyDescent="0.25">
      <c r="A21" s="49">
        <f t="shared" si="2"/>
        <v>2015</v>
      </c>
      <c r="B21" s="53" t="s">
        <v>40</v>
      </c>
      <c r="C21" s="74">
        <v>75113008</v>
      </c>
      <c r="D21" s="68">
        <v>75113008</v>
      </c>
      <c r="E21" s="69">
        <v>12.73</v>
      </c>
      <c r="F21" s="70">
        <f t="shared" si="1"/>
        <v>956188591.84000003</v>
      </c>
      <c r="G21" s="74">
        <v>10431500</v>
      </c>
      <c r="H21" s="74">
        <v>10431500</v>
      </c>
      <c r="I21" s="69">
        <v>12.65</v>
      </c>
      <c r="J21" s="49"/>
    </row>
    <row r="22" spans="1:10" ht="15.75" x14ac:dyDescent="0.25">
      <c r="A22" s="49">
        <f t="shared" si="2"/>
        <v>2015</v>
      </c>
      <c r="B22" s="54" t="s">
        <v>39</v>
      </c>
      <c r="C22" s="73">
        <v>73429360</v>
      </c>
      <c r="D22" s="71">
        <v>73429360</v>
      </c>
      <c r="E22" s="72">
        <v>12.52</v>
      </c>
      <c r="F22" s="70">
        <f t="shared" si="1"/>
        <v>919335587.19999993</v>
      </c>
      <c r="G22" s="73">
        <v>10431500</v>
      </c>
      <c r="H22" s="73">
        <v>10431500</v>
      </c>
      <c r="I22" s="72">
        <v>12.3</v>
      </c>
      <c r="J22" s="49"/>
    </row>
    <row r="23" spans="1:10" ht="15.75" x14ac:dyDescent="0.25">
      <c r="A23" s="49">
        <f t="shared" si="2"/>
        <v>2015</v>
      </c>
      <c r="B23" s="53" t="s">
        <v>38</v>
      </c>
      <c r="C23" s="74">
        <v>76931627</v>
      </c>
      <c r="D23" s="68">
        <v>76931627</v>
      </c>
      <c r="E23" s="69">
        <v>12.29</v>
      </c>
      <c r="F23" s="70">
        <f t="shared" si="1"/>
        <v>945489695.82999992</v>
      </c>
      <c r="G23" s="74">
        <v>10431500</v>
      </c>
      <c r="H23" s="74">
        <v>9812000</v>
      </c>
      <c r="I23" s="69">
        <v>12.1</v>
      </c>
      <c r="J23" s="49"/>
    </row>
    <row r="24" spans="1:10" ht="15.75" x14ac:dyDescent="0.25">
      <c r="A24" s="49">
        <f t="shared" si="2"/>
        <v>2015</v>
      </c>
      <c r="B24" s="54" t="s">
        <v>37</v>
      </c>
      <c r="C24" s="73">
        <v>73610528</v>
      </c>
      <c r="D24" s="71">
        <v>73610528</v>
      </c>
      <c r="E24" s="72">
        <v>12.21</v>
      </c>
      <c r="F24" s="70">
        <f t="shared" si="1"/>
        <v>898784546.88000011</v>
      </c>
      <c r="G24" s="73">
        <v>10431500</v>
      </c>
      <c r="H24" s="73">
        <v>10431500</v>
      </c>
      <c r="I24" s="72">
        <v>12.1</v>
      </c>
      <c r="J24" s="49"/>
    </row>
    <row r="25" spans="1:10" ht="15.75" x14ac:dyDescent="0.25">
      <c r="A25" s="49">
        <f t="shared" si="2"/>
        <v>2014</v>
      </c>
      <c r="B25" s="53" t="s">
        <v>36</v>
      </c>
      <c r="C25" s="74">
        <v>23070987</v>
      </c>
      <c r="D25" s="68">
        <v>23070987</v>
      </c>
      <c r="E25" s="69">
        <v>12.1</v>
      </c>
      <c r="F25" s="70">
        <f t="shared" si="1"/>
        <v>279158942.69999999</v>
      </c>
      <c r="G25" s="74">
        <v>10787000</v>
      </c>
      <c r="H25" s="74">
        <v>10787000</v>
      </c>
      <c r="I25" s="69">
        <v>11.86</v>
      </c>
      <c r="J25" s="49"/>
    </row>
    <row r="26" spans="1:10" ht="15.75" x14ac:dyDescent="0.25">
      <c r="A26" s="49">
        <f t="shared" si="2"/>
        <v>2014</v>
      </c>
      <c r="B26" s="52" t="s">
        <v>35</v>
      </c>
      <c r="C26" s="73">
        <v>22473043</v>
      </c>
      <c r="D26" s="71">
        <v>22473043</v>
      </c>
      <c r="E26" s="72">
        <v>11.5</v>
      </c>
      <c r="F26" s="70">
        <f t="shared" si="1"/>
        <v>258439994.5</v>
      </c>
      <c r="G26" s="73">
        <v>9260000</v>
      </c>
      <c r="H26" s="73">
        <v>6470000</v>
      </c>
      <c r="I26" s="72">
        <v>11.34</v>
      </c>
      <c r="J26" s="49"/>
    </row>
    <row r="27" spans="1:10" ht="15.75" x14ac:dyDescent="0.25">
      <c r="A27" s="49">
        <f t="shared" si="2"/>
        <v>2014</v>
      </c>
      <c r="B27" s="51" t="s">
        <v>34</v>
      </c>
      <c r="C27" s="74">
        <v>16947080</v>
      </c>
      <c r="D27" s="68">
        <v>16947080</v>
      </c>
      <c r="E27" s="69">
        <v>11.5</v>
      </c>
      <c r="F27" s="70">
        <f t="shared" si="1"/>
        <v>194891420</v>
      </c>
      <c r="G27" s="74">
        <v>9260000</v>
      </c>
      <c r="H27" s="74">
        <v>4036000</v>
      </c>
      <c r="I27" s="69">
        <v>11.34</v>
      </c>
      <c r="J27" s="49"/>
    </row>
    <row r="28" spans="1:10" ht="15.75" x14ac:dyDescent="0.25">
      <c r="A28" s="49">
        <f t="shared" si="2"/>
        <v>2014</v>
      </c>
      <c r="B28" s="52" t="s">
        <v>33</v>
      </c>
      <c r="C28" s="73">
        <v>19538695</v>
      </c>
      <c r="D28" s="71">
        <v>19538695</v>
      </c>
      <c r="E28" s="72">
        <v>11.48</v>
      </c>
      <c r="F28" s="70">
        <f t="shared" si="1"/>
        <v>224304218.59999999</v>
      </c>
      <c r="G28" s="73">
        <v>9260000</v>
      </c>
      <c r="H28" s="73">
        <v>9260000</v>
      </c>
      <c r="I28" s="72">
        <v>11.38</v>
      </c>
      <c r="J28" s="49"/>
    </row>
    <row r="29" spans="1:10" ht="15.75" x14ac:dyDescent="0.25">
      <c r="A29" s="49">
        <f t="shared" si="2"/>
        <v>2013</v>
      </c>
      <c r="B29" s="51" t="s">
        <v>32</v>
      </c>
      <c r="C29" s="74">
        <v>16614526</v>
      </c>
      <c r="D29" s="68">
        <v>16614526</v>
      </c>
      <c r="E29" s="69">
        <v>11.48</v>
      </c>
      <c r="F29" s="70">
        <f t="shared" si="1"/>
        <v>190734758.48000002</v>
      </c>
      <c r="G29" s="74">
        <v>9560000</v>
      </c>
      <c r="H29" s="74">
        <v>9560000</v>
      </c>
      <c r="I29" s="69">
        <v>11.1</v>
      </c>
      <c r="J29" s="49"/>
    </row>
    <row r="30" spans="1:10" ht="15.75" x14ac:dyDescent="0.25">
      <c r="A30" s="49">
        <f t="shared" si="2"/>
        <v>2013</v>
      </c>
      <c r="B30" s="52" t="s">
        <v>31</v>
      </c>
      <c r="C30" s="73">
        <v>13865422</v>
      </c>
      <c r="D30" s="71">
        <v>13865422</v>
      </c>
      <c r="E30" s="72">
        <v>12.22</v>
      </c>
      <c r="F30" s="70">
        <f t="shared" si="1"/>
        <v>169435456.84</v>
      </c>
      <c r="G30" s="73">
        <v>9560000</v>
      </c>
      <c r="H30" s="73">
        <v>9560000</v>
      </c>
      <c r="I30" s="72">
        <v>11.1</v>
      </c>
      <c r="J30" s="49"/>
    </row>
    <row r="31" spans="1:10" ht="15.75" x14ac:dyDescent="0.25">
      <c r="A31" s="49">
        <f t="shared" si="2"/>
        <v>2013</v>
      </c>
      <c r="B31" s="51" t="s">
        <v>30</v>
      </c>
      <c r="C31" s="74">
        <v>14522048</v>
      </c>
      <c r="D31" s="68">
        <v>14522048</v>
      </c>
      <c r="E31" s="69">
        <v>14</v>
      </c>
      <c r="F31" s="70">
        <f t="shared" si="1"/>
        <v>203308672</v>
      </c>
      <c r="G31" s="74">
        <v>9560000</v>
      </c>
      <c r="H31" s="74">
        <v>7515000</v>
      </c>
      <c r="I31" s="69">
        <v>10.71</v>
      </c>
      <c r="J31" s="49"/>
    </row>
    <row r="32" spans="1:10" ht="15.75" x14ac:dyDescent="0.25">
      <c r="A32" s="49">
        <f t="shared" si="2"/>
        <v>2013</v>
      </c>
      <c r="B32" s="52" t="s">
        <v>29</v>
      </c>
      <c r="C32" s="73">
        <v>12924822</v>
      </c>
      <c r="D32" s="71">
        <v>12924822</v>
      </c>
      <c r="E32" s="72">
        <v>13.62</v>
      </c>
      <c r="F32" s="70">
        <f t="shared" si="1"/>
        <v>176036075.63999999</v>
      </c>
      <c r="G32" s="73">
        <v>9560000</v>
      </c>
      <c r="H32" s="73">
        <v>4440000</v>
      </c>
      <c r="I32" s="72">
        <v>10.71</v>
      </c>
      <c r="J32" s="49"/>
    </row>
    <row r="33" spans="1:10" ht="15.75" x14ac:dyDescent="0.25">
      <c r="A33" s="77">
        <v>2012</v>
      </c>
      <c r="B33" s="51" t="s">
        <v>28</v>
      </c>
      <c r="C33" s="74">
        <v>23126110</v>
      </c>
      <c r="D33" s="68">
        <v>23126110</v>
      </c>
      <c r="E33" s="69">
        <v>10.09</v>
      </c>
      <c r="F33" s="70">
        <f t="shared" si="1"/>
        <v>233342449.90000001</v>
      </c>
      <c r="G33" s="74">
        <v>39450000</v>
      </c>
      <c r="H33" s="74">
        <v>5576000</v>
      </c>
      <c r="I33" s="69">
        <v>10</v>
      </c>
      <c r="J33" s="49"/>
    </row>
    <row r="34" spans="1:10" x14ac:dyDescent="0.25">
      <c r="A34" s="49"/>
      <c r="B34" s="49"/>
      <c r="C34" s="63"/>
      <c r="D34" s="64"/>
      <c r="E34" s="63"/>
      <c r="F34" s="65"/>
      <c r="G34" s="64"/>
      <c r="H34" s="64"/>
      <c r="I34" s="64"/>
      <c r="J34" s="49"/>
    </row>
    <row r="35" spans="1:10" x14ac:dyDescent="0.25">
      <c r="A35" s="49" t="s">
        <v>27</v>
      </c>
      <c r="B35" s="49"/>
      <c r="C35" s="63"/>
      <c r="D35" s="64"/>
      <c r="E35" s="63"/>
      <c r="F35" s="65"/>
      <c r="G35" s="64"/>
      <c r="H35" s="64" t="s">
        <v>26</v>
      </c>
      <c r="I35" s="64"/>
      <c r="J35" s="49"/>
    </row>
    <row r="36" spans="1:10" x14ac:dyDescent="0.25">
      <c r="A36" s="49"/>
      <c r="B36" s="49"/>
      <c r="C36" s="63"/>
      <c r="D36" s="64"/>
      <c r="E36" s="63">
        <v>2012</v>
      </c>
      <c r="F36" s="65" t="s">
        <v>25</v>
      </c>
      <c r="G36" s="75" t="s">
        <v>24</v>
      </c>
      <c r="H36" s="64" t="s">
        <v>23</v>
      </c>
      <c r="I36" s="64"/>
      <c r="J36" s="49"/>
    </row>
    <row r="37" spans="1:10" x14ac:dyDescent="0.25">
      <c r="A37" s="49"/>
      <c r="B37" s="49"/>
      <c r="C37" s="63"/>
      <c r="D37" s="64"/>
      <c r="E37" s="63">
        <v>2013</v>
      </c>
      <c r="F37" s="65">
        <f>SUMIF($A$5:$A$33,$E37,D$5:D$33)</f>
        <v>57926818</v>
      </c>
      <c r="G37" s="64">
        <f>SUMIF($A$5:$A$33,$E37,F$5:F$33)</f>
        <v>739514962.96000004</v>
      </c>
      <c r="H37" s="64">
        <f t="shared" ref="H37:H42" si="3">+G37/F37</f>
        <v>12.766366054493103</v>
      </c>
      <c r="I37" s="64"/>
      <c r="J37" s="49"/>
    </row>
    <row r="38" spans="1:10" x14ac:dyDescent="0.25">
      <c r="A38" s="49"/>
      <c r="B38" s="49"/>
      <c r="C38" s="63"/>
      <c r="D38" s="64"/>
      <c r="E38" s="63">
        <f t="shared" ref="E38:E43" si="4">+E37+1</f>
        <v>2014</v>
      </c>
      <c r="F38" s="65">
        <f t="shared" ref="F38:F43" si="5">SUMIF($A$5:$A$33,$E38,D$5:D$33)</f>
        <v>82029805</v>
      </c>
      <c r="G38" s="64">
        <f t="shared" ref="G38:G43" si="6">SUMIF($A$5:$A$33,$E38,F$5:F$33)</f>
        <v>956794575.80000007</v>
      </c>
      <c r="H38" s="64">
        <f t="shared" si="3"/>
        <v>11.663986959374096</v>
      </c>
      <c r="I38" s="64"/>
      <c r="J38" s="49"/>
    </row>
    <row r="39" spans="1:10" x14ac:dyDescent="0.25">
      <c r="A39" s="49"/>
      <c r="B39" s="49"/>
      <c r="C39" s="63"/>
      <c r="D39" s="64"/>
      <c r="E39" s="63">
        <f t="shared" si="4"/>
        <v>2015</v>
      </c>
      <c r="F39" s="65">
        <f t="shared" si="5"/>
        <v>299084523</v>
      </c>
      <c r="G39" s="64">
        <f t="shared" si="6"/>
        <v>3719798421.75</v>
      </c>
      <c r="H39" s="64">
        <f t="shared" si="3"/>
        <v>12.437281556525077</v>
      </c>
      <c r="I39" s="64"/>
      <c r="J39" s="49"/>
    </row>
    <row r="40" spans="1:10" x14ac:dyDescent="0.25">
      <c r="A40" s="49"/>
      <c r="B40" s="49"/>
      <c r="C40" s="63"/>
      <c r="D40" s="64"/>
      <c r="E40" s="63">
        <f t="shared" si="4"/>
        <v>2016</v>
      </c>
      <c r="F40" s="65">
        <f t="shared" si="5"/>
        <v>182267000</v>
      </c>
      <c r="G40" s="64">
        <f t="shared" si="6"/>
        <v>2320258910</v>
      </c>
      <c r="H40" s="64">
        <f t="shared" si="3"/>
        <v>12.73</v>
      </c>
      <c r="I40" s="64"/>
      <c r="J40" s="49"/>
    </row>
    <row r="41" spans="1:10" x14ac:dyDescent="0.25">
      <c r="A41" s="49"/>
      <c r="B41" s="49"/>
      <c r="C41" s="63"/>
      <c r="D41" s="64"/>
      <c r="E41" s="63">
        <f t="shared" si="4"/>
        <v>2017</v>
      </c>
      <c r="F41" s="65">
        <f t="shared" si="5"/>
        <v>230421079</v>
      </c>
      <c r="G41" s="64">
        <f t="shared" si="6"/>
        <v>3338050381.9099998</v>
      </c>
      <c r="H41" s="64">
        <f t="shared" si="3"/>
        <v>14.486740520427819</v>
      </c>
      <c r="I41" s="64"/>
      <c r="J41" s="49"/>
    </row>
    <row r="42" spans="1:10" x14ac:dyDescent="0.25">
      <c r="A42" s="49"/>
      <c r="B42" s="49"/>
      <c r="C42" s="63"/>
      <c r="D42" s="64"/>
      <c r="E42" s="63">
        <f t="shared" si="4"/>
        <v>2018</v>
      </c>
      <c r="F42" s="65">
        <f t="shared" si="5"/>
        <v>347050640</v>
      </c>
      <c r="G42" s="64">
        <f t="shared" si="6"/>
        <v>5164156718.4200001</v>
      </c>
      <c r="H42" s="64">
        <f t="shared" si="3"/>
        <v>14.880124463738202</v>
      </c>
      <c r="I42" s="64"/>
      <c r="J42" s="49"/>
    </row>
    <row r="43" spans="1:10" x14ac:dyDescent="0.25">
      <c r="A43" s="49"/>
      <c r="B43" s="49"/>
      <c r="C43" s="63"/>
      <c r="D43" s="64"/>
      <c r="E43" s="63">
        <f t="shared" si="4"/>
        <v>2019</v>
      </c>
      <c r="F43" s="65">
        <f t="shared" si="5"/>
        <v>280893702</v>
      </c>
      <c r="G43" s="64">
        <f t="shared" si="6"/>
        <v>4712967558.2200003</v>
      </c>
      <c r="H43" s="64">
        <f>+G43/F43</f>
        <v>16.77847358151163</v>
      </c>
      <c r="I43" s="64"/>
      <c r="J43" s="49"/>
    </row>
    <row r="44" spans="1:10" x14ac:dyDescent="0.25">
      <c r="A44" s="49"/>
      <c r="B44" s="49"/>
      <c r="C44" s="63"/>
      <c r="D44" s="64"/>
      <c r="E44" s="63"/>
      <c r="F44" s="65"/>
      <c r="G44" s="64"/>
      <c r="H44" s="64"/>
      <c r="I44" s="64"/>
      <c r="J44" s="49"/>
    </row>
    <row r="45" spans="1:10" x14ac:dyDescent="0.25">
      <c r="B45" s="78" t="s">
        <v>66</v>
      </c>
    </row>
    <row r="46" spans="1:10" x14ac:dyDescent="0.25">
      <c r="B46" s="79" t="s">
        <v>67</v>
      </c>
    </row>
    <row r="47" spans="1:10" x14ac:dyDescent="0.25">
      <c r="B47" t="s">
        <v>68</v>
      </c>
    </row>
  </sheetData>
  <pageMargins left="0.7" right="0.7"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Cover</vt:lpstr>
      <vt:lpstr>GHG Price Calculations</vt:lpstr>
      <vt:lpstr>Auction Data</vt:lpstr>
      <vt:lpstr>'Auction Data'!Print_Area</vt:lpstr>
      <vt:lpstr>'GHG Price Calculations'!Print_Area</vt:lpstr>
      <vt:lpstr>'GHG Price Calculations'!Print_Titles</vt:lpstr>
    </vt:vector>
  </TitlesOfParts>
  <Company>California Energy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Marshall, Lynn@Energy</dc:creator>
  <cp:lastModifiedBy>Marshall, Lynn@Energy</cp:lastModifiedBy>
  <cp:lastPrinted>2020-01-29T00:13:04Z</cp:lastPrinted>
  <dcterms:created xsi:type="dcterms:W3CDTF">2018-12-11T00:37:17Z</dcterms:created>
  <dcterms:modified xsi:type="dcterms:W3CDTF">2020-01-29T00:24:32Z</dcterms:modified>
</cp:coreProperties>
</file>