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ACM Software\2019\Nonres\EnergyPro\8.0\10-31-19\"/>
    </mc:Choice>
  </mc:AlternateContent>
  <bookViews>
    <workbookView xWindow="-28920" yWindow="336" windowWidth="29040" windowHeight="17640" tabRatio="888" firstSheet="1" activeTab="1"/>
  </bookViews>
  <sheets>
    <sheet name="Documentation Main Sheet" sheetId="22" state="hidden" r:id="rId1"/>
    <sheet name="Test Status Summary" sheetId="58" r:id="rId2"/>
    <sheet name="020006S-OffSml-Run01" sheetId="29" r:id="rId3"/>
    <sheet name="020015S-OffSml-Run02" sheetId="30" r:id="rId4"/>
    <sheet name="070015S-HotSml-Run03" sheetId="7" state="hidden" r:id="rId5"/>
    <sheet name="030006S-OffMed-Run04" sheetId="57" r:id="rId6"/>
    <sheet name="040006S-OffLrg-Run05" sheetId="8" state="hidden" r:id="rId7"/>
    <sheet name="040006S-OffLrg-Run06" sheetId="10" state="hidden" r:id="rId8"/>
    <sheet name="080006S-Whse-Run07" sheetId="11" state="hidden" r:id="rId9"/>
    <sheet name="080006S-Whse-Run08" sheetId="12" state="hidden" r:id="rId10"/>
    <sheet name="040006S-OffLrg-Run11" sheetId="46" state="hidden" r:id="rId11"/>
    <sheet name="030006S-OffMed-Run12" sheetId="54" r:id="rId12"/>
    <sheet name="030006S-OffMed-Run13" sheetId="55" r:id="rId13"/>
    <sheet name="020006S-OffSml-Run14" sheetId="31" r:id="rId14"/>
    <sheet name="020006S-OffSml-Run18" sheetId="61" state="hidden" r:id="rId15"/>
    <sheet name="080006S-Whse-Run15" sheetId="20" state="hidden" r:id="rId16"/>
    <sheet name="050006S-RetlMed-Run16" sheetId="24" state="hidden" r:id="rId17"/>
    <sheet name="030006S-OffMed-Run19" sheetId="48" state="hidden" r:id="rId18"/>
    <sheet name="040006S-OffLrg-Run20" sheetId="56" state="hidden" r:id="rId19"/>
    <sheet name="080006S-Whse-Run21" sheetId="26" state="hidden" r:id="rId20"/>
    <sheet name="070015S-HotSml-Run22" sheetId="59" state="hidden" r:id="rId21"/>
    <sheet name="030006S-OffMed-Run23" sheetId="47" state="hidden" r:id="rId22"/>
    <sheet name="020006S-OffSml-Run24" sheetId="39" state="hidden" r:id="rId23"/>
    <sheet name="020006S-OffSml-Run25" sheetId="40" state="hidden" r:id="rId24"/>
    <sheet name="020006S-OffSml-Run26" sheetId="41" state="hidden" r:id="rId25"/>
    <sheet name="050006S-RetlMed-Run27" sheetId="42" state="hidden" r:id="rId26"/>
    <sheet name="050006S-RetlMed-Run28" sheetId="43" state="hidden" r:id="rId27"/>
    <sheet name="030006S-OffMed-Run29" sheetId="44" state="hidden" r:id="rId28"/>
    <sheet name="030006S-OffMed-Run30" sheetId="45" state="hidden" r:id="rId29"/>
  </sheets>
  <definedNames>
    <definedName name="_xlnm._FilterDatabase" localSheetId="2" hidden="1">'020006S-OffSml-Run01'!$B$10:$XFD$55</definedName>
    <definedName name="_xlnm._FilterDatabase" localSheetId="13" hidden="1">'020006S-OffSml-Run14'!$26:$30</definedName>
    <definedName name="_xlnm._FilterDatabase" localSheetId="3" hidden="1">'020015S-OffSml-Run02'!$B$10:$XFD$59</definedName>
    <definedName name="_xlnm._FilterDatabase" localSheetId="5" hidden="1">'030006S-OffMed-Run04'!#REF!</definedName>
    <definedName name="_xlnm._FilterDatabase" localSheetId="11" hidden="1">'030006S-OffMed-Run12'!$14:$32</definedName>
    <definedName name="_xlnm._FilterDatabase" localSheetId="12" hidden="1">'030006S-OffMed-Run13'!$39:$57</definedName>
    <definedName name="_xlnm._FilterDatabase" localSheetId="6" hidden="1">'040006S-OffLrg-Run05'!#REF!</definedName>
    <definedName name="_xlnm._FilterDatabase" localSheetId="7" hidden="1">'040006S-OffLrg-Run06'!#REF!</definedName>
    <definedName name="_xlnm._FilterDatabase" localSheetId="10" hidden="1">'040006S-OffLrg-Run11'!$A$12:$DN$39</definedName>
    <definedName name="_xlnm._FilterDatabase" localSheetId="16" hidden="1">'050006S-RetlMed-Run16'!$A$20:$P$21</definedName>
    <definedName name="_xlnm._FilterDatabase" localSheetId="4" hidden="1">'070015S-HotSml-Run03'!$B$13:$XFD$61</definedName>
    <definedName name="_xlnm._FilterDatabase" localSheetId="20" hidden="1">'070015S-HotSml-Run22'!$A$240:$AB$246</definedName>
    <definedName name="_xlnm._FilterDatabase" localSheetId="8" hidden="1">'080006S-Whse-Run07'!#REF!</definedName>
    <definedName name="_xlnm._FilterDatabase" localSheetId="9" hidden="1">'080006S-Whse-Run08'!#REF!</definedName>
    <definedName name="_xlnm._FilterDatabase" localSheetId="15" hidden="1">'080006S-Whse-Run15'!#REF!</definedName>
    <definedName name="_xlnm._FilterDatabase" localSheetId="1" hidden="1">'Test Status Summary'!$B$5:$Z$34</definedName>
  </definedNames>
  <calcPr calcId="162913"/>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61" l="1"/>
  <c r="C4" i="31"/>
  <c r="C4" i="55"/>
  <c r="C4" i="54"/>
  <c r="E4" i="57"/>
  <c r="J43" i="61" l="1"/>
  <c r="H7" i="61"/>
  <c r="H6" i="61"/>
  <c r="H5" i="61"/>
  <c r="H4" i="61"/>
  <c r="H3" i="61"/>
  <c r="L115" i="61"/>
  <c r="L114" i="61"/>
  <c r="L113" i="61"/>
  <c r="L112" i="61"/>
  <c r="L111" i="61"/>
  <c r="H106" i="61"/>
  <c r="H105" i="61"/>
  <c r="H104" i="61"/>
  <c r="H103" i="61"/>
  <c r="J102" i="61"/>
  <c r="H102" i="61"/>
  <c r="J42" i="61"/>
  <c r="J41" i="61"/>
  <c r="J39" i="61"/>
  <c r="P56" i="55"/>
  <c r="N56" i="55"/>
  <c r="M56" i="55"/>
  <c r="L56" i="55"/>
  <c r="P55" i="55"/>
  <c r="N55" i="55"/>
  <c r="P54" i="55"/>
  <c r="N54" i="55"/>
  <c r="G54" i="55"/>
  <c r="M54" i="55" s="1"/>
  <c r="L54" i="55" s="1"/>
  <c r="P53" i="55"/>
  <c r="N53" i="55"/>
  <c r="P52" i="55"/>
  <c r="N52" i="55"/>
  <c r="P50" i="55"/>
  <c r="N50" i="55"/>
  <c r="M50" i="55"/>
  <c r="L50" i="55" s="1"/>
  <c r="P49" i="55"/>
  <c r="N49" i="55"/>
  <c r="P48" i="55"/>
  <c r="N48" i="55"/>
  <c r="P47" i="55"/>
  <c r="N47" i="55"/>
  <c r="P46" i="55"/>
  <c r="N46" i="55"/>
  <c r="P44" i="55"/>
  <c r="N44" i="55"/>
  <c r="M44" i="55"/>
  <c r="L44" i="55" s="1"/>
  <c r="P43" i="55"/>
  <c r="N43" i="55"/>
  <c r="P42" i="55"/>
  <c r="N42" i="55"/>
  <c r="P41" i="55"/>
  <c r="N41" i="55"/>
  <c r="P40" i="55"/>
  <c r="N40" i="55"/>
  <c r="P31" i="55"/>
  <c r="N31" i="55"/>
  <c r="M31" i="55"/>
  <c r="L31" i="55" s="1"/>
  <c r="P30" i="55"/>
  <c r="N30" i="55"/>
  <c r="G30" i="55"/>
  <c r="G55" i="55" s="1"/>
  <c r="M55" i="55" s="1"/>
  <c r="L55" i="55" s="1"/>
  <c r="E30" i="55"/>
  <c r="M30" i="55" s="1"/>
  <c r="L30" i="55" s="1"/>
  <c r="P29" i="55"/>
  <c r="N29" i="55"/>
  <c r="G29" i="55"/>
  <c r="E29" i="55"/>
  <c r="P28" i="55"/>
  <c r="N28" i="55"/>
  <c r="G28" i="55"/>
  <c r="G53" i="55" s="1"/>
  <c r="M53" i="55" s="1"/>
  <c r="L53" i="55" s="1"/>
  <c r="E28" i="55"/>
  <c r="P27" i="55"/>
  <c r="N27" i="55"/>
  <c r="K27" i="55"/>
  <c r="K52" i="55" s="1"/>
  <c r="I27" i="55"/>
  <c r="I52" i="55" s="1"/>
  <c r="E27" i="55"/>
  <c r="P25" i="55"/>
  <c r="N25" i="55"/>
  <c r="M25" i="55"/>
  <c r="L25" i="55" s="1"/>
  <c r="P24" i="55"/>
  <c r="N24" i="55"/>
  <c r="G24" i="55"/>
  <c r="G49" i="55" s="1"/>
  <c r="M49" i="55" s="1"/>
  <c r="L49" i="55" s="1"/>
  <c r="E24" i="55"/>
  <c r="P23" i="55"/>
  <c r="N23" i="55"/>
  <c r="G23" i="55"/>
  <c r="G48" i="55" s="1"/>
  <c r="M48" i="55" s="1"/>
  <c r="L48" i="55" s="1"/>
  <c r="E23" i="55"/>
  <c r="P22" i="55"/>
  <c r="N22" i="55"/>
  <c r="M22" i="55"/>
  <c r="L22" i="55" s="1"/>
  <c r="G22" i="55"/>
  <c r="G47" i="55" s="1"/>
  <c r="M47" i="55" s="1"/>
  <c r="L47" i="55" s="1"/>
  <c r="E22" i="55"/>
  <c r="P21" i="55"/>
  <c r="N21" i="55"/>
  <c r="K21" i="55"/>
  <c r="I21" i="55"/>
  <c r="I46" i="55" s="1"/>
  <c r="E21" i="55"/>
  <c r="P19" i="55"/>
  <c r="N19" i="55"/>
  <c r="M19" i="55"/>
  <c r="L19" i="55" s="1"/>
  <c r="P18" i="55"/>
  <c r="N18" i="55"/>
  <c r="G18" i="55"/>
  <c r="G43" i="55" s="1"/>
  <c r="M43" i="55" s="1"/>
  <c r="L43" i="55" s="1"/>
  <c r="E18" i="55"/>
  <c r="M18" i="55" s="1"/>
  <c r="L18" i="55" s="1"/>
  <c r="P17" i="55"/>
  <c r="N17" i="55"/>
  <c r="G17" i="55"/>
  <c r="G42" i="55" s="1"/>
  <c r="M42" i="55" s="1"/>
  <c r="L42" i="55" s="1"/>
  <c r="E17" i="55"/>
  <c r="M17" i="55" s="1"/>
  <c r="L17" i="55" s="1"/>
  <c r="P16" i="55"/>
  <c r="N16" i="55"/>
  <c r="G16" i="55"/>
  <c r="G41" i="55" s="1"/>
  <c r="M41" i="55" s="1"/>
  <c r="L41" i="55" s="1"/>
  <c r="E16" i="55"/>
  <c r="M16" i="55" s="1"/>
  <c r="L16" i="55" s="1"/>
  <c r="P15" i="55"/>
  <c r="N15" i="55"/>
  <c r="K15" i="55"/>
  <c r="K40" i="55" s="1"/>
  <c r="I15" i="55"/>
  <c r="I40" i="55" s="1"/>
  <c r="M40" i="55" s="1"/>
  <c r="L40" i="55" s="1"/>
  <c r="E15" i="55"/>
  <c r="I56" i="54"/>
  <c r="I55" i="54"/>
  <c r="I54" i="54"/>
  <c r="I53" i="54"/>
  <c r="I50" i="54"/>
  <c r="I49" i="54"/>
  <c r="I48" i="54"/>
  <c r="I47" i="54"/>
  <c r="I44" i="54"/>
  <c r="I43" i="54"/>
  <c r="I42" i="54"/>
  <c r="I41" i="54"/>
  <c r="G46" i="54"/>
  <c r="I46" i="54" s="1"/>
  <c r="I27" i="54"/>
  <c r="I21" i="54"/>
  <c r="G27" i="54"/>
  <c r="G52" i="54" s="1"/>
  <c r="I52" i="54" s="1"/>
  <c r="G21" i="54"/>
  <c r="E27" i="54"/>
  <c r="E21" i="54"/>
  <c r="G15" i="54"/>
  <c r="G40" i="54" s="1"/>
  <c r="I40" i="54" s="1"/>
  <c r="E15" i="54"/>
  <c r="M52" i="55" l="1"/>
  <c r="L52" i="55" s="1"/>
  <c r="M15" i="55"/>
  <c r="L15" i="55" s="1"/>
  <c r="M21" i="55"/>
  <c r="L21" i="55" s="1"/>
  <c r="M23" i="55"/>
  <c r="L23" i="55" s="1"/>
  <c r="M28" i="55"/>
  <c r="L28" i="55" s="1"/>
  <c r="M27" i="55"/>
  <c r="L27" i="55" s="1"/>
  <c r="K46" i="55"/>
  <c r="M46" i="55" s="1"/>
  <c r="L46" i="55" s="1"/>
  <c r="M29" i="55"/>
  <c r="L29" i="55" s="1"/>
  <c r="M24" i="55"/>
  <c r="L24" i="55" s="1"/>
  <c r="I15" i="54"/>
  <c r="H56" i="54" l="1"/>
  <c r="H55" i="54"/>
  <c r="H54" i="54"/>
  <c r="H53" i="54"/>
  <c r="H50" i="54"/>
  <c r="H49" i="54"/>
  <c r="H48" i="54"/>
  <c r="H47" i="54"/>
  <c r="H44" i="54"/>
  <c r="H43" i="54"/>
  <c r="H42" i="54"/>
  <c r="H41" i="54"/>
  <c r="L56" i="54"/>
  <c r="J56" i="54"/>
  <c r="L55" i="54"/>
  <c r="J55" i="54"/>
  <c r="L54" i="54"/>
  <c r="J54" i="54"/>
  <c r="L53" i="54"/>
  <c r="J53" i="54"/>
  <c r="L52" i="54"/>
  <c r="J52" i="54"/>
  <c r="L50" i="54"/>
  <c r="J50" i="54"/>
  <c r="L49" i="54"/>
  <c r="J49" i="54"/>
  <c r="L48" i="54"/>
  <c r="J48" i="54"/>
  <c r="L47" i="54"/>
  <c r="J47" i="54"/>
  <c r="L46" i="54"/>
  <c r="J46" i="54"/>
  <c r="L44" i="54"/>
  <c r="J44" i="54"/>
  <c r="L43" i="54"/>
  <c r="J43" i="54"/>
  <c r="L42" i="54"/>
  <c r="J42" i="54"/>
  <c r="L41" i="54"/>
  <c r="J41" i="54"/>
  <c r="L40" i="54"/>
  <c r="J40" i="54"/>
  <c r="L31" i="54"/>
  <c r="L30" i="54"/>
  <c r="L29" i="54"/>
  <c r="L28" i="54"/>
  <c r="L27" i="54"/>
  <c r="L25" i="54"/>
  <c r="L24" i="54"/>
  <c r="L23" i="54"/>
  <c r="L22" i="54"/>
  <c r="L21" i="54"/>
  <c r="L19" i="54"/>
  <c r="L18" i="54"/>
  <c r="L17" i="54"/>
  <c r="L16" i="54"/>
  <c r="J31" i="54"/>
  <c r="J30" i="54"/>
  <c r="J29" i="54"/>
  <c r="J28" i="54"/>
  <c r="J27" i="54"/>
  <c r="J25" i="54"/>
  <c r="J24" i="54"/>
  <c r="J23" i="54"/>
  <c r="J22" i="54"/>
  <c r="J21" i="54"/>
  <c r="J19" i="54"/>
  <c r="J18" i="54"/>
  <c r="J17" i="54"/>
  <c r="J16" i="54"/>
  <c r="H31" i="54"/>
  <c r="H30" i="54"/>
  <c r="H29" i="54"/>
  <c r="H28" i="54"/>
  <c r="H27" i="54"/>
  <c r="H25" i="54"/>
  <c r="H24" i="54"/>
  <c r="H23" i="54"/>
  <c r="H22" i="54"/>
  <c r="H21" i="54"/>
  <c r="H19" i="54"/>
  <c r="H18" i="54"/>
  <c r="H17" i="54"/>
  <c r="H16" i="54"/>
  <c r="L15" i="54"/>
  <c r="J15" i="54"/>
  <c r="H15" i="54"/>
  <c r="AL53" i="46" l="1"/>
  <c r="AM53" i="46"/>
  <c r="AD59" i="46"/>
  <c r="AD61" i="46"/>
  <c r="AD63" i="46"/>
  <c r="AD64" i="46"/>
  <c r="AD80" i="46"/>
  <c r="AD81" i="46"/>
  <c r="H7" i="59" l="1"/>
  <c r="H6" i="59"/>
  <c r="H5" i="59"/>
  <c r="H4" i="59"/>
  <c r="L419" i="59"/>
  <c r="N419" i="59" s="1"/>
  <c r="P414" i="59"/>
  <c r="J414" i="59"/>
  <c r="L414" i="59" s="1"/>
  <c r="P413" i="59"/>
  <c r="J413" i="59"/>
  <c r="J412" i="59"/>
  <c r="L412" i="59" s="1"/>
  <c r="P411" i="59"/>
  <c r="J411" i="59"/>
  <c r="L411" i="59" s="1"/>
  <c r="N401" i="59"/>
  <c r="Z390" i="59"/>
  <c r="V390" i="59"/>
  <c r="V389" i="59"/>
  <c r="Z389" i="59" s="1"/>
  <c r="V388" i="59"/>
  <c r="Z388" i="59" s="1"/>
  <c r="V387" i="59"/>
  <c r="Z387" i="59" s="1"/>
  <c r="V386" i="59"/>
  <c r="Z386" i="59" s="1"/>
  <c r="V385" i="59"/>
  <c r="Z385" i="59" s="1"/>
  <c r="V384" i="59"/>
  <c r="Z384" i="59" s="1"/>
  <c r="V383" i="59"/>
  <c r="Z383" i="59" s="1"/>
  <c r="V382" i="59"/>
  <c r="Z382" i="59" s="1"/>
  <c r="Z381" i="59"/>
  <c r="Z380" i="59"/>
  <c r="V380" i="59"/>
  <c r="Z379" i="59"/>
  <c r="V379" i="59"/>
  <c r="Z378" i="59"/>
  <c r="V378" i="59"/>
  <c r="Z377" i="59"/>
  <c r="V377" i="59"/>
  <c r="Z376" i="59"/>
  <c r="V376" i="59"/>
  <c r="Z375" i="59"/>
  <c r="V375" i="59"/>
  <c r="Z374" i="59"/>
  <c r="V374" i="59"/>
  <c r="Z373" i="59"/>
  <c r="V373" i="59"/>
  <c r="Z372" i="59"/>
  <c r="V372" i="59"/>
  <c r="Z371" i="59"/>
  <c r="V371" i="59"/>
  <c r="Z370" i="59"/>
  <c r="V370" i="59"/>
  <c r="Z369" i="59"/>
  <c r="V369" i="59"/>
  <c r="Z368" i="59"/>
  <c r="V368" i="59"/>
  <c r="Z367" i="59"/>
  <c r="V367" i="59"/>
  <c r="Z366" i="59"/>
  <c r="V366" i="59"/>
  <c r="Z365" i="59"/>
  <c r="V365" i="59"/>
  <c r="Z364" i="59"/>
  <c r="V364" i="59"/>
  <c r="Z363" i="59"/>
  <c r="V363" i="59"/>
  <c r="Z362" i="59"/>
  <c r="V362" i="59"/>
  <c r="Z361" i="59"/>
  <c r="V361" i="59"/>
  <c r="Z360" i="59"/>
  <c r="V360" i="59"/>
  <c r="Z359" i="59"/>
  <c r="V359" i="59"/>
  <c r="Z358" i="59"/>
  <c r="V358" i="59"/>
  <c r="Z357" i="59"/>
  <c r="V357" i="59"/>
  <c r="Z356" i="59"/>
  <c r="V356" i="59"/>
  <c r="P351" i="59"/>
  <c r="V351" i="59" s="1"/>
  <c r="P350" i="59"/>
  <c r="V350" i="59" s="1"/>
  <c r="P349" i="59"/>
  <c r="V349" i="59" s="1"/>
  <c r="P348" i="59"/>
  <c r="V348" i="59" s="1"/>
  <c r="P347" i="59"/>
  <c r="V347" i="59" s="1"/>
  <c r="P346" i="59"/>
  <c r="V346" i="59" s="1"/>
  <c r="P345" i="59"/>
  <c r="V345" i="59" s="1"/>
  <c r="P344" i="59"/>
  <c r="V344" i="59" s="1"/>
  <c r="P343" i="59"/>
  <c r="V343" i="59" s="1"/>
  <c r="P342" i="59"/>
  <c r="V342" i="59" s="1"/>
  <c r="P341" i="59"/>
  <c r="V341" i="59" s="1"/>
  <c r="P340" i="59"/>
  <c r="V340" i="59" s="1"/>
  <c r="P339" i="59"/>
  <c r="V339" i="59" s="1"/>
  <c r="P338" i="59"/>
  <c r="V338" i="59" s="1"/>
  <c r="P337" i="59"/>
  <c r="V337" i="59" s="1"/>
  <c r="P336" i="59"/>
  <c r="V336" i="59" s="1"/>
  <c r="P335" i="59"/>
  <c r="V335" i="59" s="1"/>
  <c r="P334" i="59"/>
  <c r="V334" i="59" s="1"/>
  <c r="P333" i="59"/>
  <c r="V333" i="59" s="1"/>
  <c r="P332" i="59"/>
  <c r="V332" i="59" s="1"/>
  <c r="P331" i="59"/>
  <c r="V331" i="59" s="1"/>
  <c r="P330" i="59"/>
  <c r="V330" i="59" s="1"/>
  <c r="P329" i="59"/>
  <c r="V329" i="59" s="1"/>
  <c r="P328" i="59"/>
  <c r="V328" i="59" s="1"/>
  <c r="P327" i="59"/>
  <c r="V327" i="59" s="1"/>
  <c r="P326" i="59"/>
  <c r="V326" i="59" s="1"/>
  <c r="P325" i="59"/>
  <c r="V325" i="59" s="1"/>
  <c r="P324" i="59"/>
  <c r="V324" i="59" s="1"/>
  <c r="P308" i="59"/>
  <c r="L308" i="59" s="1"/>
  <c r="N308" i="59"/>
  <c r="P307" i="59"/>
  <c r="N307" i="59"/>
  <c r="L307" i="59"/>
  <c r="P306" i="59"/>
  <c r="L306" i="59" s="1"/>
  <c r="N306" i="59"/>
  <c r="P305" i="59"/>
  <c r="L305" i="59" s="1"/>
  <c r="N305" i="59"/>
  <c r="V304" i="59"/>
  <c r="V303" i="59"/>
  <c r="V302" i="59"/>
  <c r="V301" i="59"/>
  <c r="V300" i="59"/>
  <c r="V299" i="59"/>
  <c r="V298" i="59"/>
  <c r="V297" i="59"/>
  <c r="V296" i="59"/>
  <c r="V295" i="59"/>
  <c r="V294" i="59"/>
  <c r="V293" i="59"/>
  <c r="V292" i="59"/>
  <c r="V291" i="59"/>
  <c r="V290" i="59"/>
  <c r="V289" i="59"/>
  <c r="V288" i="59"/>
  <c r="V287" i="59"/>
  <c r="V286" i="59"/>
  <c r="V285" i="59"/>
  <c r="V284" i="59"/>
  <c r="V283" i="59"/>
  <c r="V282" i="59"/>
  <c r="V281" i="59"/>
  <c r="V280" i="59"/>
  <c r="V279" i="59"/>
  <c r="V278" i="59"/>
  <c r="V277" i="59"/>
  <c r="V276" i="59"/>
  <c r="V275" i="59"/>
  <c r="V274" i="59"/>
  <c r="V273" i="59"/>
  <c r="V272" i="59"/>
  <c r="V271" i="59"/>
  <c r="V270" i="59"/>
  <c r="N269" i="59"/>
  <c r="L269" i="59"/>
  <c r="N268" i="59"/>
  <c r="L268" i="59" s="1"/>
  <c r="N267" i="59"/>
  <c r="L267" i="59" s="1"/>
  <c r="N266" i="59"/>
  <c r="L266" i="59" s="1"/>
  <c r="N265" i="59"/>
  <c r="L265" i="59" s="1"/>
  <c r="L220" i="59"/>
  <c r="N220" i="59" s="1"/>
  <c r="P215" i="59"/>
  <c r="J215" i="59"/>
  <c r="L215" i="59" s="1"/>
  <c r="J214" i="59"/>
  <c r="L214" i="59" s="1"/>
  <c r="P213" i="59"/>
  <c r="J213" i="59"/>
  <c r="L213" i="59" s="1"/>
  <c r="P212" i="59"/>
  <c r="J212" i="59"/>
  <c r="L212" i="59" s="1"/>
  <c r="N197" i="59"/>
  <c r="V186" i="59"/>
  <c r="X186" i="59" s="1"/>
  <c r="Z186" i="59" s="1"/>
  <c r="X185" i="59"/>
  <c r="Z185" i="59" s="1"/>
  <c r="V185" i="59"/>
  <c r="V184" i="59"/>
  <c r="X184" i="59" s="1"/>
  <c r="Z184" i="59" s="1"/>
  <c r="V183" i="59"/>
  <c r="X183" i="59" s="1"/>
  <c r="Z183" i="59" s="1"/>
  <c r="V182" i="59"/>
  <c r="X182" i="59" s="1"/>
  <c r="Z182" i="59" s="1"/>
  <c r="V181" i="59"/>
  <c r="X181" i="59" s="1"/>
  <c r="Z181" i="59" s="1"/>
  <c r="V180" i="59"/>
  <c r="X180" i="59" s="1"/>
  <c r="Z180" i="59" s="1"/>
  <c r="V179" i="59"/>
  <c r="X179" i="59" s="1"/>
  <c r="Z179" i="59" s="1"/>
  <c r="V178" i="59"/>
  <c r="X178" i="59" s="1"/>
  <c r="Z178" i="59" s="1"/>
  <c r="V177" i="59"/>
  <c r="X177" i="59" s="1"/>
  <c r="Z177" i="59" s="1"/>
  <c r="X176" i="59"/>
  <c r="Z176" i="59" s="1"/>
  <c r="V176" i="59"/>
  <c r="X175" i="59"/>
  <c r="Z175" i="59" s="1"/>
  <c r="V175" i="59"/>
  <c r="X174" i="59"/>
  <c r="Z174" i="59" s="1"/>
  <c r="V174" i="59"/>
  <c r="X173" i="59"/>
  <c r="Z173" i="59" s="1"/>
  <c r="V173" i="59"/>
  <c r="X172" i="59"/>
  <c r="Z172" i="59" s="1"/>
  <c r="V172" i="59"/>
  <c r="X171" i="59"/>
  <c r="Z171" i="59" s="1"/>
  <c r="V171" i="59"/>
  <c r="X170" i="59"/>
  <c r="Z170" i="59" s="1"/>
  <c r="V170" i="59"/>
  <c r="X169" i="59"/>
  <c r="Z169" i="59" s="1"/>
  <c r="V169" i="59"/>
  <c r="X168" i="59"/>
  <c r="Z168" i="59" s="1"/>
  <c r="V168" i="59"/>
  <c r="X167" i="59"/>
  <c r="Z167" i="59" s="1"/>
  <c r="V167" i="59"/>
  <c r="X166" i="59"/>
  <c r="Z166" i="59" s="1"/>
  <c r="V166" i="59"/>
  <c r="X165" i="59"/>
  <c r="Z165" i="59" s="1"/>
  <c r="V165" i="59"/>
  <c r="X164" i="59"/>
  <c r="Z164" i="59" s="1"/>
  <c r="V164" i="59"/>
  <c r="X163" i="59"/>
  <c r="Z163" i="59" s="1"/>
  <c r="V163" i="59"/>
  <c r="X162" i="59"/>
  <c r="Z162" i="59" s="1"/>
  <c r="V162" i="59"/>
  <c r="X161" i="59"/>
  <c r="Z161" i="59" s="1"/>
  <c r="V161" i="59"/>
  <c r="X160" i="59"/>
  <c r="Z160" i="59" s="1"/>
  <c r="V160" i="59"/>
  <c r="X159" i="59"/>
  <c r="Z159" i="59" s="1"/>
  <c r="V159" i="59"/>
  <c r="Z158" i="59"/>
  <c r="X158" i="59"/>
  <c r="V158" i="59"/>
  <c r="X157" i="59"/>
  <c r="Z157" i="59" s="1"/>
  <c r="V157" i="59"/>
  <c r="X156" i="59"/>
  <c r="Z156" i="59" s="1"/>
  <c r="V156" i="59"/>
  <c r="X155" i="59"/>
  <c r="Z155" i="59" s="1"/>
  <c r="V155" i="59"/>
  <c r="X154" i="59"/>
  <c r="Z154" i="59" s="1"/>
  <c r="V154" i="59"/>
  <c r="X153" i="59"/>
  <c r="Z153" i="59" s="1"/>
  <c r="V153" i="59"/>
  <c r="X152" i="59"/>
  <c r="Z152" i="59" s="1"/>
  <c r="V152" i="59"/>
  <c r="P147" i="59"/>
  <c r="V147" i="59" s="1"/>
  <c r="P146" i="59"/>
  <c r="V146" i="59" s="1"/>
  <c r="P145" i="59"/>
  <c r="V145" i="59" s="1"/>
  <c r="P144" i="59"/>
  <c r="V144" i="59" s="1"/>
  <c r="P143" i="59"/>
  <c r="V143" i="59" s="1"/>
  <c r="P142" i="59"/>
  <c r="V142" i="59" s="1"/>
  <c r="P141" i="59"/>
  <c r="V141" i="59" s="1"/>
  <c r="P140" i="59"/>
  <c r="V140" i="59" s="1"/>
  <c r="P139" i="59"/>
  <c r="V139" i="59" s="1"/>
  <c r="P138" i="59"/>
  <c r="V138" i="59" s="1"/>
  <c r="P137" i="59"/>
  <c r="V137" i="59" s="1"/>
  <c r="P136" i="59"/>
  <c r="V136" i="59" s="1"/>
  <c r="P135" i="59"/>
  <c r="V135" i="59" s="1"/>
  <c r="P134" i="59"/>
  <c r="V134" i="59" s="1"/>
  <c r="P133" i="59"/>
  <c r="V133" i="59" s="1"/>
  <c r="P132" i="59"/>
  <c r="V132" i="59" s="1"/>
  <c r="P131" i="59"/>
  <c r="V131" i="59" s="1"/>
  <c r="P130" i="59"/>
  <c r="V130" i="59" s="1"/>
  <c r="P129" i="59"/>
  <c r="V129" i="59" s="1"/>
  <c r="P128" i="59"/>
  <c r="V128" i="59" s="1"/>
  <c r="P127" i="59"/>
  <c r="V127" i="59" s="1"/>
  <c r="P126" i="59"/>
  <c r="V126" i="59" s="1"/>
  <c r="P125" i="59"/>
  <c r="V125" i="59" s="1"/>
  <c r="P124" i="59"/>
  <c r="V124" i="59" s="1"/>
  <c r="P123" i="59"/>
  <c r="V123" i="59" s="1"/>
  <c r="P122" i="59"/>
  <c r="V122" i="59" s="1"/>
  <c r="P121" i="59"/>
  <c r="V121" i="59" s="1"/>
  <c r="P120" i="59"/>
  <c r="V120" i="59" s="1"/>
  <c r="L105" i="59"/>
  <c r="L104" i="59"/>
  <c r="L103" i="59"/>
  <c r="L102" i="59"/>
  <c r="L101" i="59"/>
  <c r="L100" i="59"/>
  <c r="L99" i="59"/>
  <c r="L98" i="59"/>
  <c r="L97" i="59"/>
  <c r="L96" i="59"/>
  <c r="L95" i="59"/>
  <c r="L94" i="59"/>
  <c r="L93" i="59"/>
  <c r="L92" i="59"/>
  <c r="L91" i="59"/>
  <c r="L90" i="59"/>
  <c r="L89" i="59"/>
  <c r="L88" i="59"/>
  <c r="L87" i="59"/>
  <c r="L86" i="59"/>
  <c r="L85" i="59"/>
  <c r="L84" i="59"/>
  <c r="L83" i="59"/>
  <c r="L82" i="59"/>
  <c r="L81" i="59"/>
  <c r="L80" i="59"/>
  <c r="L79" i="59"/>
  <c r="L78" i="59"/>
  <c r="L77" i="59"/>
  <c r="L76" i="59"/>
  <c r="L75" i="59"/>
  <c r="L74" i="59"/>
  <c r="L73" i="59"/>
  <c r="L72" i="59"/>
  <c r="L71" i="59"/>
  <c r="L70" i="59"/>
  <c r="L69" i="59"/>
  <c r="L68" i="59"/>
  <c r="L67" i="59"/>
  <c r="L66" i="59"/>
  <c r="L65" i="59"/>
  <c r="H60" i="59"/>
  <c r="H56" i="59"/>
  <c r="H55" i="59"/>
  <c r="C4" i="59"/>
  <c r="L413" i="59" l="1"/>
  <c r="H5" i="39"/>
  <c r="H4" i="39"/>
  <c r="F92" i="46" l="1"/>
  <c r="F91" i="46"/>
  <c r="F90" i="46"/>
  <c r="F89" i="46"/>
  <c r="F88" i="46"/>
  <c r="AL81" i="46"/>
  <c r="AJ81" i="46"/>
  <c r="AF81" i="46"/>
  <c r="Z81" i="46"/>
  <c r="X81" i="46"/>
  <c r="V81" i="46"/>
  <c r="T81" i="46"/>
  <c r="R81" i="46"/>
  <c r="P81" i="46"/>
  <c r="N81" i="46"/>
  <c r="L81" i="46"/>
  <c r="J81" i="46"/>
  <c r="AL80" i="46"/>
  <c r="AJ80" i="46"/>
  <c r="AF80" i="46"/>
  <c r="Z80" i="46"/>
  <c r="X80" i="46"/>
  <c r="V80" i="46"/>
  <c r="T80" i="46"/>
  <c r="R80" i="46"/>
  <c r="P80" i="46"/>
  <c r="N80" i="46"/>
  <c r="L80" i="46"/>
  <c r="J80" i="46"/>
  <c r="AL79" i="46"/>
  <c r="AJ79" i="46"/>
  <c r="AF79" i="46"/>
  <c r="Z79" i="46"/>
  <c r="V79" i="46"/>
  <c r="T79" i="46"/>
  <c r="R79" i="46"/>
  <c r="P79" i="46"/>
  <c r="N79" i="46"/>
  <c r="L79" i="46"/>
  <c r="J79" i="46"/>
  <c r="AL78" i="46"/>
  <c r="AJ78" i="46"/>
  <c r="AF78" i="46"/>
  <c r="Z78" i="46"/>
  <c r="X78" i="46"/>
  <c r="V78" i="46"/>
  <c r="T78" i="46"/>
  <c r="R78" i="46"/>
  <c r="P78" i="46"/>
  <c r="N78" i="46"/>
  <c r="L78" i="46"/>
  <c r="J78" i="46"/>
  <c r="AL77" i="46"/>
  <c r="AJ77" i="46"/>
  <c r="AF77" i="46"/>
  <c r="Z77" i="46"/>
  <c r="X77" i="46"/>
  <c r="V77" i="46"/>
  <c r="T77" i="46"/>
  <c r="R77" i="46"/>
  <c r="P77" i="46"/>
  <c r="N77" i="46"/>
  <c r="L77" i="46"/>
  <c r="J77" i="46"/>
  <c r="AL76" i="46"/>
  <c r="AJ76" i="46"/>
  <c r="AF76" i="46"/>
  <c r="Z76" i="46"/>
  <c r="X76" i="46"/>
  <c r="V76" i="46"/>
  <c r="T76" i="46"/>
  <c r="R76" i="46"/>
  <c r="P76" i="46"/>
  <c r="N76" i="46"/>
  <c r="L76" i="46"/>
  <c r="J76" i="46"/>
  <c r="AL75" i="46"/>
  <c r="AJ75" i="46"/>
  <c r="AF75" i="46"/>
  <c r="Z75" i="46"/>
  <c r="X75" i="46"/>
  <c r="V75" i="46"/>
  <c r="T75" i="46"/>
  <c r="R75" i="46"/>
  <c r="P75" i="46"/>
  <c r="N75" i="46"/>
  <c r="L75" i="46"/>
  <c r="J75" i="46"/>
  <c r="AL74" i="46"/>
  <c r="AJ74" i="46"/>
  <c r="AF74" i="46"/>
  <c r="Z74" i="46"/>
  <c r="X74" i="46"/>
  <c r="V74" i="46"/>
  <c r="T74" i="46"/>
  <c r="R74" i="46"/>
  <c r="P74" i="46"/>
  <c r="N74" i="46"/>
  <c r="L74" i="46"/>
  <c r="J74" i="46"/>
  <c r="AL73" i="46"/>
  <c r="AJ73" i="46"/>
  <c r="AF73" i="46"/>
  <c r="Z73" i="46"/>
  <c r="X73" i="46"/>
  <c r="V73" i="46"/>
  <c r="T73" i="46"/>
  <c r="R73" i="46"/>
  <c r="P73" i="46"/>
  <c r="N73" i="46"/>
  <c r="L73" i="46"/>
  <c r="J73" i="46"/>
  <c r="AL71" i="46"/>
  <c r="AJ71" i="46"/>
  <c r="AF71" i="46"/>
  <c r="Z71" i="46"/>
  <c r="X71" i="46"/>
  <c r="V71" i="46"/>
  <c r="T71" i="46"/>
  <c r="R71" i="46"/>
  <c r="P71" i="46"/>
  <c r="N71" i="46"/>
  <c r="L71" i="46"/>
  <c r="J71" i="46"/>
  <c r="AL70" i="46"/>
  <c r="AJ70" i="46"/>
  <c r="AF70" i="46"/>
  <c r="Z70" i="46"/>
  <c r="X70" i="46"/>
  <c r="V70" i="46"/>
  <c r="T70" i="46"/>
  <c r="R70" i="46"/>
  <c r="P70" i="46"/>
  <c r="N70" i="46"/>
  <c r="L70" i="46"/>
  <c r="J70" i="46"/>
  <c r="AL69" i="46"/>
  <c r="AJ69" i="46"/>
  <c r="AF69" i="46"/>
  <c r="Z69" i="46"/>
  <c r="X69" i="46"/>
  <c r="V69" i="46"/>
  <c r="T69" i="46"/>
  <c r="R69" i="46"/>
  <c r="P69" i="46"/>
  <c r="N69" i="46"/>
  <c r="L69" i="46"/>
  <c r="J69" i="46"/>
  <c r="AL68" i="46"/>
  <c r="AJ68" i="46"/>
  <c r="AF68" i="46"/>
  <c r="Z68" i="46"/>
  <c r="V68" i="46"/>
  <c r="T68" i="46"/>
  <c r="R68" i="46"/>
  <c r="P68" i="46"/>
  <c r="N68" i="46"/>
  <c r="L68" i="46"/>
  <c r="J68" i="46"/>
  <c r="AL67" i="46"/>
  <c r="AJ67" i="46"/>
  <c r="AF67" i="46"/>
  <c r="Z67" i="46"/>
  <c r="X67" i="46"/>
  <c r="V67" i="46"/>
  <c r="T67" i="46"/>
  <c r="R67" i="46"/>
  <c r="P67" i="46"/>
  <c r="N67" i="46"/>
  <c r="L67" i="46"/>
  <c r="J67" i="46"/>
  <c r="AL65" i="46"/>
  <c r="AJ65" i="46"/>
  <c r="AF65" i="46"/>
  <c r="Z65" i="46"/>
  <c r="X65" i="46"/>
  <c r="V65" i="46"/>
  <c r="T65" i="46"/>
  <c r="R65" i="46"/>
  <c r="P65" i="46"/>
  <c r="N65" i="46"/>
  <c r="L65" i="46"/>
  <c r="J65" i="46"/>
  <c r="AL64" i="46"/>
  <c r="AJ64" i="46"/>
  <c r="AF64" i="46"/>
  <c r="Z64" i="46"/>
  <c r="X64" i="46"/>
  <c r="V64" i="46"/>
  <c r="T64" i="46"/>
  <c r="R64" i="46"/>
  <c r="P64" i="46"/>
  <c r="N64" i="46"/>
  <c r="L64" i="46"/>
  <c r="J64" i="46"/>
  <c r="AL63" i="46"/>
  <c r="AJ63" i="46"/>
  <c r="AF63" i="46"/>
  <c r="Z63" i="46"/>
  <c r="X63" i="46"/>
  <c r="V63" i="46"/>
  <c r="T63" i="46"/>
  <c r="R63" i="46"/>
  <c r="P63" i="46"/>
  <c r="N63" i="46"/>
  <c r="L63" i="46"/>
  <c r="J63" i="46"/>
  <c r="AL62" i="46"/>
  <c r="AJ62" i="46"/>
  <c r="AF62" i="46"/>
  <c r="Z62" i="46"/>
  <c r="V62" i="46"/>
  <c r="T62" i="46"/>
  <c r="R62" i="46"/>
  <c r="P62" i="46"/>
  <c r="N62" i="46"/>
  <c r="L62" i="46"/>
  <c r="J62" i="46"/>
  <c r="AL61" i="46"/>
  <c r="AJ61" i="46"/>
  <c r="AF61" i="46"/>
  <c r="Z61" i="46"/>
  <c r="X61" i="46"/>
  <c r="V61" i="46"/>
  <c r="T61" i="46"/>
  <c r="R61" i="46"/>
  <c r="P61" i="46"/>
  <c r="N61" i="46"/>
  <c r="L61" i="46"/>
  <c r="J61" i="46"/>
  <c r="AL59" i="46"/>
  <c r="AJ59" i="46"/>
  <c r="AF59" i="46"/>
  <c r="Z59" i="46"/>
  <c r="X59" i="46"/>
  <c r="V59" i="46"/>
  <c r="T59" i="46"/>
  <c r="R59" i="46"/>
  <c r="P59" i="46"/>
  <c r="N59" i="46"/>
  <c r="L59" i="46"/>
  <c r="J59" i="46"/>
  <c r="AL58" i="46"/>
  <c r="AJ58" i="46"/>
  <c r="AF58" i="46"/>
  <c r="Z58" i="46"/>
  <c r="X58" i="46"/>
  <c r="V58" i="46"/>
  <c r="T58" i="46"/>
  <c r="R58" i="46"/>
  <c r="P58" i="46"/>
  <c r="N58" i="46"/>
  <c r="L58" i="46"/>
  <c r="J58" i="46"/>
  <c r="F49" i="46"/>
  <c r="F48" i="46"/>
  <c r="F47" i="46"/>
  <c r="F46" i="46"/>
  <c r="F45" i="46"/>
  <c r="AL38" i="46"/>
  <c r="AJ38" i="46"/>
  <c r="AF38" i="46"/>
  <c r="AD38" i="46"/>
  <c r="Z38" i="46"/>
  <c r="X38" i="46"/>
  <c r="V38" i="46"/>
  <c r="T38" i="46"/>
  <c r="R38" i="46"/>
  <c r="P38" i="46"/>
  <c r="N38" i="46"/>
  <c r="L38" i="46"/>
  <c r="J38" i="46"/>
  <c r="AL37" i="46"/>
  <c r="AJ37" i="46"/>
  <c r="AF37" i="46"/>
  <c r="Z37" i="46"/>
  <c r="X37" i="46"/>
  <c r="V37" i="46"/>
  <c r="T37" i="46"/>
  <c r="R37" i="46"/>
  <c r="P37" i="46"/>
  <c r="N37" i="46"/>
  <c r="L37" i="46"/>
  <c r="J37" i="46"/>
  <c r="AL36" i="46"/>
  <c r="AJ36" i="46"/>
  <c r="AF36" i="46"/>
  <c r="Z36" i="46"/>
  <c r="V36" i="46"/>
  <c r="T36" i="46"/>
  <c r="R36" i="46"/>
  <c r="P36" i="46"/>
  <c r="N36" i="46"/>
  <c r="L36" i="46"/>
  <c r="J36" i="46"/>
  <c r="AL35" i="46"/>
  <c r="AJ35" i="46"/>
  <c r="AF35" i="46"/>
  <c r="Z35" i="46"/>
  <c r="X35" i="46"/>
  <c r="V35" i="46"/>
  <c r="T35" i="46"/>
  <c r="R35" i="46"/>
  <c r="P35" i="46"/>
  <c r="N35" i="46"/>
  <c r="L35" i="46"/>
  <c r="J35" i="46"/>
  <c r="AL34" i="46"/>
  <c r="AJ34" i="46"/>
  <c r="AF34" i="46"/>
  <c r="Z34" i="46"/>
  <c r="X34" i="46"/>
  <c r="V34" i="46"/>
  <c r="T34" i="46"/>
  <c r="R34" i="46"/>
  <c r="P34" i="46"/>
  <c r="N34" i="46"/>
  <c r="L34" i="46"/>
  <c r="J34" i="46"/>
  <c r="AL33" i="46"/>
  <c r="AJ33" i="46"/>
  <c r="AF33" i="46"/>
  <c r="Z33" i="46"/>
  <c r="X33" i="46"/>
  <c r="V33" i="46"/>
  <c r="T33" i="46"/>
  <c r="R33" i="46"/>
  <c r="P33" i="46"/>
  <c r="N33" i="46"/>
  <c r="L33" i="46"/>
  <c r="J33" i="46"/>
  <c r="AL32" i="46"/>
  <c r="AJ32" i="46"/>
  <c r="AF32" i="46"/>
  <c r="Z32" i="46"/>
  <c r="X32" i="46"/>
  <c r="V32" i="46"/>
  <c r="T32" i="46"/>
  <c r="R32" i="46"/>
  <c r="P32" i="46"/>
  <c r="N32" i="46"/>
  <c r="L32" i="46"/>
  <c r="J32" i="46"/>
  <c r="AL31" i="46"/>
  <c r="AJ31" i="46"/>
  <c r="Z31" i="46"/>
  <c r="V31" i="46"/>
  <c r="T31" i="46"/>
  <c r="R31" i="46"/>
  <c r="P31" i="46"/>
  <c r="N31" i="46"/>
  <c r="L31" i="46"/>
  <c r="J31" i="46"/>
  <c r="AL30" i="46"/>
  <c r="AJ30" i="46"/>
  <c r="AF30" i="46"/>
  <c r="Z30" i="46"/>
  <c r="X30" i="46"/>
  <c r="V30" i="46"/>
  <c r="T30" i="46"/>
  <c r="R30" i="46"/>
  <c r="P30" i="46"/>
  <c r="N30" i="46"/>
  <c r="L30" i="46"/>
  <c r="J30" i="46"/>
  <c r="AL28" i="46"/>
  <c r="AJ28" i="46"/>
  <c r="AF28" i="46"/>
  <c r="Z28" i="46"/>
  <c r="X28" i="46"/>
  <c r="V28" i="46"/>
  <c r="T28" i="46"/>
  <c r="R28" i="46"/>
  <c r="P28" i="46"/>
  <c r="N28" i="46"/>
  <c r="L28" i="46"/>
  <c r="J28" i="46"/>
  <c r="AL27" i="46"/>
  <c r="AJ27" i="46"/>
  <c r="AF27" i="46"/>
  <c r="Z27" i="46"/>
  <c r="X27" i="46"/>
  <c r="V27" i="46"/>
  <c r="T27" i="46"/>
  <c r="R27" i="46"/>
  <c r="P27" i="46"/>
  <c r="N27" i="46"/>
  <c r="L27" i="46"/>
  <c r="J27" i="46"/>
  <c r="AL26" i="46"/>
  <c r="AJ26" i="46"/>
  <c r="AF26" i="46"/>
  <c r="Z26" i="46"/>
  <c r="X26" i="46"/>
  <c r="V26" i="46"/>
  <c r="T26" i="46"/>
  <c r="R26" i="46"/>
  <c r="P26" i="46"/>
  <c r="N26" i="46"/>
  <c r="L26" i="46"/>
  <c r="J26" i="46"/>
  <c r="AL25" i="46"/>
  <c r="AJ25" i="46"/>
  <c r="AF25" i="46"/>
  <c r="Z25" i="46"/>
  <c r="V25" i="46"/>
  <c r="T25" i="46"/>
  <c r="R25" i="46"/>
  <c r="P25" i="46"/>
  <c r="N25" i="46"/>
  <c r="L25" i="46"/>
  <c r="J25" i="46"/>
  <c r="AL24" i="46"/>
  <c r="AJ24" i="46"/>
  <c r="AF24" i="46"/>
  <c r="Z24" i="46"/>
  <c r="X24" i="46"/>
  <c r="V24" i="46"/>
  <c r="T24" i="46"/>
  <c r="R24" i="46"/>
  <c r="P24" i="46"/>
  <c r="N24" i="46"/>
  <c r="L24" i="46"/>
  <c r="J24" i="46"/>
  <c r="AL22" i="46"/>
  <c r="AJ22" i="46"/>
  <c r="AF22" i="46"/>
  <c r="Z22" i="46"/>
  <c r="X22" i="46"/>
  <c r="V22" i="46"/>
  <c r="T22" i="46"/>
  <c r="R22" i="46"/>
  <c r="P22" i="46"/>
  <c r="N22" i="46"/>
  <c r="L22" i="46"/>
  <c r="J22" i="46"/>
  <c r="AL21" i="46"/>
  <c r="AJ21" i="46"/>
  <c r="AF21" i="46"/>
  <c r="AD21" i="46"/>
  <c r="Z21" i="46"/>
  <c r="X21" i="46"/>
  <c r="V21" i="46"/>
  <c r="T21" i="46"/>
  <c r="R21" i="46"/>
  <c r="P21" i="46"/>
  <c r="N21" i="46"/>
  <c r="L21" i="46"/>
  <c r="J21" i="46"/>
  <c r="AL20" i="46"/>
  <c r="AJ20" i="46"/>
  <c r="AF20" i="46"/>
  <c r="AD20" i="46"/>
  <c r="Z20" i="46"/>
  <c r="X20" i="46"/>
  <c r="V20" i="46"/>
  <c r="T20" i="46"/>
  <c r="R20" i="46"/>
  <c r="P20" i="46"/>
  <c r="N20" i="46"/>
  <c r="L20" i="46"/>
  <c r="J20" i="46"/>
  <c r="AL19" i="46"/>
  <c r="AJ19" i="46"/>
  <c r="AF19" i="46"/>
  <c r="Z19" i="46"/>
  <c r="V19" i="46"/>
  <c r="T19" i="46"/>
  <c r="R19" i="46"/>
  <c r="P19" i="46"/>
  <c r="N19" i="46"/>
  <c r="L19" i="46"/>
  <c r="J19" i="46"/>
  <c r="AL18" i="46"/>
  <c r="AJ18" i="46"/>
  <c r="AF18" i="46"/>
  <c r="AD18" i="46"/>
  <c r="Z18" i="46"/>
  <c r="X18" i="46"/>
  <c r="V18" i="46"/>
  <c r="T18" i="46"/>
  <c r="R18" i="46"/>
  <c r="P18" i="46"/>
  <c r="N18" i="46"/>
  <c r="L18" i="46"/>
  <c r="J18" i="46"/>
  <c r="AL16" i="46"/>
  <c r="AJ16" i="46"/>
  <c r="AF16" i="46"/>
  <c r="AD16" i="46"/>
  <c r="Z16" i="46"/>
  <c r="X16" i="46"/>
  <c r="V16" i="46"/>
  <c r="T16" i="46"/>
  <c r="R16" i="46"/>
  <c r="P16" i="46"/>
  <c r="N16" i="46"/>
  <c r="L16" i="46"/>
  <c r="J16" i="46"/>
  <c r="AL15" i="46"/>
  <c r="AJ15" i="46"/>
  <c r="AF15" i="46"/>
  <c r="Z15" i="46"/>
  <c r="X15" i="46"/>
  <c r="V15" i="46"/>
  <c r="T15" i="46"/>
  <c r="R15" i="46"/>
  <c r="P15" i="46"/>
  <c r="N15" i="46"/>
  <c r="L15" i="46"/>
  <c r="J15" i="46"/>
  <c r="G3" i="54"/>
  <c r="G3" i="55"/>
  <c r="C4" i="7"/>
  <c r="H4" i="7"/>
  <c r="H5" i="7"/>
  <c r="H7" i="7"/>
  <c r="H7" i="45"/>
  <c r="H5" i="45"/>
  <c r="H4" i="45"/>
  <c r="H7" i="44"/>
  <c r="H5" i="44"/>
  <c r="H4" i="44"/>
  <c r="H7" i="43"/>
  <c r="H5" i="43"/>
  <c r="H4" i="43"/>
  <c r="H7" i="42"/>
  <c r="H5" i="42"/>
  <c r="H4" i="42"/>
  <c r="H5" i="47"/>
  <c r="H4" i="47"/>
  <c r="G7" i="26"/>
  <c r="G5" i="26"/>
  <c r="G4" i="26"/>
  <c r="H7" i="56"/>
  <c r="H5" i="56"/>
  <c r="H4" i="56"/>
  <c r="H7" i="48"/>
  <c r="H5" i="48"/>
  <c r="H4" i="48"/>
  <c r="H7" i="24"/>
  <c r="H5" i="24"/>
  <c r="H4" i="24"/>
  <c r="G7" i="20"/>
  <c r="G5" i="20"/>
  <c r="G4" i="20"/>
  <c r="G5" i="31"/>
  <c r="G4" i="31"/>
  <c r="G3" i="31"/>
  <c r="G5" i="55"/>
  <c r="G4" i="55"/>
  <c r="G5" i="54"/>
  <c r="G4" i="54"/>
  <c r="G7" i="46"/>
  <c r="G5" i="46"/>
  <c r="G4" i="46"/>
  <c r="R138" i="45"/>
  <c r="L138" i="45"/>
  <c r="P114" i="45"/>
  <c r="N114" i="45"/>
  <c r="P113" i="45"/>
  <c r="N113" i="45"/>
  <c r="L113" i="45" s="1"/>
  <c r="P112" i="45"/>
  <c r="N112" i="45"/>
  <c r="N111" i="45"/>
  <c r="L111" i="45" s="1"/>
  <c r="N110" i="45"/>
  <c r="L110" i="45" s="1"/>
  <c r="N109" i="45"/>
  <c r="L109" i="45" s="1"/>
  <c r="L72" i="45"/>
  <c r="R72" i="45" s="1"/>
  <c r="L49" i="45"/>
  <c r="L48" i="45"/>
  <c r="H35" i="45"/>
  <c r="L15" i="45"/>
  <c r="C4" i="45"/>
  <c r="R177" i="44"/>
  <c r="L177" i="44"/>
  <c r="N177" i="44" s="1"/>
  <c r="P153" i="44"/>
  <c r="N153" i="44"/>
  <c r="P152" i="44"/>
  <c r="N152" i="44"/>
  <c r="P151" i="44"/>
  <c r="N151" i="44"/>
  <c r="N150" i="44"/>
  <c r="L150" i="44" s="1"/>
  <c r="N149" i="44"/>
  <c r="L149" i="44" s="1"/>
  <c r="N148" i="44"/>
  <c r="L148" i="44" s="1"/>
  <c r="R92" i="44"/>
  <c r="L92" i="44"/>
  <c r="N92" i="44" s="1"/>
  <c r="C4" i="44"/>
  <c r="P214" i="43"/>
  <c r="J214" i="43"/>
  <c r="L214" i="43" s="1"/>
  <c r="P213" i="43"/>
  <c r="J213" i="43"/>
  <c r="L213" i="43" s="1"/>
  <c r="H161" i="43"/>
  <c r="J161" i="43" s="1"/>
  <c r="P112" i="43"/>
  <c r="J112" i="43"/>
  <c r="L112" i="43" s="1"/>
  <c r="P111" i="43"/>
  <c r="J111" i="43"/>
  <c r="L111" i="43" s="1"/>
  <c r="H81" i="43"/>
  <c r="C4" i="43"/>
  <c r="P102" i="42"/>
  <c r="N102" i="42"/>
  <c r="N101" i="42"/>
  <c r="L101" i="42" s="1"/>
  <c r="H79" i="42"/>
  <c r="H43" i="42"/>
  <c r="C4" i="42"/>
  <c r="N116" i="39"/>
  <c r="L116" i="39"/>
  <c r="H48" i="39"/>
  <c r="C4" i="39"/>
  <c r="L114" i="45" l="1"/>
  <c r="L152" i="44"/>
  <c r="L153" i="44"/>
  <c r="L151" i="44"/>
  <c r="L102" i="42"/>
  <c r="N138" i="45"/>
  <c r="N72" i="45"/>
  <c r="L112" i="45"/>
  <c r="J207" i="47"/>
  <c r="P207" i="47" s="1"/>
  <c r="N181" i="47"/>
  <c r="L181" i="47" s="1"/>
  <c r="H173" i="47"/>
  <c r="J107" i="47"/>
  <c r="H73" i="47"/>
  <c r="C4" i="47"/>
  <c r="O71" i="26"/>
  <c r="M71" i="26"/>
  <c r="M70" i="26"/>
  <c r="K70" i="26" s="1"/>
  <c r="M69" i="26"/>
  <c r="K69" i="26" s="1"/>
  <c r="M68" i="26"/>
  <c r="K68" i="26" s="1"/>
  <c r="G62" i="26"/>
  <c r="G61" i="26"/>
  <c r="G27" i="26"/>
  <c r="G26" i="26"/>
  <c r="C4" i="26"/>
  <c r="L188" i="56"/>
  <c r="N188" i="56" s="1"/>
  <c r="L187" i="56"/>
  <c r="N187" i="56" s="1"/>
  <c r="J182" i="56"/>
  <c r="L182" i="56" s="1"/>
  <c r="P181" i="56"/>
  <c r="J181" i="56"/>
  <c r="L181" i="56" s="1"/>
  <c r="P180" i="56"/>
  <c r="J180" i="56"/>
  <c r="L180" i="56" s="1"/>
  <c r="P179" i="56"/>
  <c r="J179" i="56"/>
  <c r="L179" i="56" s="1"/>
  <c r="J178" i="56"/>
  <c r="L178" i="56" s="1"/>
  <c r="P177" i="56"/>
  <c r="J177" i="56"/>
  <c r="N168" i="56"/>
  <c r="N167" i="56"/>
  <c r="P140" i="56"/>
  <c r="N140" i="56"/>
  <c r="P139" i="56"/>
  <c r="L139" i="56" s="1"/>
  <c r="N139" i="56"/>
  <c r="P138" i="56"/>
  <c r="N138" i="56"/>
  <c r="P137" i="56"/>
  <c r="N137" i="56"/>
  <c r="N136" i="56"/>
  <c r="P136" i="56" s="1"/>
  <c r="L136" i="56"/>
  <c r="N135" i="56"/>
  <c r="L135" i="56" s="1"/>
  <c r="N134" i="56"/>
  <c r="L134" i="56" s="1"/>
  <c r="N133" i="56"/>
  <c r="L133" i="56" s="1"/>
  <c r="N132" i="56"/>
  <c r="L132" i="56" s="1"/>
  <c r="L98" i="56"/>
  <c r="N98" i="56" s="1"/>
  <c r="L97" i="56"/>
  <c r="N97" i="56" s="1"/>
  <c r="P92" i="56"/>
  <c r="J92" i="56"/>
  <c r="P91" i="56"/>
  <c r="J91" i="56"/>
  <c r="L91" i="56" s="1"/>
  <c r="J90" i="56"/>
  <c r="L90" i="56" s="1"/>
  <c r="J89" i="56"/>
  <c r="L89" i="56" s="1"/>
  <c r="P88" i="56"/>
  <c r="J88" i="56"/>
  <c r="L88" i="56" s="1"/>
  <c r="P87" i="56"/>
  <c r="J87" i="56"/>
  <c r="P93" i="56" s="1"/>
  <c r="N76" i="56"/>
  <c r="N75" i="56"/>
  <c r="L48" i="56"/>
  <c r="L47" i="56"/>
  <c r="L46" i="56"/>
  <c r="L45" i="56"/>
  <c r="L44" i="56"/>
  <c r="C4" i="56"/>
  <c r="P159" i="48"/>
  <c r="N159" i="48"/>
  <c r="P158" i="48"/>
  <c r="N158" i="48"/>
  <c r="P157" i="48"/>
  <c r="N157" i="48"/>
  <c r="N156" i="48"/>
  <c r="P156" i="48" s="1"/>
  <c r="L156" i="48"/>
  <c r="N155" i="48"/>
  <c r="P155" i="48" s="1"/>
  <c r="L155" i="48"/>
  <c r="N154" i="48"/>
  <c r="P154" i="48" s="1"/>
  <c r="L154" i="48"/>
  <c r="N153" i="48"/>
  <c r="L153" i="48"/>
  <c r="N152" i="48"/>
  <c r="L152" i="48" s="1"/>
  <c r="N151" i="48"/>
  <c r="L151" i="48" s="1"/>
  <c r="L68" i="48"/>
  <c r="L67" i="48"/>
  <c r="C4" i="48"/>
  <c r="H30" i="24"/>
  <c r="J30" i="24" s="1"/>
  <c r="C4" i="24"/>
  <c r="C4" i="20"/>
  <c r="H52" i="54"/>
  <c r="H46" i="54"/>
  <c r="H40" i="54"/>
  <c r="L158" i="48" l="1"/>
  <c r="K71" i="26"/>
  <c r="L157" i="48"/>
  <c r="L138" i="56"/>
  <c r="L92" i="56"/>
  <c r="L159" i="48"/>
  <c r="L137" i="56"/>
  <c r="L140" i="56"/>
  <c r="P107" i="47"/>
  <c r="L107" i="47" s="1"/>
  <c r="L177" i="56"/>
  <c r="L207" i="47"/>
  <c r="L87" i="56"/>
  <c r="P94" i="56"/>
  <c r="G81" i="46"/>
  <c r="F81" i="46" s="1"/>
  <c r="G80" i="46"/>
  <c r="G79" i="46"/>
  <c r="F79" i="46" s="1"/>
  <c r="G78" i="46"/>
  <c r="G77" i="46"/>
  <c r="F77" i="46" s="1"/>
  <c r="G76" i="46"/>
  <c r="G75" i="46"/>
  <c r="F75" i="46" s="1"/>
  <c r="G74" i="46"/>
  <c r="G73" i="46"/>
  <c r="F73" i="46" s="1"/>
  <c r="G71" i="46"/>
  <c r="G70" i="46"/>
  <c r="F70" i="46" s="1"/>
  <c r="G69" i="46"/>
  <c r="G68" i="46"/>
  <c r="F68" i="46" s="1"/>
  <c r="G67" i="46"/>
  <c r="G65" i="46"/>
  <c r="F65" i="46" s="1"/>
  <c r="G64" i="46"/>
  <c r="G63" i="46"/>
  <c r="F63" i="46" s="1"/>
  <c r="G62" i="46"/>
  <c r="F62" i="46" s="1"/>
  <c r="G61" i="46"/>
  <c r="F61" i="46" s="1"/>
  <c r="G59" i="46"/>
  <c r="F59" i="46" s="1"/>
  <c r="G58" i="46"/>
  <c r="F58" i="46" s="1"/>
  <c r="G38" i="46"/>
  <c r="I38" i="46" s="1"/>
  <c r="G37" i="46"/>
  <c r="G36" i="46"/>
  <c r="G35" i="46"/>
  <c r="I35" i="46" s="1"/>
  <c r="H35" i="46" s="1"/>
  <c r="G34" i="46"/>
  <c r="I34" i="46" s="1"/>
  <c r="G33" i="46"/>
  <c r="G32" i="46"/>
  <c r="G31" i="46"/>
  <c r="I31" i="46" s="1"/>
  <c r="H31" i="46" s="1"/>
  <c r="G30" i="46"/>
  <c r="I30" i="46" s="1"/>
  <c r="G28" i="46"/>
  <c r="G27" i="46"/>
  <c r="G26" i="46"/>
  <c r="I26" i="46" s="1"/>
  <c r="H26" i="46" s="1"/>
  <c r="G25" i="46"/>
  <c r="I25" i="46" s="1"/>
  <c r="G24" i="46"/>
  <c r="G22" i="46"/>
  <c r="G21" i="46"/>
  <c r="I21" i="46" s="1"/>
  <c r="H21" i="46" s="1"/>
  <c r="G20" i="46"/>
  <c r="I20" i="46" s="1"/>
  <c r="G19" i="46"/>
  <c r="G18" i="46"/>
  <c r="G16" i="46"/>
  <c r="I16" i="46" s="1"/>
  <c r="H16" i="46" s="1"/>
  <c r="G15" i="46"/>
  <c r="I15" i="46" s="1"/>
  <c r="C4" i="46"/>
  <c r="L459" i="7"/>
  <c r="N459" i="7" s="1"/>
  <c r="P454" i="7"/>
  <c r="J454" i="7"/>
  <c r="L454" i="7" s="1"/>
  <c r="P453" i="7"/>
  <c r="J453" i="7"/>
  <c r="J452" i="7"/>
  <c r="L452" i="7" s="1"/>
  <c r="P451" i="7"/>
  <c r="J451" i="7"/>
  <c r="L451" i="7" s="1"/>
  <c r="N441" i="7"/>
  <c r="Z430" i="7"/>
  <c r="AD430" i="7" s="1"/>
  <c r="V430" i="7"/>
  <c r="Z429" i="7"/>
  <c r="AD429" i="7" s="1"/>
  <c r="V429" i="7"/>
  <c r="Z428" i="7"/>
  <c r="AD428" i="7" s="1"/>
  <c r="V428" i="7"/>
  <c r="Z427" i="7"/>
  <c r="AD427" i="7" s="1"/>
  <c r="V427" i="7"/>
  <c r="Z426" i="7"/>
  <c r="AD426" i="7" s="1"/>
  <c r="V426" i="7"/>
  <c r="Z425" i="7"/>
  <c r="AD425" i="7" s="1"/>
  <c r="V425" i="7"/>
  <c r="Z424" i="7"/>
  <c r="AD424" i="7" s="1"/>
  <c r="V424" i="7"/>
  <c r="Z423" i="7"/>
  <c r="AD423" i="7" s="1"/>
  <c r="V423" i="7"/>
  <c r="Z422" i="7"/>
  <c r="AD422" i="7" s="1"/>
  <c r="V422" i="7"/>
  <c r="Z421" i="7"/>
  <c r="AD421" i="7" s="1"/>
  <c r="V421" i="7"/>
  <c r="Z420" i="7"/>
  <c r="V420" i="7"/>
  <c r="Z419" i="7"/>
  <c r="V419" i="7"/>
  <c r="Z418" i="7"/>
  <c r="V418" i="7"/>
  <c r="Z417" i="7"/>
  <c r="V417" i="7"/>
  <c r="Z416" i="7"/>
  <c r="V416" i="7"/>
  <c r="Z415" i="7"/>
  <c r="V415" i="7"/>
  <c r="Z414" i="7"/>
  <c r="V414" i="7"/>
  <c r="Z413" i="7"/>
  <c r="V413" i="7"/>
  <c r="Z412" i="7"/>
  <c r="V412" i="7"/>
  <c r="Z411" i="7"/>
  <c r="V411" i="7"/>
  <c r="Z410" i="7"/>
  <c r="AD410" i="7" s="1"/>
  <c r="V410" i="7"/>
  <c r="Z409" i="7"/>
  <c r="AD409" i="7" s="1"/>
  <c r="V409" i="7"/>
  <c r="Z408" i="7"/>
  <c r="AD408" i="7" s="1"/>
  <c r="V408" i="7"/>
  <c r="Z407" i="7"/>
  <c r="AD407" i="7" s="1"/>
  <c r="V407" i="7"/>
  <c r="Z406" i="7"/>
  <c r="AD406" i="7" s="1"/>
  <c r="V406" i="7"/>
  <c r="Z405" i="7"/>
  <c r="AD405" i="7" s="1"/>
  <c r="V405" i="7"/>
  <c r="Z404" i="7"/>
  <c r="AD404" i="7" s="1"/>
  <c r="V404" i="7"/>
  <c r="AD403" i="7"/>
  <c r="Z403" i="7"/>
  <c r="V403" i="7"/>
  <c r="Z402" i="7"/>
  <c r="AD402" i="7" s="1"/>
  <c r="V402" i="7"/>
  <c r="Z401" i="7"/>
  <c r="AD401" i="7" s="1"/>
  <c r="V401" i="7"/>
  <c r="Z400" i="7"/>
  <c r="AD400" i="7" s="1"/>
  <c r="V400" i="7"/>
  <c r="Z399" i="7"/>
  <c r="AD399" i="7" s="1"/>
  <c r="V399" i="7"/>
  <c r="Z398" i="7"/>
  <c r="AD398" i="7" s="1"/>
  <c r="V398" i="7"/>
  <c r="Z397" i="7"/>
  <c r="AD397" i="7" s="1"/>
  <c r="V397" i="7"/>
  <c r="Z396" i="7"/>
  <c r="AD396" i="7" s="1"/>
  <c r="V396" i="7"/>
  <c r="P391" i="7"/>
  <c r="V391" i="7" s="1"/>
  <c r="P390" i="7"/>
  <c r="V390" i="7" s="1"/>
  <c r="P389" i="7"/>
  <c r="V389" i="7" s="1"/>
  <c r="P388" i="7"/>
  <c r="V388" i="7" s="1"/>
  <c r="P387" i="7"/>
  <c r="V387" i="7" s="1"/>
  <c r="P386" i="7"/>
  <c r="V386" i="7" s="1"/>
  <c r="P385" i="7"/>
  <c r="V385" i="7" s="1"/>
  <c r="P384" i="7"/>
  <c r="V384" i="7" s="1"/>
  <c r="P383" i="7"/>
  <c r="V383" i="7" s="1"/>
  <c r="P382" i="7"/>
  <c r="V382" i="7" s="1"/>
  <c r="P381" i="7"/>
  <c r="V381" i="7" s="1"/>
  <c r="P380" i="7"/>
  <c r="V380" i="7" s="1"/>
  <c r="P379" i="7"/>
  <c r="V379" i="7" s="1"/>
  <c r="P378" i="7"/>
  <c r="V378" i="7" s="1"/>
  <c r="P377" i="7"/>
  <c r="V377" i="7" s="1"/>
  <c r="P376" i="7"/>
  <c r="V376" i="7" s="1"/>
  <c r="P375" i="7"/>
  <c r="V375" i="7" s="1"/>
  <c r="P374" i="7"/>
  <c r="V374" i="7" s="1"/>
  <c r="P373" i="7"/>
  <c r="V373" i="7" s="1"/>
  <c r="P372" i="7"/>
  <c r="V372" i="7" s="1"/>
  <c r="P371" i="7"/>
  <c r="V371" i="7" s="1"/>
  <c r="P370" i="7"/>
  <c r="V370" i="7" s="1"/>
  <c r="P369" i="7"/>
  <c r="V369" i="7" s="1"/>
  <c r="P368" i="7"/>
  <c r="V368" i="7" s="1"/>
  <c r="P367" i="7"/>
  <c r="V367" i="7" s="1"/>
  <c r="P366" i="7"/>
  <c r="V366" i="7" s="1"/>
  <c r="P365" i="7"/>
  <c r="V365" i="7" s="1"/>
  <c r="P364" i="7"/>
  <c r="V364" i="7" s="1"/>
  <c r="P349" i="7"/>
  <c r="N349" i="7"/>
  <c r="P348" i="7"/>
  <c r="N348" i="7"/>
  <c r="P347" i="7"/>
  <c r="L347" i="7" s="1"/>
  <c r="N347" i="7"/>
  <c r="P346" i="7"/>
  <c r="N346" i="7"/>
  <c r="V345" i="7"/>
  <c r="V344" i="7"/>
  <c r="V343" i="7"/>
  <c r="V342" i="7"/>
  <c r="V341" i="7"/>
  <c r="V340" i="7"/>
  <c r="V339" i="7"/>
  <c r="V338" i="7"/>
  <c r="V337" i="7"/>
  <c r="V336" i="7"/>
  <c r="V335" i="7"/>
  <c r="V334" i="7"/>
  <c r="V333" i="7"/>
  <c r="V332" i="7"/>
  <c r="V331" i="7"/>
  <c r="V330" i="7"/>
  <c r="V329" i="7"/>
  <c r="V328" i="7"/>
  <c r="V327" i="7"/>
  <c r="V326" i="7"/>
  <c r="V325" i="7"/>
  <c r="V324" i="7"/>
  <c r="V323" i="7"/>
  <c r="V322" i="7"/>
  <c r="V321" i="7"/>
  <c r="V320" i="7"/>
  <c r="V319" i="7"/>
  <c r="V318" i="7"/>
  <c r="V317" i="7"/>
  <c r="V316" i="7"/>
  <c r="V315" i="7"/>
  <c r="V314" i="7"/>
  <c r="V313" i="7"/>
  <c r="V312" i="7"/>
  <c r="V311" i="7"/>
  <c r="N310" i="7"/>
  <c r="L310" i="7" s="1"/>
  <c r="N309" i="7"/>
  <c r="L309" i="7" s="1"/>
  <c r="N308" i="7"/>
  <c r="L308" i="7"/>
  <c r="N307" i="7"/>
  <c r="L307" i="7" s="1"/>
  <c r="L237" i="7"/>
  <c r="N237" i="7" s="1"/>
  <c r="P232" i="7"/>
  <c r="J232" i="7"/>
  <c r="J231" i="7"/>
  <c r="L231" i="7" s="1"/>
  <c r="P230" i="7"/>
  <c r="J230" i="7"/>
  <c r="L230" i="7" s="1"/>
  <c r="P229" i="7"/>
  <c r="J229" i="7"/>
  <c r="L229" i="7" s="1"/>
  <c r="N219" i="7"/>
  <c r="AD207" i="7"/>
  <c r="V207" i="7"/>
  <c r="AD206" i="7"/>
  <c r="V206" i="7"/>
  <c r="AD205" i="7"/>
  <c r="V205" i="7"/>
  <c r="AD204" i="7"/>
  <c r="V204" i="7"/>
  <c r="AD203" i="7"/>
  <c r="V203" i="7"/>
  <c r="AD202" i="7"/>
  <c r="V202" i="7"/>
  <c r="AD201" i="7"/>
  <c r="V201" i="7"/>
  <c r="AD200" i="7"/>
  <c r="V200" i="7"/>
  <c r="AD199" i="7"/>
  <c r="V199" i="7"/>
  <c r="V198" i="7"/>
  <c r="AD197" i="7"/>
  <c r="V197" i="7"/>
  <c r="AD196" i="7"/>
  <c r="V196" i="7"/>
  <c r="AD195" i="7"/>
  <c r="V195" i="7"/>
  <c r="AD194" i="7"/>
  <c r="V194" i="7"/>
  <c r="AD193" i="7"/>
  <c r="V193" i="7"/>
  <c r="AD192" i="7"/>
  <c r="V192" i="7"/>
  <c r="AD191" i="7"/>
  <c r="V191" i="7"/>
  <c r="AD190" i="7"/>
  <c r="V190" i="7"/>
  <c r="AD189" i="7"/>
  <c r="V189" i="7"/>
  <c r="AD188" i="7"/>
  <c r="V188" i="7"/>
  <c r="X187" i="7"/>
  <c r="Z187" i="7" s="1"/>
  <c r="V187" i="7"/>
  <c r="X186" i="7"/>
  <c r="Z186" i="7" s="1"/>
  <c r="V186" i="7"/>
  <c r="X185" i="7"/>
  <c r="Z185" i="7" s="1"/>
  <c r="V185" i="7"/>
  <c r="X184" i="7"/>
  <c r="Z184" i="7" s="1"/>
  <c r="V184" i="7"/>
  <c r="X183" i="7"/>
  <c r="Z183" i="7" s="1"/>
  <c r="V183" i="7"/>
  <c r="X182" i="7"/>
  <c r="Z182" i="7" s="1"/>
  <c r="V182" i="7"/>
  <c r="X181" i="7"/>
  <c r="Z181" i="7" s="1"/>
  <c r="V181" i="7"/>
  <c r="X180" i="7"/>
  <c r="Z180" i="7" s="1"/>
  <c r="V180" i="7"/>
  <c r="X179" i="7"/>
  <c r="Z179" i="7" s="1"/>
  <c r="V179" i="7"/>
  <c r="X178" i="7"/>
  <c r="Z178" i="7" s="1"/>
  <c r="V178" i="7"/>
  <c r="X177" i="7"/>
  <c r="Z177" i="7" s="1"/>
  <c r="V177" i="7"/>
  <c r="X176" i="7"/>
  <c r="Z176" i="7" s="1"/>
  <c r="V176" i="7"/>
  <c r="X175" i="7"/>
  <c r="Z175" i="7" s="1"/>
  <c r="V175" i="7"/>
  <c r="X174" i="7"/>
  <c r="Z174" i="7" s="1"/>
  <c r="V174" i="7"/>
  <c r="X173" i="7"/>
  <c r="Z173" i="7" s="1"/>
  <c r="V173" i="7"/>
  <c r="P168" i="7"/>
  <c r="V168" i="7" s="1"/>
  <c r="P167" i="7"/>
  <c r="V167" i="7" s="1"/>
  <c r="P166" i="7"/>
  <c r="V166" i="7" s="1"/>
  <c r="P165" i="7"/>
  <c r="V165" i="7" s="1"/>
  <c r="P164" i="7"/>
  <c r="V164" i="7" s="1"/>
  <c r="P163" i="7"/>
  <c r="V163" i="7" s="1"/>
  <c r="P162" i="7"/>
  <c r="V162" i="7" s="1"/>
  <c r="P161" i="7"/>
  <c r="V161" i="7" s="1"/>
  <c r="P160" i="7"/>
  <c r="V160" i="7" s="1"/>
  <c r="P159" i="7"/>
  <c r="V159" i="7" s="1"/>
  <c r="P158" i="7"/>
  <c r="V158" i="7" s="1"/>
  <c r="P157" i="7"/>
  <c r="V157" i="7" s="1"/>
  <c r="P156" i="7"/>
  <c r="V156" i="7" s="1"/>
  <c r="P155" i="7"/>
  <c r="V155" i="7" s="1"/>
  <c r="P154" i="7"/>
  <c r="V154" i="7" s="1"/>
  <c r="P153" i="7"/>
  <c r="V153" i="7" s="1"/>
  <c r="P152" i="7"/>
  <c r="V152" i="7" s="1"/>
  <c r="P151" i="7"/>
  <c r="V151" i="7" s="1"/>
  <c r="P150" i="7"/>
  <c r="V150" i="7" s="1"/>
  <c r="P149" i="7"/>
  <c r="V149" i="7" s="1"/>
  <c r="P148" i="7"/>
  <c r="V148" i="7" s="1"/>
  <c r="P147" i="7"/>
  <c r="V147" i="7" s="1"/>
  <c r="P146" i="7"/>
  <c r="V146" i="7" s="1"/>
  <c r="P145" i="7"/>
  <c r="V145" i="7" s="1"/>
  <c r="P144" i="7"/>
  <c r="V144" i="7" s="1"/>
  <c r="P143" i="7"/>
  <c r="V143" i="7" s="1"/>
  <c r="P142" i="7"/>
  <c r="V142" i="7" s="1"/>
  <c r="P141" i="7"/>
  <c r="V141" i="7" s="1"/>
  <c r="P126" i="7"/>
  <c r="P125" i="7"/>
  <c r="P124" i="7"/>
  <c r="P123" i="7"/>
  <c r="P122" i="7"/>
  <c r="P121" i="7"/>
  <c r="P120" i="7"/>
  <c r="P119" i="7"/>
  <c r="P118" i="7"/>
  <c r="P117" i="7"/>
  <c r="P116" i="7"/>
  <c r="P115" i="7"/>
  <c r="P114" i="7"/>
  <c r="P113" i="7"/>
  <c r="P112" i="7"/>
  <c r="P111" i="7"/>
  <c r="P110" i="7"/>
  <c r="P109" i="7"/>
  <c r="P108" i="7"/>
  <c r="P107" i="7"/>
  <c r="P106" i="7"/>
  <c r="P105" i="7"/>
  <c r="P104" i="7"/>
  <c r="P103" i="7"/>
  <c r="P102" i="7"/>
  <c r="P101" i="7"/>
  <c r="P100" i="7"/>
  <c r="P99" i="7"/>
  <c r="P98" i="7"/>
  <c r="P97" i="7"/>
  <c r="P96" i="7"/>
  <c r="P95" i="7"/>
  <c r="P94" i="7"/>
  <c r="P93" i="7"/>
  <c r="P92" i="7"/>
  <c r="P91" i="7"/>
  <c r="P90" i="7"/>
  <c r="P89" i="7"/>
  <c r="P88" i="7"/>
  <c r="P87" i="7"/>
  <c r="P86" i="7"/>
  <c r="P85" i="7"/>
  <c r="P84" i="7"/>
  <c r="P83" i="7"/>
  <c r="P82" i="7"/>
  <c r="P81" i="7"/>
  <c r="L80" i="7"/>
  <c r="L79" i="7"/>
  <c r="L78" i="7"/>
  <c r="L77" i="7"/>
  <c r="H72" i="7"/>
  <c r="L346" i="7" l="1"/>
  <c r="L348" i="7"/>
  <c r="L453" i="7"/>
  <c r="I59" i="46"/>
  <c r="D59" i="46" s="1"/>
  <c r="D18" i="46"/>
  <c r="F18" i="46"/>
  <c r="D22" i="46"/>
  <c r="F22" i="46"/>
  <c r="F27" i="46"/>
  <c r="D27" i="46"/>
  <c r="D32" i="46"/>
  <c r="F32" i="46"/>
  <c r="F36" i="46"/>
  <c r="D36" i="46"/>
  <c r="AI59" i="46"/>
  <c r="AH59" i="46" s="1"/>
  <c r="H59" i="46"/>
  <c r="I18" i="46"/>
  <c r="I22" i="46"/>
  <c r="I27" i="46"/>
  <c r="I32" i="46"/>
  <c r="I36" i="46"/>
  <c r="I69" i="46"/>
  <c r="AI69" i="46" s="1"/>
  <c r="AH69" i="46" s="1"/>
  <c r="F69" i="46"/>
  <c r="I78" i="46"/>
  <c r="F78" i="46"/>
  <c r="D19" i="46"/>
  <c r="F19" i="46"/>
  <c r="D24" i="46"/>
  <c r="F24" i="46"/>
  <c r="F28" i="46"/>
  <c r="D28" i="46"/>
  <c r="D33" i="46"/>
  <c r="F33" i="46"/>
  <c r="F37" i="46"/>
  <c r="D37" i="46"/>
  <c r="L349" i="7"/>
  <c r="I19" i="46"/>
  <c r="H19" i="46" s="1"/>
  <c r="I24" i="46"/>
  <c r="H24" i="46" s="1"/>
  <c r="I28" i="46"/>
  <c r="H28" i="46" s="1"/>
  <c r="I33" i="46"/>
  <c r="H33" i="46" s="1"/>
  <c r="I37" i="46"/>
  <c r="H37" i="46" s="1"/>
  <c r="I62" i="46"/>
  <c r="I71" i="46"/>
  <c r="F71" i="46"/>
  <c r="I80" i="46"/>
  <c r="AI80" i="46" s="1"/>
  <c r="AH80" i="46" s="1"/>
  <c r="F80" i="46"/>
  <c r="L232" i="7"/>
  <c r="F15" i="46"/>
  <c r="D15" i="46"/>
  <c r="F20" i="46"/>
  <c r="D20" i="46"/>
  <c r="D25" i="46"/>
  <c r="F25" i="46"/>
  <c r="F30" i="46"/>
  <c r="D30" i="46"/>
  <c r="F34" i="46"/>
  <c r="D34" i="46"/>
  <c r="F38" i="46"/>
  <c r="D38" i="46"/>
  <c r="AI25" i="46"/>
  <c r="AH25" i="46" s="1"/>
  <c r="H25" i="46"/>
  <c r="AI34" i="46"/>
  <c r="AH34" i="46" s="1"/>
  <c r="H34" i="46"/>
  <c r="I64" i="46"/>
  <c r="AI64" i="46" s="1"/>
  <c r="AH64" i="46" s="1"/>
  <c r="F64" i="46"/>
  <c r="I74" i="46"/>
  <c r="F74" i="46"/>
  <c r="F16" i="46"/>
  <c r="D16" i="46"/>
  <c r="F21" i="46"/>
  <c r="D21" i="46"/>
  <c r="F26" i="46"/>
  <c r="D26" i="46"/>
  <c r="F31" i="46"/>
  <c r="D31" i="46"/>
  <c r="D35" i="46"/>
  <c r="F35" i="46"/>
  <c r="AI15" i="46"/>
  <c r="AH15" i="46" s="1"/>
  <c r="H15" i="46"/>
  <c r="AI20" i="46"/>
  <c r="AH20" i="46" s="1"/>
  <c r="H20" i="46"/>
  <c r="AI30" i="46"/>
  <c r="AH30" i="46" s="1"/>
  <c r="H30" i="46"/>
  <c r="AI38" i="46"/>
  <c r="AH38" i="46" s="1"/>
  <c r="H38" i="46"/>
  <c r="I67" i="46"/>
  <c r="F67" i="46"/>
  <c r="I76" i="46"/>
  <c r="F76" i="46"/>
  <c r="G41" i="46"/>
  <c r="K53" i="46"/>
  <c r="AA53" i="46"/>
  <c r="S53" i="46"/>
  <c r="AE53" i="46"/>
  <c r="AC53" i="46"/>
  <c r="AI53" i="46"/>
  <c r="AK53" i="46"/>
  <c r="W53" i="46"/>
  <c r="G84" i="46"/>
  <c r="Y53" i="46"/>
  <c r="O53" i="46"/>
  <c r="M53" i="46"/>
  <c r="Q53" i="46"/>
  <c r="U53" i="46"/>
  <c r="AI74" i="46"/>
  <c r="AH74" i="46" s="1"/>
  <c r="AI71" i="46"/>
  <c r="AH71" i="46" s="1"/>
  <c r="AI16" i="46"/>
  <c r="AH16" i="46" s="1"/>
  <c r="AI19" i="46"/>
  <c r="AH19" i="46" s="1"/>
  <c r="AI21" i="46"/>
  <c r="AH21" i="46" s="1"/>
  <c r="I65" i="46"/>
  <c r="I68" i="46"/>
  <c r="I70" i="46"/>
  <c r="AI26" i="46"/>
  <c r="AH26" i="46" s="1"/>
  <c r="AI31" i="46"/>
  <c r="AI35" i="46"/>
  <c r="AH35" i="46" s="1"/>
  <c r="I58" i="46"/>
  <c r="I61" i="46"/>
  <c r="I63" i="46"/>
  <c r="I73" i="46"/>
  <c r="I75" i="46"/>
  <c r="I77" i="46"/>
  <c r="I79" i="46"/>
  <c r="I81" i="46"/>
  <c r="AI28" i="46" l="1"/>
  <c r="AH28" i="46" s="1"/>
  <c r="AI24" i="46"/>
  <c r="AH24" i="46" s="1"/>
  <c r="H71" i="46"/>
  <c r="D71" i="46"/>
  <c r="AI27" i="46"/>
  <c r="AH27" i="46" s="1"/>
  <c r="H27" i="46"/>
  <c r="H75" i="46"/>
  <c r="D75" i="46"/>
  <c r="H74" i="46"/>
  <c r="D74" i="46"/>
  <c r="AI62" i="46"/>
  <c r="AH62" i="46" s="1"/>
  <c r="H62" i="46"/>
  <c r="D62" i="46"/>
  <c r="AI22" i="46"/>
  <c r="AH22" i="46" s="1"/>
  <c r="H22" i="46"/>
  <c r="D63" i="46"/>
  <c r="H63" i="46"/>
  <c r="H76" i="46"/>
  <c r="D76" i="46"/>
  <c r="H64" i="46"/>
  <c r="D64" i="46"/>
  <c r="D78" i="46"/>
  <c r="H78" i="46"/>
  <c r="H61" i="46"/>
  <c r="D61" i="46"/>
  <c r="H70" i="46"/>
  <c r="D70" i="46"/>
  <c r="AI76" i="46"/>
  <c r="AH76" i="46" s="1"/>
  <c r="H77" i="46"/>
  <c r="D77" i="46"/>
  <c r="D73" i="46"/>
  <c r="H73" i="46"/>
  <c r="H58" i="46"/>
  <c r="D58" i="46"/>
  <c r="H68" i="46"/>
  <c r="D68" i="46"/>
  <c r="H67" i="46"/>
  <c r="D67" i="46"/>
  <c r="H69" i="46"/>
  <c r="D69" i="46"/>
  <c r="H81" i="46"/>
  <c r="D81" i="46"/>
  <c r="H65" i="46"/>
  <c r="D65" i="46"/>
  <c r="AI67" i="46"/>
  <c r="AH67" i="46" s="1"/>
  <c r="H80" i="46"/>
  <c r="D80" i="46"/>
  <c r="AI36" i="46"/>
  <c r="AH36" i="46" s="1"/>
  <c r="H36" i="46"/>
  <c r="AI18" i="46"/>
  <c r="AH18" i="46" s="1"/>
  <c r="H18" i="46"/>
  <c r="H79" i="46"/>
  <c r="D79" i="46"/>
  <c r="AI33" i="46"/>
  <c r="AH33" i="46" s="1"/>
  <c r="AI37" i="46"/>
  <c r="AH37" i="46" s="1"/>
  <c r="AI78" i="46"/>
  <c r="AH78" i="46" s="1"/>
  <c r="AI32" i="46"/>
  <c r="AH32" i="46" s="1"/>
  <c r="H32" i="46"/>
  <c r="G53" i="46"/>
  <c r="AI79" i="46"/>
  <c r="AH79" i="46" s="1"/>
  <c r="AI75" i="46"/>
  <c r="AH75" i="46" s="1"/>
  <c r="AI81" i="46"/>
  <c r="AH81" i="46" s="1"/>
  <c r="AI77" i="46"/>
  <c r="AH77" i="46" s="1"/>
  <c r="AI73" i="46"/>
  <c r="AH73" i="46" s="1"/>
  <c r="AI63" i="46"/>
  <c r="AH63" i="46" s="1"/>
  <c r="AI61" i="46"/>
  <c r="AH61" i="46" s="1"/>
  <c r="AI70" i="46"/>
  <c r="AH70" i="46" s="1"/>
  <c r="AI65" i="46"/>
  <c r="AH65" i="46" s="1"/>
  <c r="AI58" i="46"/>
  <c r="AH58" i="46" s="1"/>
  <c r="AI68" i="46"/>
  <c r="AH68" i="46" s="1"/>
  <c r="AG53" i="46" l="1"/>
  <c r="H5" i="41" l="1"/>
  <c r="H4" i="41"/>
  <c r="H5" i="40"/>
  <c r="H4" i="40"/>
  <c r="C4" i="41"/>
  <c r="C4" i="40"/>
  <c r="G7" i="12"/>
  <c r="G5" i="12"/>
  <c r="G4" i="12"/>
  <c r="C4" i="12"/>
  <c r="I5" i="57"/>
  <c r="I4" i="57"/>
  <c r="I3" i="57"/>
  <c r="G3" i="29" l="1"/>
  <c r="G3" i="30"/>
  <c r="H5" i="11" l="1"/>
  <c r="H5" i="8"/>
  <c r="G4" i="30" l="1"/>
  <c r="G4" i="29"/>
  <c r="G5" i="30" l="1"/>
  <c r="G5" i="29"/>
  <c r="C4" i="30"/>
  <c r="C4" i="29"/>
  <c r="H4" i="8" l="1"/>
  <c r="D4" i="11" l="1"/>
  <c r="D4" i="10"/>
  <c r="D4" i="8"/>
  <c r="H7" i="11" l="1"/>
  <c r="H4" i="11"/>
  <c r="H5" i="10"/>
  <c r="H7" i="10"/>
  <c r="H4" i="10"/>
  <c r="H7" i="8"/>
</calcChain>
</file>

<file path=xl/comments1.xml><?xml version="1.0" encoding="utf-8"?>
<comments xmlns="http://schemas.openxmlformats.org/spreadsheetml/2006/main">
  <authors>
    <author>Sandeep</author>
  </authors>
  <commentList>
    <comment ref="H40" authorId="0" shapeId="0">
      <text>
        <r>
          <rPr>
            <b/>
            <sz val="9"/>
            <color indexed="81"/>
            <rFont val="Tahoma"/>
            <family val="2"/>
          </rPr>
          <t>Sandeep:</t>
        </r>
        <r>
          <rPr>
            <sz val="9"/>
            <color indexed="81"/>
            <rFont val="Tahoma"/>
            <family val="2"/>
          </rPr>
          <t xml:space="preserve">
Values currenlty not being reported at the construction</t>
        </r>
      </text>
    </comment>
  </commentList>
</comments>
</file>

<file path=xl/comments10.xml><?xml version="1.0" encoding="utf-8"?>
<comments xmlns="http://schemas.openxmlformats.org/spreadsheetml/2006/main">
  <authors>
    <author>Sandeep</author>
  </authors>
  <commentList>
    <comment ref="G54"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G66"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Q66"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S66"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M68"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O68"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M69"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O69"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M70"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O70"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List>
</comments>
</file>

<file path=xl/comments11.xml><?xml version="1.0" encoding="utf-8"?>
<comments xmlns="http://schemas.openxmlformats.org/spreadsheetml/2006/main">
  <authors>
    <author>Sandeep</author>
  </authors>
  <commentList>
    <comment ref="B23" authorId="0" shapeId="0">
      <text>
        <r>
          <rPr>
            <b/>
            <sz val="9"/>
            <color indexed="81"/>
            <rFont val="Tahoma"/>
            <family val="2"/>
          </rPr>
          <t>Sandeep:</t>
        </r>
        <r>
          <rPr>
            <sz val="9"/>
            <color indexed="81"/>
            <rFont val="Tahoma"/>
            <family val="2"/>
          </rPr>
          <t xml:space="preserve">
150630_SDS: Added in cycle v3c.</t>
        </r>
      </text>
    </comment>
    <comment ref="H23" authorId="0" shapeId="0">
      <text>
        <r>
          <rPr>
            <b/>
            <sz val="9"/>
            <color indexed="81"/>
            <rFont val="Tahoma"/>
            <family val="2"/>
          </rPr>
          <t>Sandeep:</t>
        </r>
        <r>
          <rPr>
            <sz val="9"/>
            <color indexed="81"/>
            <rFont val="Tahoma"/>
            <family val="2"/>
          </rPr>
          <t xml:space="preserve">
160707_SDS: System type switched from SZAC to PTAC to enable correct translation by OS</t>
        </r>
      </text>
    </comment>
    <comment ref="H24" authorId="0" shapeId="0">
      <text>
        <r>
          <rPr>
            <b/>
            <sz val="9"/>
            <color indexed="81"/>
            <rFont val="Tahoma"/>
            <family val="2"/>
          </rPr>
          <t>Sandeep:</t>
        </r>
        <r>
          <rPr>
            <sz val="9"/>
            <color indexed="81"/>
            <rFont val="Tahoma"/>
            <family val="2"/>
          </rPr>
          <t xml:space="preserve">
160707_SDS: System type switched from SZAC to PTAC to enable correct translation by OS</t>
        </r>
      </text>
    </comment>
    <comment ref="H25" authorId="0" shapeId="0">
      <text>
        <r>
          <rPr>
            <b/>
            <sz val="9"/>
            <color indexed="81"/>
            <rFont val="Tahoma"/>
            <family val="2"/>
          </rPr>
          <t>Sandeep:</t>
        </r>
        <r>
          <rPr>
            <sz val="9"/>
            <color indexed="81"/>
            <rFont val="Tahoma"/>
            <family val="2"/>
          </rPr>
          <t xml:space="preserve">
160707_SDS: System type switched from SZHP to PTHPto enable correct translation by OS</t>
        </r>
      </text>
    </comment>
    <comment ref="H26" authorId="0" shapeId="0">
      <text>
        <r>
          <rPr>
            <b/>
            <sz val="9"/>
            <color indexed="81"/>
            <rFont val="Tahoma"/>
            <family val="2"/>
          </rPr>
          <t>Sandeep:</t>
        </r>
        <r>
          <rPr>
            <sz val="9"/>
            <color indexed="81"/>
            <rFont val="Tahoma"/>
            <family val="2"/>
          </rPr>
          <t xml:space="preserve">
160707_SDS: System type switched from SZHP to PTHPto enable correct translation by OS</t>
        </r>
      </text>
    </comment>
    <comment ref="P118" authorId="0" shapeId="0">
      <text>
        <r>
          <rPr>
            <b/>
            <sz val="9"/>
            <color indexed="81"/>
            <rFont val="Tahoma"/>
            <family val="2"/>
          </rPr>
          <t>Sandeep:</t>
        </r>
        <r>
          <rPr>
            <sz val="9"/>
            <color indexed="81"/>
            <rFont val="Tahoma"/>
            <family val="2"/>
          </rPr>
          <t xml:space="preserve">
Multiplier of 0.5 has been added.</t>
        </r>
      </text>
    </comment>
    <comment ref="V150" authorId="0" shapeId="0">
      <text>
        <r>
          <rPr>
            <b/>
            <sz val="9"/>
            <color indexed="81"/>
            <rFont val="Tahoma"/>
            <family val="2"/>
          </rPr>
          <t>Sandeep:</t>
        </r>
        <r>
          <rPr>
            <sz val="9"/>
            <color indexed="81"/>
            <rFont val="Tahoma"/>
            <family val="2"/>
          </rPr>
          <t xml:space="preserve">
Multiplier of 0.5 has been added.</t>
        </r>
      </text>
    </comment>
    <comment ref="P195" authorId="0" shapeId="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N197" authorId="0" shapeId="0">
      <text>
        <r>
          <rPr>
            <b/>
            <sz val="9"/>
            <color indexed="81"/>
            <rFont val="Tahoma"/>
            <family val="2"/>
          </rPr>
          <t>Sandeep:</t>
        </r>
        <r>
          <rPr>
            <sz val="9"/>
            <color indexed="81"/>
            <rFont val="Tahoma"/>
            <family val="2"/>
          </rPr>
          <t xml:space="preserve">
</t>
        </r>
        <r>
          <rPr>
            <u/>
            <sz val="9"/>
            <color indexed="81"/>
            <rFont val="Tahoma"/>
            <family val="2"/>
          </rPr>
          <t>Chiller Type: Screw, Path B Efficiency</t>
        </r>
        <r>
          <rPr>
            <sz val="9"/>
            <color indexed="81"/>
            <rFont val="Tahoma"/>
            <family val="2"/>
          </rPr>
          <t xml:space="preserve">
Cap &lt;75 Tons = 0.78 kW/Ton
Cap &lt;150 Tons = 0.75 kW/Ton
Cap &lt;300 Tons = 0.68 kW/Ton
Cap &gt;=300 Tons = 0.625 kW/Ton 
</t>
        </r>
      </text>
    </comment>
    <comment ref="J200" authorId="0" shapeId="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H239"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263"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R263"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263"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P265"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266"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267"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268"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269"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N305" authorId="0" shapeId="0">
      <text>
        <r>
          <rPr>
            <b/>
            <sz val="9"/>
            <color indexed="81"/>
            <rFont val="Tahoma"/>
            <family val="2"/>
          </rPr>
          <t>Sandeep:</t>
        </r>
        <r>
          <rPr>
            <sz val="9"/>
            <color indexed="81"/>
            <rFont val="Tahoma"/>
            <family val="2"/>
          </rPr>
          <t xml:space="preserve">
The baseline Return/Relief Fan Efficiency shall be based on the design supply flow rate
&lt;10,000cfm = 40%
&gt;10,000cfm = 50%</t>
        </r>
      </text>
    </comment>
    <comment ref="P305"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
</t>
        </r>
      </text>
    </comment>
    <comment ref="N306" authorId="0" shapeId="0">
      <text>
        <r>
          <rPr>
            <b/>
            <sz val="9"/>
            <color indexed="81"/>
            <rFont val="Tahoma"/>
            <family val="2"/>
          </rPr>
          <t>Sandeep:</t>
        </r>
        <r>
          <rPr>
            <sz val="9"/>
            <color indexed="81"/>
            <rFont val="Tahoma"/>
            <family val="2"/>
          </rPr>
          <t xml:space="preserve">
The baseline Return/Relief Fan Efficiency shall be based on the design supply flow rate
&lt;10,000cfm = 40%
&gt;10,000cfm = 50%</t>
        </r>
      </text>
    </comment>
    <comment ref="P306"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
</t>
        </r>
      </text>
    </comment>
    <comment ref="N307" authorId="0" shapeId="0">
      <text>
        <r>
          <rPr>
            <b/>
            <sz val="9"/>
            <color indexed="81"/>
            <rFont val="Tahoma"/>
            <family val="2"/>
          </rPr>
          <t>Sandeep:</t>
        </r>
        <r>
          <rPr>
            <sz val="9"/>
            <color indexed="81"/>
            <rFont val="Tahoma"/>
            <family val="2"/>
          </rPr>
          <t xml:space="preserve">
The baseline Return/Relief Fan Efficiency shall be based on the design supply flow rate
&lt;10,000cfm = 40%
&gt;10,000cfm = 50%</t>
        </r>
      </text>
    </comment>
    <comment ref="P307"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
</t>
        </r>
      </text>
    </comment>
    <comment ref="N308" authorId="0" shapeId="0">
      <text>
        <r>
          <rPr>
            <b/>
            <sz val="9"/>
            <color indexed="81"/>
            <rFont val="Tahoma"/>
            <family val="2"/>
          </rPr>
          <t>Sandeep:</t>
        </r>
        <r>
          <rPr>
            <sz val="9"/>
            <color indexed="81"/>
            <rFont val="Tahoma"/>
            <family val="2"/>
          </rPr>
          <t xml:space="preserve">
The baseline Return/Relief Fan Efficiency shall be based on the design supply flow rate
&lt;10,000cfm = 40%
&gt;10,000cfm = 50%</t>
        </r>
      </text>
    </comment>
    <comment ref="P308"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
</t>
        </r>
      </text>
    </comment>
    <comment ref="P322" authorId="0" shapeId="0">
      <text>
        <r>
          <rPr>
            <b/>
            <sz val="9"/>
            <color indexed="81"/>
            <rFont val="Tahoma"/>
            <family val="2"/>
          </rPr>
          <t>Sandeep:</t>
        </r>
        <r>
          <rPr>
            <sz val="9"/>
            <color indexed="81"/>
            <rFont val="Tahoma"/>
            <family val="2"/>
          </rPr>
          <t xml:space="preserve">
Multiplier of 0.5 has been added.</t>
        </r>
      </text>
    </comment>
    <comment ref="V354" authorId="0" shapeId="0">
      <text>
        <r>
          <rPr>
            <b/>
            <sz val="9"/>
            <color indexed="81"/>
            <rFont val="Tahoma"/>
            <family val="2"/>
          </rPr>
          <t>Sandeep:</t>
        </r>
        <r>
          <rPr>
            <sz val="9"/>
            <color indexed="81"/>
            <rFont val="Tahoma"/>
            <family val="2"/>
          </rPr>
          <t xml:space="preserve">
Multiplier of 0.5 has been added.</t>
        </r>
      </text>
    </comment>
    <comment ref="H394" authorId="0" shapeId="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 ref="P399" authorId="0" shapeId="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R399" authorId="0" shapeId="0">
      <text>
        <r>
          <rPr>
            <b/>
            <sz val="9"/>
            <color indexed="81"/>
            <rFont val="Tahoma"/>
            <family val="2"/>
          </rPr>
          <t>Sandeep:</t>
        </r>
        <r>
          <rPr>
            <sz val="9"/>
            <color indexed="81"/>
            <rFont val="Tahoma"/>
            <family val="2"/>
          </rPr>
          <t xml:space="preserve">
The standard design 'Chiller Min Unloading Ratio' is determined based on the 'Chiller Type'.
Screw = 15%
See ACM ' Default Minimum Unloading Ratios Table-48 for further details</t>
        </r>
      </text>
    </comment>
    <comment ref="F401" authorId="0" shapeId="0">
      <text>
        <r>
          <rPr>
            <b/>
            <sz val="9"/>
            <color indexed="81"/>
            <rFont val="Tahoma"/>
            <family val="2"/>
          </rPr>
          <t>Sandeep:</t>
        </r>
        <r>
          <rPr>
            <sz val="9"/>
            <color indexed="81"/>
            <rFont val="Tahoma"/>
            <family val="2"/>
          </rPr>
          <t xml:space="preserve">
'The baseline building chiller is based on the design capacity of the standard design
&lt;= 300 tons - 1 Water Cooled Screw Chiller
&gt;300, &lt;600 tons - 2 Water Cooled Screw Chiller, equally sized
&gt;=600 tons - A minimum of two Water-cooled centrifugal chillers, sized to keep the unit size below 800 tons.</t>
        </r>
      </text>
    </comment>
    <comment ref="H401" authorId="0" shapeId="0">
      <text>
        <r>
          <rPr>
            <b/>
            <sz val="9"/>
            <color indexed="81"/>
            <rFont val="Tahoma"/>
            <family val="2"/>
          </rPr>
          <t>Sandeep:</t>
        </r>
        <r>
          <rPr>
            <sz val="9"/>
            <color indexed="81"/>
            <rFont val="Tahoma"/>
            <family val="2"/>
          </rPr>
          <t xml:space="preserve">
Standard Design
The baseline chiller fuel source is always Electric.</t>
        </r>
      </text>
    </comment>
    <comment ref="N401" authorId="0" shapeId="0">
      <text>
        <r>
          <rPr>
            <b/>
            <sz val="9"/>
            <color indexed="81"/>
            <rFont val="Tahoma"/>
            <family val="2"/>
          </rPr>
          <t>Sandeep:</t>
        </r>
        <r>
          <rPr>
            <sz val="9"/>
            <color indexed="81"/>
            <rFont val="Tahoma"/>
            <family val="2"/>
          </rPr>
          <t xml:space="preserve">
</t>
        </r>
        <r>
          <rPr>
            <u/>
            <sz val="9"/>
            <color indexed="81"/>
            <rFont val="Tahoma"/>
            <family val="2"/>
          </rPr>
          <t>Chiller Type: Screw, Path B Efficiency</t>
        </r>
        <r>
          <rPr>
            <sz val="9"/>
            <color indexed="81"/>
            <rFont val="Tahoma"/>
            <family val="2"/>
          </rPr>
          <t xml:space="preserve">
Cap &lt;75 Tons = 0.78 kW/Ton
Cap &lt;150 Tons = 0.75 kW/Ton
Cap &lt;300 Tons = 0.68 kW/Ton
Cap &gt;=300 Tons = 0.625 kW/Ton 
</t>
        </r>
      </text>
    </comment>
    <comment ref="R409"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P411" authorId="0" shapeId="0">
      <text>
        <r>
          <rPr>
            <b/>
            <sz val="9"/>
            <color indexed="81"/>
            <rFont val="Tahoma"/>
            <family val="2"/>
          </rPr>
          <t>Sandeep:</t>
        </r>
        <r>
          <rPr>
            <sz val="9"/>
            <color indexed="81"/>
            <rFont val="Tahoma"/>
            <family val="2"/>
          </rPr>
          <t xml:space="preserve">
The pump total head for HW pumps is calculated using the formula below-
(Power-Per-Unit-Flow/745.6*3960*Motor Efficiency* Impeller Efficiency)
where, 
Power per Unit Flow for HW pumps:19 W/gpm (refer Cell L179)
Impeller Efficiency: 0.7</t>
        </r>
      </text>
    </comment>
    <comment ref="R411"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P412" authorId="0" shapeId="0">
      <text>
        <r>
          <rPr>
            <b/>
            <sz val="9"/>
            <color indexed="81"/>
            <rFont val="Tahoma"/>
            <family val="2"/>
          </rPr>
          <t>Sandeep:</t>
        </r>
        <r>
          <rPr>
            <sz val="9"/>
            <color indexed="81"/>
            <rFont val="Tahoma"/>
            <family val="2"/>
          </rPr>
          <t xml:space="preserve">
For condenser water pumps, Head: 45 ft</t>
        </r>
      </text>
    </comment>
    <comment ref="R412"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P413" authorId="0" shapeId="0">
      <text>
        <r>
          <rPr>
            <b/>
            <sz val="9"/>
            <color indexed="81"/>
            <rFont val="Tahoma"/>
            <family val="2"/>
          </rPr>
          <t>Sandeep:</t>
        </r>
        <r>
          <rPr>
            <sz val="9"/>
            <color indexed="81"/>
            <rFont val="Tahoma"/>
            <family val="2"/>
          </rPr>
          <t xml:space="preserve">
For chilled water pumps, 40 ft plus an additional allowance of 0.03 ft/ton, but not to exceed 100 ft. (See formula in the cell above)</t>
        </r>
      </text>
    </comment>
    <comment ref="R413"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P414" authorId="0" shapeId="0">
      <text>
        <r>
          <rPr>
            <b/>
            <sz val="9"/>
            <color indexed="81"/>
            <rFont val="Tahoma"/>
            <family val="2"/>
          </rPr>
          <t>Sandeep:</t>
        </r>
        <r>
          <rPr>
            <sz val="9"/>
            <color indexed="81"/>
            <rFont val="Tahoma"/>
            <family val="2"/>
          </rPr>
          <t xml:space="preserve">
The pump total head for HW pumps is calculated using the formula below-
(Power-Per-Unit-Flow/745.6*3960*Motor Efficiency* Impeller Efficiency)
where, 
Power per Unit Flow for HW pumps:19 W/gpm (refer Cell L180)
Impeller Efficiency: 0.7</t>
        </r>
      </text>
    </comment>
    <comment ref="R414"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List>
</comments>
</file>

<file path=xl/comments12.xml><?xml version="1.0" encoding="utf-8"?>
<comments xmlns="http://schemas.openxmlformats.org/spreadsheetml/2006/main">
  <authors>
    <author>Sandeep</author>
  </authors>
  <commentList>
    <comment ref="B17" authorId="0" shapeId="0">
      <text>
        <r>
          <rPr>
            <b/>
            <sz val="9"/>
            <color indexed="81"/>
            <rFont val="Tahoma"/>
            <family val="2"/>
          </rPr>
          <t>Sandeep:</t>
        </r>
        <r>
          <rPr>
            <sz val="9"/>
            <color indexed="81"/>
            <rFont val="Tahoma"/>
            <family val="2"/>
          </rPr>
          <t xml:space="preserve">
140811: underground wall not being tested, not documented</t>
        </r>
      </text>
    </comment>
    <comment ref="H73" authorId="0" shapeId="0">
      <text>
        <r>
          <rPr>
            <b/>
            <sz val="9"/>
            <color indexed="81"/>
            <rFont val="Tahoma"/>
            <family val="2"/>
          </rPr>
          <t>Sandeep:</t>
        </r>
        <r>
          <rPr>
            <sz val="9"/>
            <color indexed="81"/>
            <rFont val="Tahoma"/>
            <family val="2"/>
          </rPr>
          <t xml:space="preserve">
=0.0051427*(79)+0.3989</t>
        </r>
      </text>
    </comment>
    <comment ref="L107" authorId="0" shapeId="0">
      <text>
        <r>
          <rPr>
            <b/>
            <sz val="9"/>
            <color indexed="81"/>
            <rFont val="Tahoma"/>
            <family val="2"/>
          </rPr>
          <t>Sandeep:</t>
        </r>
        <r>
          <rPr>
            <sz val="9"/>
            <color indexed="81"/>
            <rFont val="Tahoma"/>
            <family val="2"/>
          </rPr>
          <t xml:space="preserve">
Pump Power is revised based on the recalculated pump head.
Refer note in cell P107 for more information on the recalulated pump head values.</t>
        </r>
      </text>
    </comment>
    <comment ref="P107" authorId="0" shapeId="0">
      <text>
        <r>
          <rPr>
            <b/>
            <sz val="9"/>
            <color indexed="81"/>
            <rFont val="Tahoma"/>
            <family val="2"/>
          </rPr>
          <t>Sandeep:</t>
        </r>
        <r>
          <rPr>
            <sz val="9"/>
            <color indexed="81"/>
            <rFont val="Tahoma"/>
            <family val="2"/>
          </rPr>
          <t xml:space="preserve">
The MotorBHP calculated for pump 'HotWater Pump' is less than the ACM required value for the user-specified MotorHP.  The Proposed TotHd will be revised to 65.9 ft for compliance analysis. Based on the calculation below
MinMtrBHP / FlowCap * 3960 * ImpellerEff
Where, 
MinMtrBHP = The minimum Proposed model MtrBHP is Max(User calc MtrBHP, 95% x MHPi-1)
(The minimum allowed MtrBHP used in the Proposed model simulation based on user specified MtrHP.)
Flow Cap = Based on Boiler Capacity
Impeller Efficiency = 0.7</t>
        </r>
      </text>
    </comment>
    <comment ref="H146"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173" authorId="0" shapeId="0">
      <text>
        <r>
          <rPr>
            <b/>
            <sz val="9"/>
            <color indexed="81"/>
            <rFont val="Tahoma"/>
            <family val="2"/>
          </rPr>
          <t>Sandeep:</t>
        </r>
        <r>
          <rPr>
            <sz val="9"/>
            <color indexed="81"/>
            <rFont val="Tahoma"/>
            <family val="2"/>
          </rPr>
          <t xml:space="preserve">
=0.0051427*(79)+0.3989</t>
        </r>
      </text>
    </comment>
    <comment ref="H176"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N176"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P181"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R181"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181"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H201" authorId="0" shapeId="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 ref="P207" authorId="0" shapeId="0">
      <text>
        <r>
          <rPr>
            <b/>
            <sz val="9"/>
            <color indexed="81"/>
            <rFont val="Tahoma"/>
            <family val="2"/>
          </rPr>
          <t>Sandeep:</t>
        </r>
        <r>
          <rPr>
            <sz val="9"/>
            <color indexed="81"/>
            <rFont val="Tahoma"/>
            <family val="2"/>
          </rPr>
          <t xml:space="preserve">
The MotorBHP calculated for pump 'HotWater Pump' is less than the ACM required value for the user-specified MotorHP.  The Proposed TotHd will be revised to 65.9 ft for compliance analysis. Based on the calculation below
</t>
        </r>
        <r>
          <rPr>
            <i/>
            <sz val="9"/>
            <color indexed="81"/>
            <rFont val="Tahoma"/>
            <family val="2"/>
          </rPr>
          <t xml:space="preserve">MinMtrBHP / FlowCap * 3960 * ImpellerEff
</t>
        </r>
        <r>
          <rPr>
            <sz val="9"/>
            <color indexed="81"/>
            <rFont val="Tahoma"/>
            <family val="2"/>
          </rPr>
          <t xml:space="preserve">
Where, 
MinMtrBHP = The minimum Proposed model MtrBHP is Max(User calc MtrBHP, 95% x MHPi-1)
(The minimum allowed MtrBHP used in the Proposed model simulation based on user specified MtrHP.)
Flow Cap = Based on Boiler Capacity
Impeller Efficiency = 0.7</t>
        </r>
      </text>
    </comment>
  </commentList>
</comments>
</file>

<file path=xl/comments13.xml><?xml version="1.0" encoding="utf-8"?>
<comments xmlns="http://schemas.openxmlformats.org/spreadsheetml/2006/main">
  <authors>
    <author>Sandeep</author>
  </authors>
  <commentList>
    <comment ref="H92"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N110"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H116"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P116"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R116"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116"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List>
</comments>
</file>

<file path=xl/comments14.xml><?xml version="1.0" encoding="utf-8"?>
<comments xmlns="http://schemas.openxmlformats.org/spreadsheetml/2006/main">
  <authors>
    <author>Sandeep</author>
  </authors>
  <commentList>
    <comment ref="H33" authorId="0" shapeId="0">
      <text>
        <r>
          <rPr>
            <b/>
            <sz val="9"/>
            <color indexed="81"/>
            <rFont val="Tahoma"/>
            <family val="2"/>
          </rPr>
          <t>Sandeep:</t>
        </r>
        <r>
          <rPr>
            <sz val="9"/>
            <color indexed="81"/>
            <rFont val="Tahoma"/>
            <family val="2"/>
          </rPr>
          <t xml:space="preserve">
160706_SDS: Previous Value - 19%
Previously the existing windows on North, East and West façade were also resized to reduce the overa;; WWR to 40%, when the south window was of status 'NEW'.
In this current version only the south window with status 'NEW' is being altered to reduce the overall WWR to 40%.</t>
        </r>
      </text>
    </comment>
    <comment ref="J33" authorId="0" shapeId="0">
      <text>
        <r>
          <rPr>
            <b/>
            <sz val="9"/>
            <color indexed="81"/>
            <rFont val="Tahoma"/>
            <family val="2"/>
          </rPr>
          <t>Sandeep:</t>
        </r>
        <r>
          <rPr>
            <sz val="9"/>
            <color indexed="81"/>
            <rFont val="Tahoma"/>
            <family val="2"/>
          </rPr>
          <t xml:space="preserve">
160706_SDS: Previous Value - 19%
Previously the existing windows on North, East and West façade were also resized to reduce the overa;; WWR to 40%, when the south window was of status 'NEW'.
In this current version only the south window with status 'NEW' is being altered to reduce the overall WWR to 40%.</t>
        </r>
      </text>
    </comment>
    <comment ref="L33" authorId="0" shapeId="0">
      <text>
        <r>
          <rPr>
            <b/>
            <sz val="9"/>
            <color indexed="81"/>
            <rFont val="Tahoma"/>
            <family val="2"/>
          </rPr>
          <t>Sandeep:</t>
        </r>
        <r>
          <rPr>
            <sz val="9"/>
            <color indexed="81"/>
            <rFont val="Tahoma"/>
            <family val="2"/>
          </rPr>
          <t xml:space="preserve">
160706_SDS: Previous Value - 89%
Previously the existing windows on North, East and West façade were also resized to reduce the overa;; WWR to 40%, when the south window was of status 'NEW'.
In this current version only the south window with status 'NEW' is being altered to reduce the overall WWR to 40%.</t>
        </r>
      </text>
    </comment>
    <comment ref="N33" authorId="0" shapeId="0">
      <text>
        <r>
          <rPr>
            <b/>
            <sz val="9"/>
            <color indexed="81"/>
            <rFont val="Tahoma"/>
            <family val="2"/>
          </rPr>
          <t>Sandeep:</t>
        </r>
        <r>
          <rPr>
            <sz val="9"/>
            <color indexed="81"/>
            <rFont val="Tahoma"/>
            <family val="2"/>
          </rPr>
          <t xml:space="preserve">
160706_SDS: Previous Value - 19%
Previously the existing windows on North, East and West façade were also resized to reduce the overa;; WWR to 40%, when the south window was of status 'NEW'.
In this current version only the south window with status 'NEW' is being altered to reduce the overall WWR to 40%.</t>
        </r>
      </text>
    </comment>
  </commentList>
</comments>
</file>

<file path=xl/comments15.xml><?xml version="1.0" encoding="utf-8"?>
<comments xmlns="http://schemas.openxmlformats.org/spreadsheetml/2006/main">
  <authors>
    <author>Sandeep</author>
  </authors>
  <commentList>
    <comment ref="H89"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99"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R99"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99"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N101"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P101"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N102" authorId="0" shapeId="0">
      <text>
        <r>
          <rPr>
            <b/>
            <sz val="9"/>
            <color indexed="81"/>
            <rFont val="Tahoma"/>
            <family val="2"/>
          </rPr>
          <t>Sandeep:</t>
        </r>
        <r>
          <rPr>
            <sz val="9"/>
            <color indexed="81"/>
            <rFont val="Tahoma"/>
            <family val="2"/>
          </rPr>
          <t xml:space="preserve">
The baseline Return/Relief Fan Efficiency shall be based on the design supply flow rate
&lt;10,000cfm = 40%
&gt;10,000cfm = 50%</t>
        </r>
      </text>
    </comment>
    <comment ref="P102"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t>
        </r>
      </text>
    </comment>
  </commentList>
</comments>
</file>

<file path=xl/comments16.xml><?xml version="1.0" encoding="utf-8"?>
<comments xmlns="http://schemas.openxmlformats.org/spreadsheetml/2006/main">
  <authors>
    <author>Sandeep</author>
  </authors>
  <commentList>
    <comment ref="C126" authorId="0" shapeId="0">
      <text>
        <r>
          <rPr>
            <b/>
            <sz val="9"/>
            <color indexed="81"/>
            <rFont val="Tahoma"/>
            <family val="2"/>
          </rPr>
          <t>Sandeep:</t>
        </r>
        <r>
          <rPr>
            <sz val="9"/>
            <color indexed="81"/>
            <rFont val="Tahoma"/>
            <family val="2"/>
          </rPr>
          <t xml:space="preserve">
151125: 'Back_Space_Wall_West' which in the proposed design is a 'New' 'MassHeavyWall'</t>
        </r>
      </text>
    </comment>
    <comment ref="C129" authorId="0" shapeId="0">
      <text>
        <r>
          <rPr>
            <b/>
            <sz val="9"/>
            <color indexed="81"/>
            <rFont val="Tahoma"/>
            <family val="2"/>
          </rPr>
          <t>Sandeep:</t>
        </r>
        <r>
          <rPr>
            <sz val="9"/>
            <color indexed="81"/>
            <rFont val="Tahoma"/>
            <family val="2"/>
          </rPr>
          <t xml:space="preserve">
151125: 'Front_Entry_Wall_South' in the proposed design is designated as 'New' MetalFrameWall' with construction similar other exterior walls ('Base_CZ12-NonresMetalFrameWallU062_New')</t>
        </r>
      </text>
    </comment>
    <comment ref="H207" authorId="0" shapeId="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List>
</comments>
</file>

<file path=xl/comments17.xml><?xml version="1.0" encoding="utf-8"?>
<comments xmlns="http://schemas.openxmlformats.org/spreadsheetml/2006/main">
  <authors>
    <author>Sandeep</author>
  </authors>
  <commentList>
    <comment ref="H131"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146"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R146"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146"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N148"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P148"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N149"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P149"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N150"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P150"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N151" authorId="0" shapeId="0">
      <text>
        <r>
          <rPr>
            <b/>
            <sz val="9"/>
            <color indexed="81"/>
            <rFont val="Tahoma"/>
            <family val="2"/>
          </rPr>
          <t>Sandeep:</t>
        </r>
        <r>
          <rPr>
            <sz val="9"/>
            <color indexed="81"/>
            <rFont val="Tahoma"/>
            <family val="2"/>
          </rPr>
          <t xml:space="preserve">
The baseline Return/Relief Fan Efficiency shall be based on the design supply flow rate
&lt;10,000cfm = 40%
&gt;10,000cfm = 50%</t>
        </r>
      </text>
    </comment>
    <comment ref="P151"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
</t>
        </r>
      </text>
    </comment>
    <comment ref="N152" authorId="0" shapeId="0">
      <text>
        <r>
          <rPr>
            <b/>
            <sz val="9"/>
            <color indexed="81"/>
            <rFont val="Tahoma"/>
            <family val="2"/>
          </rPr>
          <t>Sandeep:</t>
        </r>
        <r>
          <rPr>
            <sz val="9"/>
            <color indexed="81"/>
            <rFont val="Tahoma"/>
            <family val="2"/>
          </rPr>
          <t xml:space="preserve">
The baseline Return/Relief Fan Efficiency shall be based on the design supply flow rate
&lt;10,000cfm = 40%
&gt;10,000cfm = 50%</t>
        </r>
      </text>
    </comment>
    <comment ref="P152"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
</t>
        </r>
      </text>
    </comment>
    <comment ref="N153" authorId="0" shapeId="0">
      <text>
        <r>
          <rPr>
            <b/>
            <sz val="9"/>
            <color indexed="81"/>
            <rFont val="Tahoma"/>
            <family val="2"/>
          </rPr>
          <t>Sandeep:</t>
        </r>
        <r>
          <rPr>
            <sz val="9"/>
            <color indexed="81"/>
            <rFont val="Tahoma"/>
            <family val="2"/>
          </rPr>
          <t xml:space="preserve">
The baseline Return/Relief Fan Efficiency shall be based on the design supply flow rate
&lt;10,000cfm = 40%
&gt;10,000cfm = 50%</t>
        </r>
      </text>
    </comment>
    <comment ref="P153"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
</t>
        </r>
      </text>
    </comment>
    <comment ref="H170" authorId="0" shapeId="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 ref="T175"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List>
</comments>
</file>

<file path=xl/comments18.xml><?xml version="1.0" encoding="utf-8"?>
<comments xmlns="http://schemas.openxmlformats.org/spreadsheetml/2006/main">
  <authors>
    <author>Sandeep</author>
  </authors>
  <commentList>
    <comment ref="R72" authorId="0" shapeId="0">
      <text>
        <r>
          <rPr>
            <b/>
            <sz val="9"/>
            <color indexed="81"/>
            <rFont val="Tahoma"/>
            <family val="2"/>
          </rPr>
          <t>Sandeep:</t>
        </r>
        <r>
          <rPr>
            <sz val="9"/>
            <color indexed="81"/>
            <rFont val="Tahoma"/>
            <family val="2"/>
          </rPr>
          <t xml:space="preserve">
The MotorBHP calculated for pump 'HotWater Pump' is less than the ACM required value for the user-specified MotorHP.  The Proposed TotHd will be revised to112.9 ft for compliance analysis. Based on the calculation below
MinMtrBHP / FlowCap * 3960 * ImpellerEff
Where, 
MinMtrBHP = The minimum Proposed model MtrBHP is Max(User calc MtrBHP, 95% x MHPi-1)
(The minimum allowed MtrBHP used in the Proposed model simulation based on user specified MtrHP.)
Flow Cap = Based on Boiler Capacity
Impeller Efficiency = 0.7</t>
        </r>
      </text>
    </comment>
    <comment ref="H92"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107"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R107"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107"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N109"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N110"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N111"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N112" authorId="0" shapeId="0">
      <text>
        <r>
          <rPr>
            <b/>
            <sz val="9"/>
            <color indexed="81"/>
            <rFont val="Tahoma"/>
            <family val="2"/>
          </rPr>
          <t>Sandeep:</t>
        </r>
        <r>
          <rPr>
            <sz val="9"/>
            <color indexed="81"/>
            <rFont val="Tahoma"/>
            <family val="2"/>
          </rPr>
          <t xml:space="preserve">
The baseline Return/Relief Fan Efficiency shall be based on the design supply flow rate
&lt;10,000cfm = 40%
&gt;10,000cfm = 50%</t>
        </r>
      </text>
    </comment>
    <comment ref="P112"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
</t>
        </r>
      </text>
    </comment>
    <comment ref="N113" authorId="0" shapeId="0">
      <text>
        <r>
          <rPr>
            <b/>
            <sz val="9"/>
            <color indexed="81"/>
            <rFont val="Tahoma"/>
            <family val="2"/>
          </rPr>
          <t>Sandeep:</t>
        </r>
        <r>
          <rPr>
            <sz val="9"/>
            <color indexed="81"/>
            <rFont val="Tahoma"/>
            <family val="2"/>
          </rPr>
          <t xml:space="preserve">
The baseline Return/Relief Fan Efficiency shall be based on the design supply flow rate
&lt;10,000cfm = 40%
&gt;10,000cfm = 50%</t>
        </r>
      </text>
    </comment>
    <comment ref="P113"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
</t>
        </r>
      </text>
    </comment>
    <comment ref="N114" authorId="0" shapeId="0">
      <text>
        <r>
          <rPr>
            <b/>
            <sz val="9"/>
            <color indexed="81"/>
            <rFont val="Tahoma"/>
            <family val="2"/>
          </rPr>
          <t>Sandeep:</t>
        </r>
        <r>
          <rPr>
            <sz val="9"/>
            <color indexed="81"/>
            <rFont val="Tahoma"/>
            <family val="2"/>
          </rPr>
          <t xml:space="preserve">
The baseline Return/Relief Fan Efficiency shall be based on the design supply flow rate
&lt;10,000cfm = 40%
&gt;10,000cfm = 50%</t>
        </r>
      </text>
    </comment>
    <comment ref="P114"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
</t>
        </r>
      </text>
    </comment>
    <comment ref="H131" authorId="0" shapeId="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 ref="T136"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List>
</comments>
</file>

<file path=xl/comments2.xml><?xml version="1.0" encoding="utf-8"?>
<comments xmlns="http://schemas.openxmlformats.org/spreadsheetml/2006/main">
  <authors>
    <author>Sandeep</author>
  </authors>
  <commentList>
    <comment ref="H43" authorId="0" shapeId="0">
      <text>
        <r>
          <rPr>
            <b/>
            <sz val="9"/>
            <color indexed="81"/>
            <rFont val="Tahoma"/>
            <family val="2"/>
          </rPr>
          <t>Sandeep:</t>
        </r>
        <r>
          <rPr>
            <sz val="9"/>
            <color indexed="81"/>
            <rFont val="Tahoma"/>
            <family val="2"/>
          </rPr>
          <t xml:space="preserve">
Values currenlty not being reported at the construction</t>
        </r>
      </text>
    </comment>
  </commentList>
</comments>
</file>

<file path=xl/comments3.xml><?xml version="1.0" encoding="utf-8"?>
<comments xmlns="http://schemas.openxmlformats.org/spreadsheetml/2006/main">
  <authors>
    <author>Sandeep</author>
  </authors>
  <commentList>
    <comment ref="P139" authorId="0" shapeId="0">
      <text>
        <r>
          <rPr>
            <b/>
            <sz val="9"/>
            <color indexed="81"/>
            <rFont val="Tahoma"/>
            <family val="2"/>
          </rPr>
          <t>Sandeep:</t>
        </r>
        <r>
          <rPr>
            <sz val="9"/>
            <color indexed="81"/>
            <rFont val="Tahoma"/>
            <family val="2"/>
          </rPr>
          <t xml:space="preserve">
Multiplier of 0.5 has been added.</t>
        </r>
      </text>
    </comment>
    <comment ref="V171" authorId="0" shapeId="0">
      <text>
        <r>
          <rPr>
            <b/>
            <sz val="9"/>
            <color indexed="81"/>
            <rFont val="Tahoma"/>
            <family val="2"/>
          </rPr>
          <t>Sandeep:</t>
        </r>
        <r>
          <rPr>
            <sz val="9"/>
            <color indexed="81"/>
            <rFont val="Tahoma"/>
            <family val="2"/>
          </rPr>
          <t xml:space="preserve">
Multiplier of 0.5 has been added.</t>
        </r>
      </text>
    </comment>
    <comment ref="AD198" authorId="0" shapeId="0">
      <text>
        <r>
          <rPr>
            <b/>
            <sz val="9"/>
            <color indexed="81"/>
            <rFont val="Tahoma"/>
            <family val="2"/>
          </rPr>
          <t>Sandeep:</t>
        </r>
        <r>
          <rPr>
            <sz val="9"/>
            <color indexed="81"/>
            <rFont val="Tahoma"/>
            <family val="2"/>
          </rPr>
          <t xml:space="preserve">
151123: Exhaust flow rate increased to be more than the required ventilation rate.</t>
        </r>
      </text>
    </comment>
    <comment ref="AH198" authorId="0" shapeId="0">
      <text>
        <r>
          <rPr>
            <b/>
            <sz val="9"/>
            <color indexed="81"/>
            <rFont val="Tahoma"/>
            <family val="2"/>
          </rPr>
          <t>Sandeep:</t>
        </r>
        <r>
          <rPr>
            <sz val="9"/>
            <color indexed="81"/>
            <rFont val="Tahoma"/>
            <family val="2"/>
          </rPr>
          <t xml:space="preserve">
151123: Exhaust flow rate increased to be more than the required ventilation rate.</t>
        </r>
      </text>
    </comment>
    <comment ref="P217" authorId="0" shapeId="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N219" authorId="0" shapeId="0">
      <text>
        <r>
          <rPr>
            <b/>
            <sz val="9"/>
            <color indexed="81"/>
            <rFont val="Tahoma"/>
            <family val="2"/>
          </rPr>
          <t>Sandeep:</t>
        </r>
        <r>
          <rPr>
            <sz val="9"/>
            <color indexed="81"/>
            <rFont val="Tahoma"/>
            <family val="2"/>
          </rPr>
          <t xml:space="preserve">
Chiller Type: Screw, Path B Efficiency
Cap &lt;75 Tons = 0.78 kW/Ton
Cap &lt;150 Tons = 0.75 kW/Ton
Cap &lt;300 Tons = 0.68 kW/Ton
Cap &gt;=300 Tons = 0.625 kW/Ton
EER = 12 / (kW/ton)
COP = EER / 3.412</t>
        </r>
      </text>
    </comment>
    <comment ref="J222" authorId="0" shapeId="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H283"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305"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R305"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305"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N307"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&gt;10,000cfm = 62%</t>
        </r>
      </text>
    </comment>
    <comment ref="P307"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N308"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&gt;10,000cfm = 62%</t>
        </r>
      </text>
    </comment>
    <comment ref="P308"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N309"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&gt;10,000cfm = 62%</t>
        </r>
      </text>
    </comment>
    <comment ref="P309"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N310"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&gt;10,000cfm = 62%</t>
        </r>
      </text>
    </comment>
    <comment ref="P310"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N346" authorId="0" shapeId="0">
      <text>
        <r>
          <rPr>
            <b/>
            <sz val="9"/>
            <color indexed="81"/>
            <rFont val="Tahoma"/>
            <family val="2"/>
          </rPr>
          <t>Sandeep:</t>
        </r>
        <r>
          <rPr>
            <sz val="9"/>
            <color indexed="81"/>
            <rFont val="Tahoma"/>
            <family val="2"/>
          </rPr>
          <t xml:space="preserve">
The baseline Return/Relief Fan Efficiency shall be based on the design supply flow rate
&lt;10,000cfm = 40%
&gt;10,000cfm = 50%
</t>
        </r>
      </text>
    </comment>
    <comment ref="P346"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
</t>
        </r>
      </text>
    </comment>
    <comment ref="P347"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t>
        </r>
      </text>
    </comment>
    <comment ref="P348"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t>
        </r>
      </text>
    </comment>
    <comment ref="P349"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t>
        </r>
      </text>
    </comment>
    <comment ref="P362" authorId="0" shapeId="0">
      <text>
        <r>
          <rPr>
            <b/>
            <sz val="9"/>
            <color indexed="81"/>
            <rFont val="Tahoma"/>
            <family val="2"/>
          </rPr>
          <t>Sandeep:</t>
        </r>
        <r>
          <rPr>
            <sz val="9"/>
            <color indexed="81"/>
            <rFont val="Tahoma"/>
            <family val="2"/>
          </rPr>
          <t xml:space="preserve">
Multiplier of 0.5 has been added.</t>
        </r>
      </text>
    </comment>
    <comment ref="V394" authorId="0" shapeId="0">
      <text>
        <r>
          <rPr>
            <b/>
            <sz val="9"/>
            <color indexed="81"/>
            <rFont val="Tahoma"/>
            <family val="2"/>
          </rPr>
          <t>Sandeep:</t>
        </r>
        <r>
          <rPr>
            <sz val="9"/>
            <color indexed="81"/>
            <rFont val="Tahoma"/>
            <family val="2"/>
          </rPr>
          <t xml:space="preserve">
Multiplier of 0.5 has been added.</t>
        </r>
      </text>
    </comment>
    <comment ref="H434" authorId="0" shapeId="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 ref="P439" authorId="0" shapeId="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R439" authorId="0" shapeId="0">
      <text>
        <r>
          <rPr>
            <b/>
            <sz val="9"/>
            <color indexed="81"/>
            <rFont val="Tahoma"/>
            <family val="2"/>
          </rPr>
          <t>Sandeep:</t>
        </r>
        <r>
          <rPr>
            <sz val="9"/>
            <color indexed="81"/>
            <rFont val="Tahoma"/>
            <family val="2"/>
          </rPr>
          <t xml:space="preserve">
The standard design 'Chiller Min Unloading Ratio' is determined based on the 'Chiller Type'.
Screw = 15%
See ACM ' Default Minimum Unloading Ratios Table-48 for further details</t>
        </r>
      </text>
    </comment>
    <comment ref="F441" authorId="0" shapeId="0">
      <text>
        <r>
          <rPr>
            <b/>
            <sz val="9"/>
            <color indexed="81"/>
            <rFont val="Tahoma"/>
            <family val="2"/>
          </rPr>
          <t>Sandeep:</t>
        </r>
        <r>
          <rPr>
            <sz val="9"/>
            <color indexed="81"/>
            <rFont val="Tahoma"/>
            <family val="2"/>
          </rPr>
          <t xml:space="preserve">
'The baseline building chiller is based on the design capacity of the standard design
&lt;= 300 tons - 1 Water Cooled Screw Chiller
&gt;300, &lt;600 tons - 2 Water Cooled Screw Chiller, equally sized
&gt;=600 tons - A minimum of two Water-cooled centrifugal chillers, sized to keep the unit size below 800 tons.</t>
        </r>
      </text>
    </comment>
    <comment ref="H441" authorId="0" shapeId="0">
      <text>
        <r>
          <rPr>
            <b/>
            <sz val="9"/>
            <color indexed="81"/>
            <rFont val="Tahoma"/>
            <family val="2"/>
          </rPr>
          <t>Sandeep:</t>
        </r>
        <r>
          <rPr>
            <sz val="9"/>
            <color indexed="81"/>
            <rFont val="Tahoma"/>
            <family val="2"/>
          </rPr>
          <t xml:space="preserve">
Standard Design
The baseline chiller fuel source is always Electric.</t>
        </r>
      </text>
    </comment>
    <comment ref="J441" authorId="0" shapeId="0">
      <text>
        <r>
          <rPr>
            <b/>
            <sz val="9"/>
            <color indexed="81"/>
            <rFont val="Tahoma"/>
            <family val="2"/>
          </rPr>
          <t>Sandeep:</t>
        </r>
        <r>
          <rPr>
            <sz val="9"/>
            <color indexed="81"/>
            <rFont val="Tahoma"/>
            <family val="2"/>
          </rPr>
          <t xml:space="preserve">
Standard Design
The baseline chiller is always assumed to have a water-cooled condenser, although the chiller type will change depending on the design capacity.</t>
        </r>
      </text>
    </comment>
    <comment ref="L441" authorId="0" shapeId="0">
      <text>
        <r>
          <rPr>
            <b/>
            <sz val="9"/>
            <color indexed="81"/>
            <rFont val="Tahoma"/>
            <family val="2"/>
          </rPr>
          <t>Sandeep:</t>
        </r>
        <r>
          <rPr>
            <sz val="9"/>
            <color indexed="81"/>
            <rFont val="Tahoma"/>
            <family val="2"/>
          </rPr>
          <t xml:space="preserve">
Auto-sized.
The full load output of the chiller operating at rating temperatures and flows including adjustment for pump heat and the project sizing ratio.</t>
        </r>
      </text>
    </comment>
    <comment ref="N441" authorId="0" shapeId="0">
      <text>
        <r>
          <rPr>
            <b/>
            <sz val="9"/>
            <color indexed="81"/>
            <rFont val="Tahoma"/>
            <family val="2"/>
          </rPr>
          <t>Sandeep:</t>
        </r>
        <r>
          <rPr>
            <sz val="9"/>
            <color indexed="81"/>
            <rFont val="Tahoma"/>
            <family val="2"/>
          </rPr>
          <t xml:space="preserve">
</t>
        </r>
        <r>
          <rPr>
            <u/>
            <sz val="9"/>
            <color indexed="81"/>
            <rFont val="Tahoma"/>
            <family val="2"/>
          </rPr>
          <t>Chiller Type: Screw, Path B Efficiency
Cap &lt;75 Tons = 0.78 kW/Ton
Cap &lt;150 Tons = 0.75 kW/Ton
Cap &lt;300 Tons = 0.68 kW/Ton
Cap &gt;=300 Tons = 0.625 kW/Ton
EER = 12 / (kW/ton)
COP = EER / 3.412</t>
        </r>
      </text>
    </comment>
    <comment ref="R449"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P451" authorId="0" shapeId="0">
      <text>
        <r>
          <rPr>
            <b/>
            <sz val="9"/>
            <color indexed="81"/>
            <rFont val="Tahoma"/>
            <family val="2"/>
          </rPr>
          <t>Sandeep:</t>
        </r>
        <r>
          <rPr>
            <sz val="9"/>
            <color indexed="81"/>
            <rFont val="Tahoma"/>
            <family val="2"/>
          </rPr>
          <t xml:space="preserve">
The pump total head for HW pumps is calculated using the formula below-
(Power-Per-Unit-Flow/745.6*3960*Motor Efficiency* Impeller Efficiency)
where, 
Power per Unit Flow for HW pumps:19 W/gpm (refer Cell L179)
Impeller Efficiency: 0.7</t>
        </r>
      </text>
    </comment>
    <comment ref="R451"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P452" authorId="0" shapeId="0">
      <text>
        <r>
          <rPr>
            <b/>
            <sz val="9"/>
            <color indexed="81"/>
            <rFont val="Tahoma"/>
            <family val="2"/>
          </rPr>
          <t>Sandeep:</t>
        </r>
        <r>
          <rPr>
            <sz val="9"/>
            <color indexed="81"/>
            <rFont val="Tahoma"/>
            <family val="2"/>
          </rPr>
          <t xml:space="preserve">
For condenser water pumps, Head: 45 ft</t>
        </r>
      </text>
    </comment>
    <comment ref="R452"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P453" authorId="0" shapeId="0">
      <text>
        <r>
          <rPr>
            <b/>
            <sz val="9"/>
            <color indexed="81"/>
            <rFont val="Tahoma"/>
            <family val="2"/>
          </rPr>
          <t>Sandeep:</t>
        </r>
        <r>
          <rPr>
            <sz val="9"/>
            <color indexed="81"/>
            <rFont val="Tahoma"/>
            <family val="2"/>
          </rPr>
          <t xml:space="preserve">
For chilled water pumps, 40 ft plus an additional allowance of 0.03 ft/ton, but not to exceed 100 ft. </t>
        </r>
      </text>
    </comment>
    <comment ref="R453"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P454" authorId="0" shapeId="0">
      <text>
        <r>
          <rPr>
            <b/>
            <sz val="9"/>
            <color indexed="81"/>
            <rFont val="Tahoma"/>
            <family val="2"/>
          </rPr>
          <t>Sandeep:</t>
        </r>
        <r>
          <rPr>
            <sz val="9"/>
            <color indexed="81"/>
            <rFont val="Tahoma"/>
            <family val="2"/>
          </rPr>
          <t xml:space="preserve">
The pump total head for HW pumps is calculated using the formula below-
(Power-Per-Unit-Flow/745.6*3960*Motor Efficiency* Impeller Efficiency)
where, 
Power per Unit Flow for HW pumps:19 W/gpm (refer Cell L180)
Impeller Efficiency: 0.7</t>
        </r>
      </text>
    </comment>
    <comment ref="R454"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List>
</comments>
</file>

<file path=xl/comments4.xml><?xml version="1.0" encoding="utf-8"?>
<comments xmlns="http://schemas.openxmlformats.org/spreadsheetml/2006/main">
  <authors>
    <author>Sandeep</author>
  </authors>
  <commentList>
    <comment ref="C19" authorId="0" shapeId="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M19" authorId="0" shapeId="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 ref="C25" authorId="0" shapeId="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M25" authorId="0" shapeId="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 ref="C31" authorId="0" shapeId="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M31" authorId="0" shapeId="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 ref="G40" authorId="0" shapeId="0">
      <text>
        <r>
          <rPr>
            <b/>
            <sz val="9"/>
            <color indexed="81"/>
            <rFont val="Tahoma"/>
            <family val="2"/>
          </rPr>
          <t>Sandeep:</t>
        </r>
        <r>
          <rPr>
            <sz val="9"/>
            <color indexed="81"/>
            <rFont val="Tahoma"/>
            <family val="2"/>
          </rPr>
          <t xml:space="preserve">
Standards_Section 140.6: TAilored Method- The additional allowed power for ornamental/special effects lighting for each applicable area shall 
be the smaller of:  
a. The product of the allowed ornamental/special effects lighting power determined in 
accordance with Section 140.6(c)3Kiii, times floor square footage determined in accordance 
with Section 140.6(c)3Kiv; {or (0.5*10586.7) = 5293.35 W}
b. The actual power of allowed ornamental/special effects lighting. {Installed power - 2112 W}
Hence modeled 2112W or 2112/10586.7 = 0.2 W/ft2</t>
        </r>
      </text>
    </comment>
    <comment ref="C44" authorId="0" shapeId="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M44" authorId="0" shapeId="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 ref="G46" authorId="0" shapeId="0">
      <text>
        <r>
          <rPr>
            <b/>
            <sz val="9"/>
            <color indexed="81"/>
            <rFont val="Tahoma"/>
            <family val="2"/>
          </rPr>
          <t>Sandeep:</t>
        </r>
        <r>
          <rPr>
            <sz val="9"/>
            <color indexed="81"/>
            <rFont val="Tahoma"/>
            <family val="2"/>
          </rPr>
          <t xml:space="preserve">
Standards_Section 140.6: TAilored Method- The additional allowed power for ornamental/special effects lighting for each applicable area shall 
be the smaller of:  
a. The product of the allowed ornamental/special effects lighting power determined in 
accordance with Section 140.6(c)3Kiii, times floor square footage determined in accordance 
with Section 140.6(c)3Kiv; {or (0.5*10586.7) = 5293.35 W}
b. The actual power of allowed ornamental/special effects lighting. {Installed power - 2112 W}
Hence modeled 2112W or 2112/10586.7 = 0.2 W/ft2</t>
        </r>
      </text>
    </comment>
    <comment ref="C50" authorId="0" shapeId="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M50" authorId="0" shapeId="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 ref="G52" authorId="0" shapeId="0">
      <text>
        <r>
          <rPr>
            <b/>
            <sz val="9"/>
            <color indexed="81"/>
            <rFont val="Tahoma"/>
            <family val="2"/>
          </rPr>
          <t>Sandeep:</t>
        </r>
        <r>
          <rPr>
            <sz val="9"/>
            <color indexed="81"/>
            <rFont val="Tahoma"/>
            <family val="2"/>
          </rPr>
          <t xml:space="preserve">
Standards_Section 140.6: TAilored Method- The additional allowed power for ornamental/special effects lighting for each applicable area shall 
be the smaller of:  
a. The product of the allowed ornamental/special effects lighting power determined in 
accordance with Section 140.6(c)3Kiii, times floor square footage determined in accordance 
with Section 140.6(c)3Kiv; {or (0.5*10586.7) = 5293.35 W}
b. The actual power of allowed ornamental/special effects lighting. {Installed power - 2112 W}
Hence modeled 2112W or 2112/10586.7 = 0.2 W/ft2</t>
        </r>
      </text>
    </comment>
    <comment ref="C56" authorId="0" shapeId="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M56" authorId="0" shapeId="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List>
</comments>
</file>

<file path=xl/comments5.xml><?xml version="1.0" encoding="utf-8"?>
<comments xmlns="http://schemas.openxmlformats.org/spreadsheetml/2006/main">
  <authors>
    <author>Ryan</author>
  </authors>
  <commentList>
    <comment ref="C40" authorId="0" shapeId="0">
      <text>
        <r>
          <rPr>
            <b/>
            <sz val="9"/>
            <color indexed="81"/>
            <rFont val="Tahoma"/>
            <family val="2"/>
          </rPr>
          <t>Ryan:</t>
        </r>
        <r>
          <rPr>
            <sz val="9"/>
            <color indexed="81"/>
            <rFont val="Tahoma"/>
            <family val="2"/>
          </rPr>
          <t xml:space="preserve">
Space function update to test tailored method</t>
        </r>
      </text>
    </comment>
  </commentList>
</comments>
</file>

<file path=xl/comments6.xml><?xml version="1.0" encoding="utf-8"?>
<comments xmlns="http://schemas.openxmlformats.org/spreadsheetml/2006/main">
  <authors>
    <author>Sandeep</author>
  </authors>
  <commentList>
    <comment ref="K13" authorId="0" shapeId="0">
      <text>
        <r>
          <rPr>
            <b/>
            <sz val="9"/>
            <color indexed="81"/>
            <rFont val="Tahoma"/>
            <family val="2"/>
          </rPr>
          <t>Sandeep:</t>
        </r>
        <r>
          <rPr>
            <sz val="9"/>
            <color indexed="81"/>
            <rFont val="Tahoma"/>
            <family val="2"/>
          </rPr>
          <t xml:space="preserve">
The Proposed Transform does not utilize the PAF, the evaluation for the same has already been made and only the final LPD is relevant</t>
        </r>
      </text>
    </comment>
  </commentList>
</comments>
</file>

<file path=xl/comments7.xml><?xml version="1.0" encoding="utf-8"?>
<comments xmlns="http://schemas.openxmlformats.org/spreadsheetml/2006/main">
  <authors>
    <author>Sandeep</author>
    <author>Ryan</author>
  </authors>
  <commentList>
    <comment ref="H21" authorId="0" shapeId="0">
      <text>
        <r>
          <rPr>
            <b/>
            <sz val="9"/>
            <color indexed="81"/>
            <rFont val="Tahoma"/>
            <family val="2"/>
          </rPr>
          <t>Sandeep:</t>
        </r>
        <r>
          <rPr>
            <sz val="9"/>
            <color indexed="81"/>
            <rFont val="Tahoma"/>
            <family val="2"/>
          </rPr>
          <t xml:space="preserve">
160706_SDS: System type switched from SPVAC to PTAC to enable correct translation by OS</t>
        </r>
      </text>
    </comment>
    <comment ref="H24" authorId="0" shapeId="0">
      <text>
        <r>
          <rPr>
            <b/>
            <sz val="9"/>
            <color indexed="81"/>
            <rFont val="Tahoma"/>
            <family val="2"/>
          </rPr>
          <t>Sandeep:</t>
        </r>
        <r>
          <rPr>
            <sz val="9"/>
            <color indexed="81"/>
            <rFont val="Tahoma"/>
            <family val="2"/>
          </rPr>
          <t xml:space="preserve">
160706_SDS: System type switched from SPVAC to PTAC to enable correct translation by OS</t>
        </r>
      </text>
    </comment>
    <comment ref="H91"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102" authorId="1" shapeId="0">
      <text>
        <r>
          <rPr>
            <b/>
            <sz val="9"/>
            <color indexed="81"/>
            <rFont val="Tahoma"/>
            <family val="2"/>
          </rPr>
          <t>Ryan:</t>
        </r>
        <r>
          <rPr>
            <sz val="9"/>
            <color indexed="81"/>
            <rFont val="Tahoma"/>
            <family val="2"/>
          </rPr>
          <t xml:space="preserve">
CBECC-Com 2019.1.0:
0.78</t>
        </r>
      </text>
    </comment>
    <comment ref="H109"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N109"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P109"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R109"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109"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List>
</comments>
</file>

<file path=xl/comments8.xml><?xml version="1.0" encoding="utf-8"?>
<comments xmlns="http://schemas.openxmlformats.org/spreadsheetml/2006/main">
  <authors>
    <author>Sandeep</author>
  </authors>
  <commentList>
    <comment ref="H131"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R149"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149" authorId="0" shapeId="0">
      <text>
        <r>
          <rPr>
            <b/>
            <sz val="9"/>
            <color indexed="81"/>
            <rFont val="Tahoma"/>
            <family val="2"/>
          </rPr>
          <t>Sandeep:</t>
        </r>
        <r>
          <rPr>
            <sz val="9"/>
            <color indexed="81"/>
            <rFont val="Tahoma"/>
            <family val="2"/>
          </rPr>
          <t xml:space="preserve">
</t>
        </r>
      </text>
    </comment>
    <comment ref="H151"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P151"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H152"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P152"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H153"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P153"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H157"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P157"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
</t>
        </r>
      </text>
    </comment>
    <comment ref="H158"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P158"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
</t>
        </r>
      </text>
    </comment>
    <comment ref="H159"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P159" authorId="0" shapeId="0">
      <text>
        <r>
          <rPr>
            <b/>
            <sz val="9"/>
            <color indexed="81"/>
            <rFont val="Tahoma"/>
            <family val="2"/>
          </rPr>
          <t>Sandeep:</t>
        </r>
        <r>
          <rPr>
            <sz val="9"/>
            <color indexed="81"/>
            <rFont val="Tahoma"/>
            <family val="2"/>
          </rPr>
          <t xml:space="preserve">
The baseline Return/Relief Design Static Pressure shall be based on the design supply flow rate
&lt;10,000cfm =0.75
&gt;10,000cfm = 1
</t>
        </r>
      </text>
    </comment>
    <comment ref="H180" authorId="0" shapeId="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List>
</comments>
</file>

<file path=xl/comments9.xml><?xml version="1.0" encoding="utf-8"?>
<comments xmlns="http://schemas.openxmlformats.org/spreadsheetml/2006/main">
  <authors>
    <author>Sandeep</author>
  </authors>
  <commentList>
    <comment ref="P73" authorId="0" shapeId="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N75" authorId="0" shapeId="0">
      <text>
        <r>
          <rPr>
            <b/>
            <sz val="9"/>
            <color indexed="81"/>
            <rFont val="Tahoma"/>
            <family val="2"/>
          </rPr>
          <t xml:space="preserve">Sandeep:
</t>
        </r>
        <r>
          <rPr>
            <u/>
            <sz val="9"/>
            <color indexed="81"/>
            <rFont val="Tahoma"/>
            <family val="2"/>
          </rPr>
          <t>Chiller Type: Centrifugal, Path B Efficiency</t>
        </r>
        <r>
          <rPr>
            <sz val="9"/>
            <color indexed="81"/>
            <rFont val="Tahoma"/>
            <family val="2"/>
          </rPr>
          <t xml:space="preserve">
Cap &lt;150 Tons = 0.695 kW/Ton
Cap &lt;300 Tons = 0.635 kW/Ton
Cap &lt;400 Tons = 0.595 kW/Ton
Cap &lt;600 Tons = 0.585 kW/Ton
Cap &gt;=600 Tons = 0.585 kW/Ton
EER = 12 / (kW/ton)
COP = EER / 3.412</t>
        </r>
      </text>
    </comment>
    <comment ref="N76" authorId="0" shapeId="0">
      <text>
        <r>
          <rPr>
            <b/>
            <sz val="9"/>
            <color indexed="81"/>
            <rFont val="Tahoma"/>
            <family val="2"/>
          </rPr>
          <t>Sandeep:</t>
        </r>
        <r>
          <rPr>
            <sz val="9"/>
            <color indexed="81"/>
            <rFont val="Tahoma"/>
            <family val="2"/>
          </rPr>
          <t xml:space="preserve">
Cap &lt;75 Tons = 0.78 kW/Ton
Cap &lt;150 Tons = 0.75 kW/Ton
Cap &lt;300 Tons = 0.68 kW/Ton
Cap &gt;=300 Tons = 0.625 kW/Ton
EER = 12 / (kW/ton)
COP = EER / 3.412</t>
        </r>
      </text>
    </comment>
    <comment ref="J79" authorId="0" shapeId="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L87" authorId="0" shapeId="0">
      <text>
        <r>
          <rPr>
            <b/>
            <sz val="9"/>
            <color indexed="81"/>
            <rFont val="Tahoma"/>
            <family val="2"/>
          </rPr>
          <t>Sandeep:</t>
        </r>
        <r>
          <rPr>
            <sz val="9"/>
            <color indexed="81"/>
            <rFont val="Tahoma"/>
            <family val="2"/>
          </rPr>
          <t xml:space="preserve">
Pump Motor Power-Per-Unit-Flow: 19 W/gpm for heating hot water and service hot water pumps</t>
        </r>
      </text>
    </comment>
    <comment ref="L88" authorId="0" shapeId="0">
      <text>
        <r>
          <rPr>
            <b/>
            <sz val="9"/>
            <color indexed="81"/>
            <rFont val="Tahoma"/>
            <family val="2"/>
          </rPr>
          <t>Sandeep:</t>
        </r>
        <r>
          <rPr>
            <sz val="9"/>
            <color indexed="81"/>
            <rFont val="Tahoma"/>
            <family val="2"/>
          </rPr>
          <t xml:space="preserve">
Pump Motor Power-Per-Unit-Flow: 19 W/gpm for heating hot water and service hot water pumps</t>
        </r>
      </text>
    </comment>
    <comment ref="L89" authorId="0" shapeId="0">
      <text>
        <r>
          <rPr>
            <b/>
            <sz val="9"/>
            <color indexed="81"/>
            <rFont val="Tahoma"/>
            <family val="2"/>
          </rPr>
          <t>Sandeep:</t>
        </r>
        <r>
          <rPr>
            <sz val="9"/>
            <color indexed="81"/>
            <rFont val="Tahoma"/>
            <family val="2"/>
          </rPr>
          <t xml:space="preserve">
Pump power is calculated using the formula below - 
</t>
        </r>
        <r>
          <rPr>
            <i/>
            <sz val="9"/>
            <color indexed="81"/>
            <rFont val="Tahoma"/>
            <family val="2"/>
          </rPr>
          <t>(Flow Capacity*Total Head/3960/(Impeller Efficiency*MtrEff)*745.6/1000)</t>
        </r>
        <r>
          <rPr>
            <sz val="9"/>
            <color indexed="81"/>
            <rFont val="Tahoma"/>
            <family val="2"/>
          </rPr>
          <t xml:space="preserve">
where, 
Flow Capacity: Autosized, 
Total Head: Refer cell - P89 for  the calculation method
Impeller Efficiency: 0.7</t>
        </r>
      </text>
    </comment>
    <comment ref="L90" authorId="0" shapeId="0">
      <text>
        <r>
          <rPr>
            <b/>
            <sz val="9"/>
            <color indexed="81"/>
            <rFont val="Tahoma"/>
            <family val="2"/>
          </rPr>
          <t>Sandeep:</t>
        </r>
        <r>
          <rPr>
            <sz val="9"/>
            <color indexed="81"/>
            <rFont val="Tahoma"/>
            <family val="2"/>
          </rPr>
          <t xml:space="preserve">
Pump power is calculated using the formula below - 
(Flow Capacity*Total Head/3960/(Impeller Efficiency*MtrEff)*745.6/1000)
where, 
Flow Capacity: Autosized, 
Total Head: Refer cell - P90 for  the calculation method
Impeller Efficiency: 0.7</t>
        </r>
      </text>
    </comment>
    <comment ref="L91" authorId="0" shapeId="0">
      <text>
        <r>
          <rPr>
            <b/>
            <sz val="9"/>
            <color indexed="81"/>
            <rFont val="Tahoma"/>
            <family val="2"/>
          </rPr>
          <t>Sandeep:</t>
        </r>
        <r>
          <rPr>
            <sz val="9"/>
            <color indexed="81"/>
            <rFont val="Tahoma"/>
            <family val="2"/>
          </rPr>
          <t xml:space="preserve">
Pump power is calculated using the formula below - 
(Flow Capacity*Total Head/3960/(Impeller Efficiency*MtrEff)*745.6/1000)
where, 
Flow Capacity: Autosized, 
Total Head: Refer cell - P91, for the calculation method
Impeller Efficiency: 0.7.</t>
        </r>
      </text>
    </comment>
    <comment ref="L92" authorId="0" shapeId="0">
      <text>
        <r>
          <rPr>
            <b/>
            <sz val="9"/>
            <color indexed="81"/>
            <rFont val="Tahoma"/>
            <family val="2"/>
          </rPr>
          <t>Sandeep:</t>
        </r>
        <r>
          <rPr>
            <sz val="9"/>
            <color indexed="81"/>
            <rFont val="Tahoma"/>
            <family val="2"/>
          </rPr>
          <t xml:space="preserve">
Pump power is calculated using the formula below - 
(Flow Capacity*Total Head/3960/(Impeller Efficiency*MtrEff)*745.6/1000)
where, 
Flow Capacity: Autosized, 
Total Head: Refer cell - P92, for the calculation method
Impeller Efficiency: 0.7.</t>
        </r>
      </text>
    </comment>
    <comment ref="R130"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130"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H132"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N132"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P132"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H133"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N133"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P133"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H134"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N134"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P134"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H135"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N135"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P135"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N136"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H137"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H138"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H139"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H140"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H160" authorId="0" shapeId="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 ref="P165" authorId="0" shapeId="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R165" authorId="0" shapeId="0">
      <text>
        <r>
          <rPr>
            <b/>
            <sz val="9"/>
            <color indexed="81"/>
            <rFont val="Tahoma"/>
            <family val="2"/>
          </rPr>
          <t>Sandeep:</t>
        </r>
        <r>
          <rPr>
            <sz val="9"/>
            <color indexed="81"/>
            <rFont val="Tahoma"/>
            <family val="2"/>
          </rPr>
          <t xml:space="preserve">
The standard design 'Chiller Min Unloading Ratio' is determined based on the 'Chiller Type'.
Centrifugal = 10%
See ACM ' Default Minimum Unloading Ratios Table-48 for further details</t>
        </r>
      </text>
    </comment>
    <comment ref="F167" authorId="0" shapeId="0">
      <text>
        <r>
          <rPr>
            <b/>
            <sz val="9"/>
            <color indexed="81"/>
            <rFont val="Tahoma"/>
            <family val="2"/>
          </rPr>
          <t>Sandeep:</t>
        </r>
        <r>
          <rPr>
            <sz val="9"/>
            <color indexed="81"/>
            <rFont val="Tahoma"/>
            <family val="2"/>
          </rPr>
          <t xml:space="preserve">
'The baseline building chiller is based on the design capacity of the standard design
&lt;= 300 tons - 1 Water Cooled Screw Chiller
&gt;300, &lt;600 tons - 2 Water Cooled Screw Chiller, equally sized
&gt;=600 tons - A minimum of two Water-cooled centrifugal chillers, sized to keep the unit size below 800 tons.</t>
        </r>
      </text>
    </comment>
    <comment ref="H167" authorId="0" shapeId="0">
      <text>
        <r>
          <rPr>
            <b/>
            <sz val="9"/>
            <color indexed="81"/>
            <rFont val="Tahoma"/>
            <family val="2"/>
          </rPr>
          <t>Sandeep:</t>
        </r>
        <r>
          <rPr>
            <sz val="9"/>
            <color indexed="81"/>
            <rFont val="Tahoma"/>
            <family val="2"/>
          </rPr>
          <t xml:space="preserve">
Standard Design
The baseline chiller fuel source is always Electric.
</t>
        </r>
      </text>
    </comment>
    <comment ref="J167" authorId="0" shapeId="0">
      <text>
        <r>
          <rPr>
            <b/>
            <sz val="9"/>
            <color indexed="81"/>
            <rFont val="Tahoma"/>
            <family val="2"/>
          </rPr>
          <t>Sandeep:</t>
        </r>
        <r>
          <rPr>
            <sz val="9"/>
            <color indexed="81"/>
            <rFont val="Tahoma"/>
            <family val="2"/>
          </rPr>
          <t xml:space="preserve">
Standard Design
The baseline chiller is always assumed to have a water-cooled condenser, although the chiller type will change depending on the design capacity.</t>
        </r>
      </text>
    </comment>
    <comment ref="L167" authorId="0" shapeId="0">
      <text>
        <r>
          <rPr>
            <b/>
            <sz val="9"/>
            <color indexed="81"/>
            <rFont val="Tahoma"/>
            <family val="2"/>
          </rPr>
          <t>Sandeep:</t>
        </r>
        <r>
          <rPr>
            <sz val="9"/>
            <color indexed="81"/>
            <rFont val="Tahoma"/>
            <family val="2"/>
          </rPr>
          <t xml:space="preserve">
151106:
Auto-sized.
The full load output of the chiller operating at rating temperatures and flows including adjustment for pump heat and the project sizing ratio.</t>
        </r>
      </text>
    </comment>
    <comment ref="N167" authorId="0" shapeId="0">
      <text>
        <r>
          <rPr>
            <b/>
            <sz val="9"/>
            <color indexed="81"/>
            <rFont val="Tahoma"/>
            <family val="2"/>
          </rPr>
          <t xml:space="preserve">Sandeep:
</t>
        </r>
        <r>
          <rPr>
            <u/>
            <sz val="9"/>
            <color indexed="81"/>
            <rFont val="Tahoma"/>
            <family val="2"/>
          </rPr>
          <t>Chiller Type: Centrifugal, Path B Efficiency
Cap &lt;150 Tons = 0.695 kW/Ton
Cap &lt;300 Tons = 0.635 kW/Ton
Cap &lt;400 Tons = 0.595 kW/Ton
Cap &lt;600 Tons = 0.585 kW/Ton
Cap &gt;=600 Tons = 0.585 kW/Ton
EER = 12 / (kW/ton)
COP = EER / 3.412
Use the minimum efficiency requirements from Tables 110.2-D Path B.
If Chiller Type is Screw, use the efficiency for Positive Displacement chillers from Table 110.2-D.</t>
        </r>
      </text>
    </comment>
    <comment ref="F168" authorId="0" shapeId="0">
      <text>
        <r>
          <rPr>
            <b/>
            <sz val="9"/>
            <color indexed="81"/>
            <rFont val="Tahoma"/>
            <family val="2"/>
          </rPr>
          <t>Sandeep:</t>
        </r>
        <r>
          <rPr>
            <sz val="9"/>
            <color indexed="81"/>
            <rFont val="Tahoma"/>
            <family val="2"/>
          </rPr>
          <t xml:space="preserve">
'The baseline building chiller is based on the design capacity of the standard design
&lt;= 300 tons - 1 Water Cooled Screw Chiller
&gt;300, &lt;600 tons - 2 Water Cooled Screw Chiller, equally sized
&gt;=600 tons - A minimum of two Water-cooled centrifugal chillers, sized to keep the unit size below 800 tons.
</t>
        </r>
      </text>
    </comment>
    <comment ref="H168" authorId="0" shapeId="0">
      <text>
        <r>
          <rPr>
            <b/>
            <sz val="9"/>
            <color indexed="81"/>
            <rFont val="Tahoma"/>
            <family val="2"/>
          </rPr>
          <t>Sandeep:</t>
        </r>
        <r>
          <rPr>
            <sz val="9"/>
            <color indexed="81"/>
            <rFont val="Tahoma"/>
            <family val="2"/>
          </rPr>
          <t xml:space="preserve">
Standard Design
The baseline chiller fuel source is always Electric.</t>
        </r>
      </text>
    </comment>
    <comment ref="J168" authorId="0" shapeId="0">
      <text>
        <r>
          <rPr>
            <b/>
            <sz val="9"/>
            <color indexed="81"/>
            <rFont val="Tahoma"/>
            <family val="2"/>
          </rPr>
          <t>Sandeep:</t>
        </r>
        <r>
          <rPr>
            <sz val="9"/>
            <color indexed="81"/>
            <rFont val="Tahoma"/>
            <family val="2"/>
          </rPr>
          <t xml:space="preserve">
Standard Design
The baseline chiller is always assumed to have a water-cooled condenser, although the chiller type will change depending on the design capacity.</t>
        </r>
      </text>
    </comment>
    <comment ref="L168" authorId="0" shapeId="0">
      <text>
        <r>
          <rPr>
            <b/>
            <sz val="9"/>
            <color indexed="81"/>
            <rFont val="Tahoma"/>
            <family val="2"/>
          </rPr>
          <t>Sandeep:</t>
        </r>
        <r>
          <rPr>
            <sz val="9"/>
            <color indexed="81"/>
            <rFont val="Tahoma"/>
            <family val="2"/>
          </rPr>
          <t xml:space="preserve">
151106:
Auto-sized.
The full load output of the chiller operating at rating temperatures and flows including adjustment for pump heat and the project sizing ratio.</t>
        </r>
      </text>
    </comment>
    <comment ref="N168" authorId="0" shapeId="0">
      <text>
        <r>
          <rPr>
            <b/>
            <sz val="9"/>
            <color indexed="81"/>
            <rFont val="Tahoma"/>
            <family val="2"/>
          </rPr>
          <t>Sandeep:</t>
        </r>
        <r>
          <rPr>
            <sz val="9"/>
            <color indexed="81"/>
            <rFont val="Tahoma"/>
            <family val="2"/>
          </rPr>
          <t xml:space="preserve">
Chiller Type: Centrifugal, Path B Efficiency
Cap &lt;150 Tons = 0.695 kW/Ton
Cap &lt;300 Tons = 0.635 kW/Ton
Cap &lt;400 Tons = 0.595 kW/Ton
Cap &lt;600 Tons = 0.585 kW/Ton
Cap &gt;=600 Tons = 0.585 kW/Ton
EER = 12 / (kW/ton)
COP = EER / 3.412
Use the minimum efficiency requirements from Tables 110.2-D Path B.
If Chiller Type is Screw, use the efficiency for Positive Displacement chillers from Table 110.2-D.</t>
        </r>
      </text>
    </comment>
    <comment ref="R175"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F177" authorId="0" shapeId="0">
      <text>
        <r>
          <rPr>
            <b/>
            <sz val="9"/>
            <color indexed="81"/>
            <rFont val="Tahoma"/>
            <family val="2"/>
          </rPr>
          <t>Sandeep:</t>
        </r>
        <r>
          <rPr>
            <sz val="9"/>
            <color indexed="81"/>
            <rFont val="Tahoma"/>
            <family val="2"/>
          </rPr>
          <t xml:space="preserve">
The baseline system pumps are assumed to operate in On-Demand mode. The heating hot water pumps are tied to the boiler operation.</t>
        </r>
      </text>
    </comment>
    <comment ref="H177" authorId="0" shapeId="0">
      <text>
        <r>
          <rPr>
            <b/>
            <sz val="9"/>
            <color indexed="81"/>
            <rFont val="Tahoma"/>
            <family val="2"/>
          </rPr>
          <t>Sandeep:</t>
        </r>
        <r>
          <rPr>
            <sz val="9"/>
            <color indexed="81"/>
            <rFont val="Tahoma"/>
            <family val="2"/>
          </rPr>
          <t xml:space="preserve">
The hot water pumps shall be modeled as fixed-speed, variable flow, riding the curve.</t>
        </r>
      </text>
    </comment>
    <comment ref="J177" authorId="0" shapeId="0">
      <text>
        <r>
          <rPr>
            <b/>
            <sz val="9"/>
            <color indexed="81"/>
            <rFont val="Tahoma"/>
            <family val="2"/>
          </rPr>
          <t>Sandeep:</t>
        </r>
        <r>
          <rPr>
            <sz val="9"/>
            <color indexed="81"/>
            <rFont val="Tahoma"/>
            <family val="2"/>
          </rPr>
          <t xml:space="preserve">
Please refer to the reporting file - '040006-OffLrg-Run20 - ab - HVACPrimary.csv', for the reported design flow rate.
Alternately can be calculated using the formula below
</t>
        </r>
        <r>
          <rPr>
            <i/>
            <sz val="9"/>
            <color indexed="81"/>
            <rFont val="Tahoma"/>
            <family val="2"/>
          </rPr>
          <t>Boiler Capacity/500.19/DesignSupplyWaterDeltaT</t>
        </r>
        <r>
          <rPr>
            <sz val="9"/>
            <color indexed="81"/>
            <rFont val="Tahoma"/>
            <family val="2"/>
          </rPr>
          <t xml:space="preserve">
Where, Heat output of the boiler is calculated at full load and rated conditions.  The Design Supply Water DeltaT for boilers is 40 degF</t>
        </r>
      </text>
    </comment>
    <comment ref="L177" authorId="0" shapeId="0">
      <text>
        <r>
          <rPr>
            <b/>
            <sz val="9"/>
            <color indexed="81"/>
            <rFont val="Tahoma"/>
            <family val="2"/>
          </rPr>
          <t>Sandeep:</t>
        </r>
        <r>
          <rPr>
            <sz val="9"/>
            <color indexed="81"/>
            <rFont val="Tahoma"/>
            <family val="2"/>
          </rPr>
          <t xml:space="preserve">
Pump Motor Power-Per-Unit-Flow: 19 W/gpm for heating hot water and service hot water pumps</t>
        </r>
      </text>
    </comment>
    <comment ref="N177" authorId="0" shapeId="0">
      <text>
        <r>
          <rPr>
            <b/>
            <sz val="9"/>
            <color indexed="81"/>
            <rFont val="Tahoma"/>
            <family val="2"/>
          </rPr>
          <t>Sandeep:</t>
        </r>
        <r>
          <rPr>
            <sz val="9"/>
            <color indexed="81"/>
            <rFont val="Tahoma"/>
            <family val="2"/>
          </rPr>
          <t xml:space="preserve">
The next motor size shall be chosen from the list of standard motor sizes based on the auto-calculated MtrHP 
Standard Motor sizes: 1/12, 1/8, ¼, ½, ¾, 1, 1.5, 2, 3, 5, 7.5, 10, 15, 20, 25, 30, 40, 50, 60, 75, 100, 125, 150, 200.</t>
        </r>
      </text>
    </comment>
    <comment ref="P177" authorId="0" shapeId="0">
      <text>
        <r>
          <rPr>
            <b/>
            <sz val="9"/>
            <color indexed="81"/>
            <rFont val="Tahoma"/>
            <family val="2"/>
          </rPr>
          <t>Sandeep:</t>
        </r>
        <r>
          <rPr>
            <sz val="9"/>
            <color indexed="81"/>
            <rFont val="Tahoma"/>
            <family val="2"/>
          </rPr>
          <t xml:space="preserve">
The pump total head for HW pumps is calculated using the formula below-
(Power-Per-Unit-Flow/745.6*3960*Motor Efficiency* Impeller Efficiency)
where, 
Power per Unit Flow for HW pumps:19 W/gpm (refer Cell L179)
Impeller Efficiency: 0.7</t>
        </r>
      </text>
    </comment>
    <comment ref="R177"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J178" authorId="0" shapeId="0">
      <text>
        <r>
          <rPr>
            <b/>
            <sz val="9"/>
            <color indexed="81"/>
            <rFont val="Tahoma"/>
            <family val="2"/>
          </rPr>
          <t>Sandeep:</t>
        </r>
        <r>
          <rPr>
            <sz val="9"/>
            <color indexed="81"/>
            <rFont val="Tahoma"/>
            <family val="2"/>
          </rPr>
          <t xml:space="preserve">
'Please refer to the reporting file - '040006-OffLrg-Run20 - ab - HVACPrimary.csv', for the reported design flow rate.
Alternately can be calculated using the formula below
</t>
        </r>
        <r>
          <rPr>
            <i/>
            <sz val="9"/>
            <color indexed="81"/>
            <rFont val="Tahoma"/>
            <family val="2"/>
          </rPr>
          <t xml:space="preserve">
Cooling Tower Rated Capacity/500.19/Design Supply Water DeltaT</t>
        </r>
        <r>
          <rPr>
            <sz val="9"/>
            <color indexed="81"/>
            <rFont val="Tahoma"/>
            <family val="2"/>
          </rPr>
          <t xml:space="preserve">
where, the cooling capacity of the heat rejection device is calculated at full load and rated conditions, adjusted for pump heat and the project cooling sizing ratio. The Design Supply Water DeltaT for cooling towers is 10 degF</t>
        </r>
      </text>
    </comment>
    <comment ref="L178" authorId="0" shapeId="0">
      <text>
        <r>
          <rPr>
            <b/>
            <sz val="9"/>
            <color indexed="81"/>
            <rFont val="Tahoma"/>
            <family val="2"/>
          </rPr>
          <t>Sandeep:</t>
        </r>
        <r>
          <rPr>
            <sz val="9"/>
            <color indexed="81"/>
            <rFont val="Tahoma"/>
            <family val="2"/>
          </rPr>
          <t xml:space="preserve">
Pump power is calculated using the formula below - 
</t>
        </r>
        <r>
          <rPr>
            <i/>
            <sz val="9"/>
            <color indexed="81"/>
            <rFont val="Tahoma"/>
            <family val="2"/>
          </rPr>
          <t>(Flow Capacity*Total Head/3960/(Impeller Efficiency*MtrEff)*745.6/1000)</t>
        </r>
        <r>
          <rPr>
            <sz val="9"/>
            <color indexed="81"/>
            <rFont val="Tahoma"/>
            <family val="2"/>
          </rPr>
          <t xml:space="preserve">
where, 
Flow capacity: Autosized 
Total Head: Refer to P182), for the calculation method
Impeller Efficiency:0.7</t>
        </r>
      </text>
    </comment>
    <comment ref="N178" authorId="0" shapeId="0">
      <text>
        <r>
          <rPr>
            <b/>
            <sz val="9"/>
            <color indexed="81"/>
            <rFont val="Tahoma"/>
            <family val="2"/>
          </rPr>
          <t>Sandeep:</t>
        </r>
        <r>
          <rPr>
            <sz val="9"/>
            <color indexed="81"/>
            <rFont val="Tahoma"/>
            <family val="2"/>
          </rPr>
          <t xml:space="preserve">
The next motor size shall be chosen from the list of standard motor sizes based on the auto-calculated MtrHP 
Standard Motor sizes: 1/12, 1/8, ¼, ½, ¾, 1, 1.5, 2, 3, 5, 7.5, 10, 15, 20, 25, 30, 40, 50, 60, 75, 100, 125, 150, 200.</t>
        </r>
      </text>
    </comment>
    <comment ref="P178" authorId="0" shapeId="0">
      <text>
        <r>
          <rPr>
            <b/>
            <sz val="9"/>
            <color indexed="81"/>
            <rFont val="Tahoma"/>
            <family val="2"/>
          </rPr>
          <t>Sandeep:</t>
        </r>
        <r>
          <rPr>
            <sz val="9"/>
            <color indexed="81"/>
            <rFont val="Tahoma"/>
            <family val="2"/>
          </rPr>
          <t xml:space="preserve">
For condenser water pumps, Head: 45 ft</t>
        </r>
      </text>
    </comment>
    <comment ref="R178"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J179" authorId="0" shapeId="0">
      <text>
        <r>
          <rPr>
            <b/>
            <sz val="9"/>
            <color indexed="81"/>
            <rFont val="Tahoma"/>
            <family val="2"/>
          </rPr>
          <t>Sandeep:</t>
        </r>
        <r>
          <rPr>
            <sz val="9"/>
            <color indexed="81"/>
            <rFont val="Tahoma"/>
            <family val="2"/>
          </rPr>
          <t xml:space="preserve">
'Please refer to the reporting file - '040006-OffLrg-Run20 - ap - HVACPrimary.csv', for the reported design flow rate.
Alternately can be calculated using the formula below
Chiller Rated Capacity/500.19/Design Supply Water DeltaT
where, the cooling capacity of the heat rejection device is calculated at full load and rated conditions, adjusted for pump heat and the project cooling sizing ratio. The Design Supply Water DeltaT for cooling towers is 20 degF</t>
        </r>
      </text>
    </comment>
    <comment ref="L179" authorId="0" shapeId="0">
      <text>
        <r>
          <rPr>
            <b/>
            <sz val="9"/>
            <color indexed="81"/>
            <rFont val="Tahoma"/>
            <family val="2"/>
          </rPr>
          <t>Sandeep:</t>
        </r>
        <r>
          <rPr>
            <sz val="9"/>
            <color indexed="81"/>
            <rFont val="Tahoma"/>
            <family val="2"/>
          </rPr>
          <t xml:space="preserve">
Pump power is calculated using the formula below - 
(Flow Capacity*Total Head/3960/(Impeller Efficiency*MtrEff)*745.6/1000)
where, 
Flow Capacity: Autosized, 
Total Head: Refer cell - P185, for the calculation method
Impeller Efficiency: 0.7.</t>
        </r>
      </text>
    </comment>
    <comment ref="N179" authorId="0" shapeId="0">
      <text>
        <r>
          <rPr>
            <b/>
            <sz val="9"/>
            <color indexed="81"/>
            <rFont val="Tahoma"/>
            <family val="2"/>
          </rPr>
          <t>Sandeep:</t>
        </r>
        <r>
          <rPr>
            <sz val="9"/>
            <color indexed="81"/>
            <rFont val="Tahoma"/>
            <family val="2"/>
          </rPr>
          <t xml:space="preserve">
The next motor size shall be chosen from the list of standard motor sizes based on the auto-calculated MtrHP 
Standard Motor sizes: 1/12, 1/8, ¼, ½, ¾, 1, 1.5, 2, 3, 5, 7.5, 10, 15, 20, 25, 30, 40, 50, 60, 75, 100, 125, 150, 200.</t>
        </r>
      </text>
    </comment>
    <comment ref="P179" authorId="0" shapeId="0">
      <text>
        <r>
          <rPr>
            <b/>
            <sz val="9"/>
            <color indexed="81"/>
            <rFont val="Tahoma"/>
            <family val="2"/>
          </rPr>
          <t>Sandeep:</t>
        </r>
        <r>
          <rPr>
            <sz val="9"/>
            <color indexed="81"/>
            <rFont val="Tahoma"/>
            <family val="2"/>
          </rPr>
          <t xml:space="preserve">
For chilled water pumps, 40 ft plus an additional allowance of 0.03 ft/ton, but not to exceed 100 ft. (See formula in the cell above)</t>
        </r>
      </text>
    </comment>
    <comment ref="R179"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F180" authorId="0" shapeId="0">
      <text>
        <r>
          <rPr>
            <b/>
            <sz val="9"/>
            <color indexed="81"/>
            <rFont val="Tahoma"/>
            <family val="2"/>
          </rPr>
          <t>Sandeep:</t>
        </r>
        <r>
          <rPr>
            <sz val="9"/>
            <color indexed="81"/>
            <rFont val="Tahoma"/>
            <family val="2"/>
          </rPr>
          <t xml:space="preserve">
The baseline system pumps are assumed to operate in On-Demand mode. The heating hot water pumps are tied to the boiler operation.</t>
        </r>
      </text>
    </comment>
    <comment ref="H180" authorId="0" shapeId="0">
      <text>
        <r>
          <rPr>
            <b/>
            <sz val="9"/>
            <color indexed="81"/>
            <rFont val="Tahoma"/>
            <family val="2"/>
          </rPr>
          <t>Sandeep:</t>
        </r>
        <r>
          <rPr>
            <sz val="9"/>
            <color indexed="81"/>
            <rFont val="Tahoma"/>
            <family val="2"/>
          </rPr>
          <t xml:space="preserve">
The hot water pumps shall be modeled as fixed-speed, variable flow, riding the curve.</t>
        </r>
      </text>
    </comment>
    <comment ref="J180" authorId="0" shapeId="0">
      <text>
        <r>
          <rPr>
            <b/>
            <sz val="9"/>
            <color indexed="81"/>
            <rFont val="Tahoma"/>
            <family val="2"/>
          </rPr>
          <t>Sandeep:</t>
        </r>
        <r>
          <rPr>
            <sz val="9"/>
            <color indexed="81"/>
            <rFont val="Tahoma"/>
            <family val="2"/>
          </rPr>
          <t xml:space="preserve">
Please refer to the reporting file - '040006-OffLrg-Run20 - ab - HVACPrimary.csv', for the reported design flow rate.
Alternately can be calculated using the formula below
</t>
        </r>
        <r>
          <rPr>
            <i/>
            <sz val="9"/>
            <color indexed="81"/>
            <rFont val="Tahoma"/>
            <family val="2"/>
          </rPr>
          <t xml:space="preserve">
Boiler Capacity/500.19/DesignSupplyWaterDeltaT
</t>
        </r>
        <r>
          <rPr>
            <sz val="9"/>
            <color indexed="81"/>
            <rFont val="Tahoma"/>
            <family val="2"/>
          </rPr>
          <t xml:space="preserve">
Where, Heat output of the boiler is calculated at full load and rated conditions.  The Design Supply Water DeltaT for boilers is 40 degF</t>
        </r>
      </text>
    </comment>
    <comment ref="L180" authorId="0" shapeId="0">
      <text>
        <r>
          <rPr>
            <b/>
            <sz val="9"/>
            <color indexed="81"/>
            <rFont val="Tahoma"/>
            <family val="2"/>
          </rPr>
          <t>Sandeep:</t>
        </r>
        <r>
          <rPr>
            <sz val="9"/>
            <color indexed="81"/>
            <rFont val="Tahoma"/>
            <family val="2"/>
          </rPr>
          <t xml:space="preserve">
Pump Motor Power-Per-Unit-Flow: 19 W/gpm for heating hot water and service hot water pumps</t>
        </r>
      </text>
    </comment>
    <comment ref="N180" authorId="0" shapeId="0">
      <text>
        <r>
          <rPr>
            <b/>
            <sz val="9"/>
            <color indexed="81"/>
            <rFont val="Tahoma"/>
            <family val="2"/>
          </rPr>
          <t>Sandeep:</t>
        </r>
        <r>
          <rPr>
            <sz val="9"/>
            <color indexed="81"/>
            <rFont val="Tahoma"/>
            <family val="2"/>
          </rPr>
          <t xml:space="preserve">
The next motor size shall be chosen from the list of standard motor sizes based on the auto-calculated MtrHP 
Standard Motor sizes: 1/12, 1/8, ¼, ½, ¾, 1, 1.5, 2, 3, 5, 7.5, 10, 15, 20, 25, 30, 40, 50, 60, 75, 100, 125, 150, 200.</t>
        </r>
      </text>
    </comment>
    <comment ref="P180" authorId="0" shapeId="0">
      <text>
        <r>
          <rPr>
            <b/>
            <sz val="9"/>
            <color indexed="81"/>
            <rFont val="Tahoma"/>
            <family val="2"/>
          </rPr>
          <t>Sandeep:</t>
        </r>
        <r>
          <rPr>
            <sz val="9"/>
            <color indexed="81"/>
            <rFont val="Tahoma"/>
            <family val="2"/>
          </rPr>
          <t xml:space="preserve">
The pump total head for HW pumps is calculated using the formula below-
(Power-Per-Unit-Flow/745.6*3960*Motor Efficiency* Impeller Efficiency)
where, 
Power per Unit Flow for HW pumps:19 W/gpm (refer Cell L180)
Impeller Efficiency: 0.7</t>
        </r>
      </text>
    </comment>
    <comment ref="R180"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J181" authorId="0" shapeId="0">
      <text>
        <r>
          <rPr>
            <b/>
            <sz val="9"/>
            <color indexed="81"/>
            <rFont val="Tahoma"/>
            <family val="2"/>
          </rPr>
          <t>Sandeep:</t>
        </r>
        <r>
          <rPr>
            <sz val="9"/>
            <color indexed="81"/>
            <rFont val="Tahoma"/>
            <family val="2"/>
          </rPr>
          <t xml:space="preserve">
'Please refer to the reporting file - '040006-OffLrg-Run20 - ap - HVACPrimary.csv', for the reported design flow rate.
Alternately can be calculated using the formula below
Chiller Rated Capacity/500.19/Design Supply Water DeltaT
where, the cooling capacity of the heat rejection device is calculated at full load and rated conditions, adjusted for pump heat and the project cooling sizing ratio. The Design Supply Water DeltaT for cooling towers is 20 degF</t>
        </r>
      </text>
    </comment>
    <comment ref="L181" authorId="0" shapeId="0">
      <text>
        <r>
          <rPr>
            <b/>
            <sz val="9"/>
            <color indexed="81"/>
            <rFont val="Tahoma"/>
            <family val="2"/>
          </rPr>
          <t>Sandeep:</t>
        </r>
        <r>
          <rPr>
            <sz val="9"/>
            <color indexed="81"/>
            <rFont val="Tahoma"/>
            <family val="2"/>
          </rPr>
          <t xml:space="preserve">
Pump power is calculated using the formula below - 
(Flow Capacity*Total Head/3960/(Impeller Efficiency*MtrEff)*745.6/1000)
where, 
Flow Capacity: Autosized, 
Total Head: Refer cell - P186, for the calculation method
Impeller Efficiency: 0.7.</t>
        </r>
      </text>
    </comment>
    <comment ref="N181" authorId="0" shapeId="0">
      <text>
        <r>
          <rPr>
            <b/>
            <sz val="9"/>
            <color indexed="81"/>
            <rFont val="Tahoma"/>
            <family val="2"/>
          </rPr>
          <t>Sandeep:</t>
        </r>
        <r>
          <rPr>
            <sz val="9"/>
            <color indexed="81"/>
            <rFont val="Tahoma"/>
            <family val="2"/>
          </rPr>
          <t xml:space="preserve">
The next motor size shall be chosen from the list of standard motor sizes based on the auto-calculated MtrHP 
Standard Motor sizes: 1/12, 1/8, ¼, ½, ¾, 1, 1.5, 2, 3, 5, 7.5, 10, 15, 20, 25, 30, 40, 50, 60, 75, 100, 125, 150, 200.</t>
        </r>
      </text>
    </comment>
    <comment ref="P181" authorId="0" shapeId="0">
      <text>
        <r>
          <rPr>
            <b/>
            <sz val="9"/>
            <color indexed="81"/>
            <rFont val="Tahoma"/>
            <family val="2"/>
          </rPr>
          <t>Sandeep:</t>
        </r>
        <r>
          <rPr>
            <sz val="9"/>
            <color indexed="81"/>
            <rFont val="Tahoma"/>
            <family val="2"/>
          </rPr>
          <t xml:space="preserve">
For chilled water pumps, 40 ft plus an additional allowance of 0.03 ft/ton, but not to exceed 100 ft. (See formula in the cell above)</t>
        </r>
      </text>
    </comment>
    <comment ref="R181"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J182" authorId="0" shapeId="0">
      <text>
        <r>
          <rPr>
            <b/>
            <sz val="9"/>
            <color indexed="81"/>
            <rFont val="Tahoma"/>
            <family val="2"/>
          </rPr>
          <t>Sandeep:</t>
        </r>
        <r>
          <rPr>
            <sz val="9"/>
            <color indexed="81"/>
            <rFont val="Tahoma"/>
            <family val="2"/>
          </rPr>
          <t xml:space="preserve">
'Please refer to the reporting file - '040006-OffLrg-Run20 - ab - HVACPrimary.csv', for the reported design flow rate.
Alternately can be calculated using the formula below
</t>
        </r>
        <r>
          <rPr>
            <i/>
            <sz val="9"/>
            <color indexed="81"/>
            <rFont val="Tahoma"/>
            <family val="2"/>
          </rPr>
          <t>Cooling Tower Rated Capacity/500.19/Design Supply Water DeltaT</t>
        </r>
        <r>
          <rPr>
            <sz val="9"/>
            <color indexed="81"/>
            <rFont val="Tahoma"/>
            <family val="2"/>
          </rPr>
          <t xml:space="preserve">
where, the cooling capacity of the heat rejection device is calculated at full load and rated conditions, adjusted for pump heat and the project cooling sizing ratio. The Design Supply Water DeltaT for cooling towers is 10 degF</t>
        </r>
      </text>
    </comment>
    <comment ref="L182" authorId="0" shapeId="0">
      <text>
        <r>
          <rPr>
            <b/>
            <sz val="9"/>
            <color indexed="81"/>
            <rFont val="Tahoma"/>
            <family val="2"/>
          </rPr>
          <t>Sandeep:</t>
        </r>
        <r>
          <rPr>
            <sz val="9"/>
            <color indexed="81"/>
            <rFont val="Tahoma"/>
            <family val="2"/>
          </rPr>
          <t xml:space="preserve">
Pump power is calculated using the formula below - 
(Flow Capacity*Total Head/3960/(Impeller Efficiency*MtrEff)*745.6/1000)
where, 
Flow capacity: Autosized 
Total Head: Refer to P183), for the calculation method
Impeller Efficiency:0.7</t>
        </r>
      </text>
    </comment>
    <comment ref="N182" authorId="0" shapeId="0">
      <text>
        <r>
          <rPr>
            <b/>
            <sz val="9"/>
            <color indexed="81"/>
            <rFont val="Tahoma"/>
            <family val="2"/>
          </rPr>
          <t>Sandeep:</t>
        </r>
        <r>
          <rPr>
            <sz val="9"/>
            <color indexed="81"/>
            <rFont val="Tahoma"/>
            <family val="2"/>
          </rPr>
          <t xml:space="preserve">
The next motor size shall be chosen from the list of standard motor sizes based on the auto-calculated MtrHP 
Standard Motor sizes: 1/12, 1/8, ¼, ½, ¾, 1, 1.5, 2, 3, 5, 7.5, 10, 15, 20, 25, 30, 40, 50, 60, 75, 100, 125, 150, 200.</t>
        </r>
      </text>
    </comment>
    <comment ref="P182" authorId="0" shapeId="0">
      <text>
        <r>
          <rPr>
            <b/>
            <sz val="9"/>
            <color indexed="81"/>
            <rFont val="Tahoma"/>
            <family val="2"/>
          </rPr>
          <t>Sandeep:</t>
        </r>
        <r>
          <rPr>
            <sz val="9"/>
            <color indexed="81"/>
            <rFont val="Tahoma"/>
            <family val="2"/>
          </rPr>
          <t xml:space="preserve">
For condenser water pumps, Head: 45 ft</t>
        </r>
      </text>
    </comment>
    <comment ref="R182"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N187" authorId="0" shapeId="0">
      <text>
        <r>
          <rPr>
            <b/>
            <sz val="9"/>
            <color indexed="81"/>
            <rFont val="Tahoma"/>
            <family val="2"/>
          </rPr>
          <t>Sandeep:</t>
        </r>
        <r>
          <rPr>
            <sz val="9"/>
            <color indexed="81"/>
            <rFont val="Tahoma"/>
            <family val="2"/>
          </rPr>
          <t xml:space="preserve">
The cooling tower fan horsepower is 60 gpm/hp.</t>
        </r>
      </text>
    </comment>
    <comment ref="N188" authorId="0" shapeId="0">
      <text>
        <r>
          <rPr>
            <b/>
            <sz val="9"/>
            <color indexed="81"/>
            <rFont val="Tahoma"/>
            <family val="2"/>
          </rPr>
          <t>Sandeep:</t>
        </r>
        <r>
          <rPr>
            <sz val="9"/>
            <color indexed="81"/>
            <rFont val="Tahoma"/>
            <family val="2"/>
          </rPr>
          <t xml:space="preserve">
The cooling tower fan horsepower is 60 gpm/hp.</t>
        </r>
      </text>
    </comment>
  </commentList>
</comments>
</file>

<file path=xl/sharedStrings.xml><?xml version="1.0" encoding="utf-8"?>
<sst xmlns="http://schemas.openxmlformats.org/spreadsheetml/2006/main" count="19631" uniqueCount="1545">
  <si>
    <t xml:space="preserve">Test Name </t>
  </si>
  <si>
    <t>Model File Name</t>
  </si>
  <si>
    <t>Date Tested</t>
  </si>
  <si>
    <t xml:space="preserve">Testing Performed by </t>
  </si>
  <si>
    <t>Sandeep Doddaballapur</t>
  </si>
  <si>
    <t>General Details</t>
  </si>
  <si>
    <t>Model/Software Details</t>
  </si>
  <si>
    <t>CBECC Software</t>
  </si>
  <si>
    <t>Model Revision no.</t>
  </si>
  <si>
    <t>Envelope Components</t>
  </si>
  <si>
    <t>Roof</t>
  </si>
  <si>
    <t>Construction Assembly Type</t>
  </si>
  <si>
    <t>WoodFramingAndOtherWall</t>
  </si>
  <si>
    <t>X</t>
  </si>
  <si>
    <t>-</t>
  </si>
  <si>
    <t>Exterior Wall</t>
  </si>
  <si>
    <t>MetalFrameWall</t>
  </si>
  <si>
    <t>Opaque</t>
  </si>
  <si>
    <t>Fenestrations</t>
  </si>
  <si>
    <t>FixedWindow</t>
  </si>
  <si>
    <t>Window</t>
  </si>
  <si>
    <t>Skylights</t>
  </si>
  <si>
    <t>SHGC</t>
  </si>
  <si>
    <t>ConsAssmRef:Name</t>
  </si>
  <si>
    <t>ConsAssmRef:Ufactor</t>
  </si>
  <si>
    <t>ConsType</t>
  </si>
  <si>
    <t>FenConsRef:FenProdType</t>
  </si>
  <si>
    <t>FenConsRef:Ufactor</t>
  </si>
  <si>
    <t>FenConsRef:SHGC</t>
  </si>
  <si>
    <t>FenConsRef:VT</t>
  </si>
  <si>
    <t>WoodFramingAndOtherRoof</t>
  </si>
  <si>
    <t>Construction Assembly Name</t>
  </si>
  <si>
    <t xml:space="preserve">Layers -1 </t>
  </si>
  <si>
    <t>Layers -2</t>
  </si>
  <si>
    <t>Layers -3</t>
  </si>
  <si>
    <t>Layers -4</t>
  </si>
  <si>
    <t>Layers -5</t>
  </si>
  <si>
    <t>Proposed</t>
  </si>
  <si>
    <t>Above-grade Floor</t>
  </si>
  <si>
    <t>Visual Transmittance</t>
  </si>
  <si>
    <t>NACM_Roof</t>
  </si>
  <si>
    <t>NACM_Wood Framed Wall</t>
  </si>
  <si>
    <t>MassFloor</t>
  </si>
  <si>
    <t>OtherFloor</t>
  </si>
  <si>
    <t>NACM_Conc Raised FLr</t>
  </si>
  <si>
    <t>NACM_Ext. Soffit</t>
  </si>
  <si>
    <t>FenConsRef:Name</t>
  </si>
  <si>
    <t>FenConsRef:UFactor</t>
  </si>
  <si>
    <t>Baseline</t>
  </si>
  <si>
    <t>Slope Category</t>
  </si>
  <si>
    <t>SlopeType</t>
  </si>
  <si>
    <t>Steep</t>
  </si>
  <si>
    <t>OtherFloorU071</t>
  </si>
  <si>
    <t>Constructions/Layers</t>
  </si>
  <si>
    <t xml:space="preserve">Climate Zone </t>
  </si>
  <si>
    <t>CZ-15</t>
  </si>
  <si>
    <t>CZ-06</t>
  </si>
  <si>
    <t>On/Below Grade Floor</t>
  </si>
  <si>
    <t>NACM_Metal Framed Wall</t>
  </si>
  <si>
    <t>NACM_Slab Floor</t>
  </si>
  <si>
    <t>NA (Slab -on grade)</t>
  </si>
  <si>
    <t>MetalFrameWallU062</t>
  </si>
  <si>
    <t>OtherFloorU039</t>
  </si>
  <si>
    <t>SlabOnOrBelowGradeF073</t>
  </si>
  <si>
    <t>Building Geometry</t>
  </si>
  <si>
    <t>CondWWR</t>
  </si>
  <si>
    <t>NorthCondWWR</t>
  </si>
  <si>
    <t>EastCondWWR</t>
  </si>
  <si>
    <t>SouthCondWWR</t>
  </si>
  <si>
    <t>WestCondWWR</t>
  </si>
  <si>
    <t>NACM_Mtl Framed Wall</t>
  </si>
  <si>
    <t>NACM_Ext.Conc Raised FLr</t>
  </si>
  <si>
    <t>FlatResWoodFramingAndOtherRoofU028</t>
  </si>
  <si>
    <t>Residential Roof</t>
  </si>
  <si>
    <t>Non-Residential Roof</t>
  </si>
  <si>
    <t>Window Res Operable</t>
  </si>
  <si>
    <t>Window Non-res Fixed</t>
  </si>
  <si>
    <t>OperableWindow</t>
  </si>
  <si>
    <t>Residential - Exterior Wall</t>
  </si>
  <si>
    <t>Residential - Roof</t>
  </si>
  <si>
    <t>NonResidential - Roof</t>
  </si>
  <si>
    <t>NonResidential - Exterior Wall</t>
  </si>
  <si>
    <t>Residential and NonResidential - Above-grade Floor</t>
  </si>
  <si>
    <t>(Frac)</t>
  </si>
  <si>
    <t>Basement Spc</t>
  </si>
  <si>
    <t>Core_bottom</t>
  </si>
  <si>
    <t>GroundFloor_Plenum</t>
  </si>
  <si>
    <t>Perimeter_bot_ZN_1</t>
  </si>
  <si>
    <t>Perimeter_bot_ZN_2</t>
  </si>
  <si>
    <t>Perimeter_bot_ZN_3</t>
  </si>
  <si>
    <t>Perimeter_bot_ZN_4</t>
  </si>
  <si>
    <t>Core_hi</t>
  </si>
  <si>
    <t>HiFloor_Plenum</t>
  </si>
  <si>
    <t>Perimeter_hi_ZN_1</t>
  </si>
  <si>
    <t>Perimeter_hi_ZN_2</t>
  </si>
  <si>
    <t>Perimeter_hi_ZN_3</t>
  </si>
  <si>
    <t>Perimeter_hi_ZN_4</t>
  </si>
  <si>
    <t>Core_mid</t>
  </si>
  <si>
    <t>MidFloor_Plenum</t>
  </si>
  <si>
    <t>Perimeter_mid_ZN_1</t>
  </si>
  <si>
    <t>Perimeter_mid_ZN_2</t>
  </si>
  <si>
    <t>Perimeter_mid_ZN_3</t>
  </si>
  <si>
    <t>Perimeter_mid_ZN_4</t>
  </si>
  <si>
    <t>Core_top</t>
  </si>
  <si>
    <t>Perimeter_top_ZN_1</t>
  </si>
  <si>
    <t>Perimeter_top_ZN_2</t>
  </si>
  <si>
    <t>Perimeter_top_ZN_3</t>
  </si>
  <si>
    <t>Perimeter_top_ZN_4</t>
  </si>
  <si>
    <t>TopFloor_Plenum</t>
  </si>
  <si>
    <t>(ft2)</t>
  </si>
  <si>
    <t>Version of Ruleset (Trunk rev. No.)</t>
  </si>
  <si>
    <t>FlrArea</t>
  </si>
  <si>
    <t>SkylitDaylitArea</t>
  </si>
  <si>
    <t>SkylitDayltgCtrlLtgFrac</t>
  </si>
  <si>
    <t>Internal Load Components</t>
  </si>
  <si>
    <t>(ppl/1000ft2)</t>
  </si>
  <si>
    <t>Retail Merchandise Sales, Wholesale Showroom</t>
  </si>
  <si>
    <t>Office (Greater than 250 square feet in floor area)</t>
  </si>
  <si>
    <t>Unoccupied-Exclude from Gross Floor Area</t>
  </si>
  <si>
    <t>Lobby, Main Entry</t>
  </si>
  <si>
    <t>Corridors, Restrooms, Stairs, and Support Areas</t>
  </si>
  <si>
    <t>Medical and Clinical Care</t>
  </si>
  <si>
    <t>Convention, Conference, Multipurpose and Meeting Center Areas</t>
  </si>
  <si>
    <t>LPD - Schedule Name</t>
  </si>
  <si>
    <t>EPD - Schedule Name</t>
  </si>
  <si>
    <t>RetailOccupancy</t>
  </si>
  <si>
    <t>AssemblyOccupancy</t>
  </si>
  <si>
    <t>OfficeOccupancy</t>
  </si>
  <si>
    <t>HealthOccupancy</t>
  </si>
  <si>
    <t>RetailLights</t>
  </si>
  <si>
    <t>OfficeLights</t>
  </si>
  <si>
    <t>HealthLights</t>
  </si>
  <si>
    <t>AssemblyLights</t>
  </si>
  <si>
    <t>RetailReceptacle</t>
  </si>
  <si>
    <t>OfficeReceptacle</t>
  </si>
  <si>
    <t>HealthReceptacle</t>
  </si>
  <si>
    <t>AssemblyReceptacle</t>
  </si>
  <si>
    <t>Type</t>
  </si>
  <si>
    <t>Space Name</t>
  </si>
  <si>
    <t>Skylight</t>
  </si>
  <si>
    <t>ConsAssmRef:CRRCAgedEmittance</t>
  </si>
  <si>
    <t>ConsAssmRef:ExtThrmlAbs</t>
  </si>
  <si>
    <t>ConsAssmRef:CRRCAgedRefl</t>
  </si>
  <si>
    <t>ConsAssmRef:ExtSolAbs</t>
  </si>
  <si>
    <t>Layers -6</t>
  </si>
  <si>
    <t>OccDens</t>
  </si>
  <si>
    <t>OccSchRef:Name</t>
  </si>
  <si>
    <t>OccSensHtRt</t>
  </si>
  <si>
    <t>OccLatHtRt</t>
  </si>
  <si>
    <t>IntLPDReg</t>
  </si>
  <si>
    <t>IntLtgRegSchRef:Name</t>
  </si>
  <si>
    <t>RecptPwrDens</t>
  </si>
  <si>
    <t>RecptSchRef:Name</t>
  </si>
  <si>
    <t>(W/ft2)</t>
  </si>
  <si>
    <t>(cfm/ft2)</t>
  </si>
  <si>
    <t>Occupancy Density - Schedule Name</t>
  </si>
  <si>
    <t>CondSRR</t>
  </si>
  <si>
    <t>ConsAssmRef:FFactor</t>
  </si>
  <si>
    <t>UndgrFlr:Area</t>
  </si>
  <si>
    <t>UndgrFlr:PerimExposed</t>
  </si>
  <si>
    <t>FirstFloor_Plenum</t>
  </si>
  <si>
    <t>Interior Lighting Specification Method</t>
  </si>
  <si>
    <t>Tailored Method</t>
  </si>
  <si>
    <t>Lighting Power Density (General Lighting)</t>
  </si>
  <si>
    <t>(Watts)</t>
  </si>
  <si>
    <t>Power adjustment factor</t>
  </si>
  <si>
    <t>BaseAirSys3</t>
  </si>
  <si>
    <t>SZAC</t>
  </si>
  <si>
    <t>Core_ZN Thermal Zone</t>
  </si>
  <si>
    <t>Perimeter_ZN_1 Thermal Zone</t>
  </si>
  <si>
    <t>Perimeter_ZN_2 Thermal Zone</t>
  </si>
  <si>
    <t>Perimeter_ZN_3 Thermal Zone</t>
  </si>
  <si>
    <t>Perimeter_ZN_4 Thermal Zone</t>
  </si>
  <si>
    <t>DirectExpansion</t>
  </si>
  <si>
    <t>BaseSys3 CoilClg</t>
  </si>
  <si>
    <t>BaseSys3 CoilHtg</t>
  </si>
  <si>
    <t>Thermal Efficiency</t>
  </si>
  <si>
    <t>CoreZnSupplyFan</t>
  </si>
  <si>
    <t>Perim1ZnSupplyFan</t>
  </si>
  <si>
    <t>Perim2ZnSupplyFan</t>
  </si>
  <si>
    <t>Perim3ZnSupplyFan</t>
  </si>
  <si>
    <t>Perim4ZnSupplyFan</t>
  </si>
  <si>
    <t>Motor Efficiency</t>
  </si>
  <si>
    <t>Brake Horse Power</t>
  </si>
  <si>
    <t>Control Method</t>
  </si>
  <si>
    <t>Constant Volume</t>
  </si>
  <si>
    <t>Availability Schedule</t>
  </si>
  <si>
    <t>OfficeHVACAvail</t>
  </si>
  <si>
    <t>Daylighting</t>
  </si>
  <si>
    <t>Commercial and Industrial Storage Areas (conditioned or unconditioned)</t>
  </si>
  <si>
    <t>Space Function</t>
  </si>
  <si>
    <t>(lux)</t>
  </si>
  <si>
    <t>CoreZnCoolingCoil</t>
  </si>
  <si>
    <t>Perim1ZnCoolingCoil</t>
  </si>
  <si>
    <t>Perim2ZnCoolingCoil</t>
  </si>
  <si>
    <t>Perim3ZnCoolingCoil</t>
  </si>
  <si>
    <t>Perim4ZnCoolingCoil</t>
  </si>
  <si>
    <t>CoreZnHeatingCoil</t>
  </si>
  <si>
    <t>Perim1ZnHeatingCoil</t>
  </si>
  <si>
    <t>Perim2ZnHeatingCoil</t>
  </si>
  <si>
    <t>Perim3ZnHeatingCoil</t>
  </si>
  <si>
    <t>Perim4ZnHeatingCoil</t>
  </si>
  <si>
    <t>Thermal Zone</t>
  </si>
  <si>
    <t>Name</t>
  </si>
  <si>
    <t>System Oversizing factor</t>
  </si>
  <si>
    <t>Overall Fan Efficiency</t>
  </si>
  <si>
    <t>Name Plate Horse Power</t>
  </si>
  <si>
    <t>Back_Space</t>
  </si>
  <si>
    <t>Core_Retail</t>
  </si>
  <si>
    <t>Front_Entry</t>
  </si>
  <si>
    <t>Front_Retail</t>
  </si>
  <si>
    <t>Point_Of_Sale</t>
  </si>
  <si>
    <t>Space</t>
  </si>
  <si>
    <t>Spc</t>
  </si>
  <si>
    <t>WarehouseHVACAvail</t>
  </si>
  <si>
    <t>Zone1 Office Thermal Zone</t>
  </si>
  <si>
    <t>Zone2 Fine Storage Thermal Zone</t>
  </si>
  <si>
    <t>Zone3 Bulk Storage Thermal Zone</t>
  </si>
  <si>
    <t>CoreZnPSZ AirSys</t>
  </si>
  <si>
    <t>Perim2ZnPSZ AirSys</t>
  </si>
  <si>
    <t>Perim3ZnPSZ AirSys</t>
  </si>
  <si>
    <t>Perim4ZnPSZ AirSys</t>
  </si>
  <si>
    <t>OfficeZnPSZAirSys</t>
  </si>
  <si>
    <t>FineSto_ZnPSZAirSys</t>
  </si>
  <si>
    <t>BulkSto_ZnPSZAirSys</t>
  </si>
  <si>
    <t>OfficeZnCoolingCoil</t>
  </si>
  <si>
    <t>OfficeZnHeatingCoil</t>
  </si>
  <si>
    <t>FineSto_ZnHeatingCoil</t>
  </si>
  <si>
    <t>BulkSto_ZnHeatingCoil</t>
  </si>
  <si>
    <t>OfficeZnSupplyFan</t>
  </si>
  <si>
    <t>FineSto_ZnSupplyFan</t>
  </si>
  <si>
    <t>BulkSto_ZnSupplyFan</t>
  </si>
  <si>
    <t>BaseAirSys9</t>
  </si>
  <si>
    <t>BaseAirSys9-2</t>
  </si>
  <si>
    <t>BaseSys3 Fan</t>
  </si>
  <si>
    <t>BaseSys9 Fan</t>
  </si>
  <si>
    <t>BaseSys9 Fan-2</t>
  </si>
  <si>
    <t>HV</t>
  </si>
  <si>
    <t>BaseSys9 CoilHtg</t>
  </si>
  <si>
    <t>BaseSys9 CoilHtg-2</t>
  </si>
  <si>
    <t>Heating Thermostat Schedule</t>
  </si>
  <si>
    <t>Cooling Thermostat Schedule</t>
  </si>
  <si>
    <t>SHW Schedule</t>
  </si>
  <si>
    <t>Perimeter_ZN_1</t>
  </si>
  <si>
    <t>Perimeter_ZN_2</t>
  </si>
  <si>
    <t>Perimeter_ZN_3</t>
  </si>
  <si>
    <t>Perimeter_ZN_4</t>
  </si>
  <si>
    <t>SpcFunc</t>
  </si>
  <si>
    <t>Spc:RegInstPwr</t>
  </si>
  <si>
    <t>IntLtgSys:PAF</t>
  </si>
  <si>
    <t>Spc:IntLPDReg</t>
  </si>
  <si>
    <t>Spc:RegPwr</t>
  </si>
  <si>
    <t xml:space="preserve">Simulated Lighting Power </t>
  </si>
  <si>
    <t>IntLtgSys:PAFCredType</t>
  </si>
  <si>
    <t>IntLtgRegSchRef</t>
  </si>
  <si>
    <t>Control Credit Type</t>
  </si>
  <si>
    <t>DemandResponsiveControl</t>
  </si>
  <si>
    <t>Lighting Schedule</t>
  </si>
  <si>
    <t>AirSys</t>
  </si>
  <si>
    <t>AirSys:CtrlZnRef</t>
  </si>
  <si>
    <t>AirSys:Type</t>
  </si>
  <si>
    <t>AirSys:AvailSchRef</t>
  </si>
  <si>
    <t>CoilClg</t>
  </si>
  <si>
    <t>CoilClg:</t>
  </si>
  <si>
    <t>CoilClg:Type</t>
  </si>
  <si>
    <t>CoilHtg:</t>
  </si>
  <si>
    <t>CoilHtg:Type</t>
  </si>
  <si>
    <t>CoilHtg:FurnThrmlEff</t>
  </si>
  <si>
    <t>Fan:ZnServed</t>
  </si>
  <si>
    <t>Fan:</t>
  </si>
  <si>
    <t>Fan:CtrlMthd</t>
  </si>
  <si>
    <t>Fan:ModelingMthd</t>
  </si>
  <si>
    <t>Fan:MtrBHP</t>
  </si>
  <si>
    <t>Fan:OverallEff</t>
  </si>
  <si>
    <t>Fan:TotStaticPress</t>
  </si>
  <si>
    <t>Fan:MtrHP</t>
  </si>
  <si>
    <t>Fan:MtrEff</t>
  </si>
  <si>
    <t>Modeling Method</t>
  </si>
  <si>
    <t>BrakeHorsePower</t>
  </si>
  <si>
    <t>StaticPressure</t>
  </si>
  <si>
    <t>CoilClg:SysServed</t>
  </si>
  <si>
    <t>CoilClgDXSnglEIRRatio_fCFMRatio</t>
  </si>
  <si>
    <t>CoilHtg:SysServed</t>
  </si>
  <si>
    <t>(FurnHIR_fPLRCrvRef)</t>
  </si>
  <si>
    <t>CoilHtgFurnFIRRatio_fQRatio</t>
  </si>
  <si>
    <t>ThrmlZn</t>
  </si>
  <si>
    <t>ThrmlZn:Type</t>
  </si>
  <si>
    <t>ThrmlZn:ClgTstatSchRef</t>
  </si>
  <si>
    <t>ThrmlZn:HtgTstatSchRef</t>
  </si>
  <si>
    <t>OACtrl:EconoCtrlMthd</t>
  </si>
  <si>
    <t>OACtrl:EconoIntegration</t>
  </si>
  <si>
    <t>Conditioning Type</t>
  </si>
  <si>
    <t>Cooling Thermostat Setpoint</t>
  </si>
  <si>
    <t>Heating Thermostat Setpoint</t>
  </si>
  <si>
    <t>Control Type</t>
  </si>
  <si>
    <t>Economizer Integration</t>
  </si>
  <si>
    <t>Unconditioned</t>
  </si>
  <si>
    <t>Conditioned</t>
  </si>
  <si>
    <t>OfficeClgSetPt</t>
  </si>
  <si>
    <t>OfficeHtgSetPt</t>
  </si>
  <si>
    <t>NoSATControl</t>
  </si>
  <si>
    <t>CoilClgDXSEER13EER11EIRRatio_fTwbToadbSI</t>
  </si>
  <si>
    <t>CoilClgDXSEEREIRRatio_fQFrac</t>
  </si>
  <si>
    <t>HealthClgSetPt</t>
  </si>
  <si>
    <t>HealthHtgSetPt</t>
  </si>
  <si>
    <t>OfficeServiceHotWater</t>
  </si>
  <si>
    <t>RetailServiceHotWater</t>
  </si>
  <si>
    <t>RetailClgSetPt</t>
  </si>
  <si>
    <t>RetailHtgSetPt</t>
  </si>
  <si>
    <t>NONE</t>
  </si>
  <si>
    <t>HealthServiceHotWater</t>
  </si>
  <si>
    <t>AssemblyServiceHotWater</t>
  </si>
  <si>
    <t>AssemblyClgSetPt</t>
  </si>
  <si>
    <t>AssemblyHtgSetPt</t>
  </si>
  <si>
    <t>None</t>
  </si>
  <si>
    <t>Spc:HotWtrHtgRt</t>
  </si>
  <si>
    <t>Spc:HotWtrHtgSchRef</t>
  </si>
  <si>
    <t>ThrmlZnRef:ClgTstatSchRef</t>
  </si>
  <si>
    <t>ThrmlZnRef:HtgTstatSchRef</t>
  </si>
  <si>
    <t>Spc:IntLtgSpecMthd</t>
  </si>
  <si>
    <t>IntLtgSys:AllowArea</t>
  </si>
  <si>
    <t>Low</t>
  </si>
  <si>
    <t>vvv Insert below</t>
  </si>
  <si>
    <t>Space Interior Loads Electric Use Report</t>
  </si>
  <si>
    <t>Regulated</t>
  </si>
  <si>
    <t>Non-Regulated</t>
  </si>
  <si>
    <t>Interior Lighting</t>
  </si>
  <si>
    <t>Receptacle</t>
  </si>
  <si>
    <t>Process</t>
  </si>
  <si>
    <t>Commercial Refrigeration</t>
  </si>
  <si>
    <t>Floor Area</t>
  </si>
  <si>
    <t>Multiplier</t>
  </si>
  <si>
    <t>Power Density</t>
  </si>
  <si>
    <t>Schedule Name</t>
  </si>
  <si>
    <t>Schedule</t>
  </si>
  <si>
    <t>Energy Use</t>
  </si>
  <si>
    <t>(FLH)</t>
  </si>
  <si>
    <t>Plenum</t>
  </si>
  <si>
    <t>Space Loads Report</t>
  </si>
  <si>
    <t>Occupancy</t>
  </si>
  <si>
    <t>Service Hot Water</t>
  </si>
  <si>
    <t>Infiltration</t>
  </si>
  <si>
    <t>On</t>
  </si>
  <si>
    <t>Space Interior Lighting Report</t>
  </si>
  <si>
    <t>Installed Power</t>
  </si>
  <si>
    <t>Lighting System Count</t>
  </si>
  <si>
    <t>Lighting Control Credit</t>
  </si>
  <si>
    <t>Simulated Power</t>
  </si>
  <si>
    <t>Simulated LPD</t>
  </si>
  <si>
    <t>Power</t>
  </si>
  <si>
    <t>LPD</t>
  </si>
  <si>
    <t>(Watts/ft2)</t>
  </si>
  <si>
    <t>Space Daylighting</t>
  </si>
  <si>
    <t>DayltgCtrlType</t>
  </si>
  <si>
    <t>MinDimLtgFrac</t>
  </si>
  <si>
    <t>MinDimPwrFrac</t>
  </si>
  <si>
    <t>NumOfCtrlSteps</t>
  </si>
  <si>
    <t>SkylitDayltgCtrlLtgPwr</t>
  </si>
  <si>
    <t>PriSideDayltgRefPtCoord[1]</t>
  </si>
  <si>
    <t>PriSideDayltgRefPtCoord[2]</t>
  </si>
  <si>
    <t>PriSideDayltgRefPtCoord[3]</t>
  </si>
  <si>
    <t>PriSideDaylitArea</t>
  </si>
  <si>
    <t>PriSideDayltgCtrlLtgPwr</t>
  </si>
  <si>
    <t>PriSideDayltgCtrlLtgFrac</t>
  </si>
  <si>
    <t>SecSideDayltgRefPtCoord[1]</t>
  </si>
  <si>
    <t>SecSideDayltgRefPtCoord[2]</t>
  </si>
  <si>
    <t>SecSideDayltgRefPtCoord[3]</t>
  </si>
  <si>
    <t>SecSideDaylitArea</t>
  </si>
  <si>
    <t>SecSideDayltgCtrlLtgPwr</t>
  </si>
  <si>
    <t>SecSideDayltgCtrlLtgFrac</t>
  </si>
  <si>
    <t>Skylit Zone</t>
  </si>
  <si>
    <t>Primary Sidelit Daylit Zone</t>
  </si>
  <si>
    <t>Secondary Sidelit Daylit Zone</t>
  </si>
  <si>
    <t>Min. Dim. Ltg. Frac.</t>
  </si>
  <si>
    <t>Min Dim. Pwr. Frac.</t>
  </si>
  <si>
    <t>Switched # Ctrl. Steps</t>
  </si>
  <si>
    <t>Daylit Area</t>
  </si>
  <si>
    <t>Controlled Watts</t>
  </si>
  <si>
    <t>Control Fraction</t>
  </si>
  <si>
    <t>Illuminance Set Pt</t>
  </si>
  <si>
    <t>Illum Set Pt Adj Factor</t>
  </si>
  <si>
    <t>Adj Illum. Set Point</t>
  </si>
  <si>
    <t>Ref Pt Coord [1]</t>
  </si>
  <si>
    <t>Ref Pt Coord [2]</t>
  </si>
  <si>
    <t>Ref Pt Coord [3]</t>
  </si>
  <si>
    <t>General Lighting Power</t>
  </si>
  <si>
    <t>Area Category Allowances</t>
  </si>
  <si>
    <t>Tailored Allowances</t>
  </si>
  <si>
    <t>NoEconomizer</t>
  </si>
  <si>
    <t>Test No</t>
  </si>
  <si>
    <t>Building Type</t>
  </si>
  <si>
    <t>Test Criteria</t>
  </si>
  <si>
    <t>Small Office</t>
  </si>
  <si>
    <t>Exterior Envelope</t>
  </si>
  <si>
    <t>Small Hotel</t>
  </si>
  <si>
    <t>Medium Office</t>
  </si>
  <si>
    <t>Large Office</t>
  </si>
  <si>
    <t>Fenestration</t>
  </si>
  <si>
    <t>Warehouse</t>
  </si>
  <si>
    <t>SRR and Daylit Area</t>
  </si>
  <si>
    <t>na</t>
  </si>
  <si>
    <t>Internal Loads- Complete Bldg method</t>
  </si>
  <si>
    <t>Complete Building test method currently not supported</t>
  </si>
  <si>
    <t>Lighting</t>
  </si>
  <si>
    <t>Lighting - tailored lighting method</t>
  </si>
  <si>
    <t>Lighting Control</t>
  </si>
  <si>
    <t>Medium Retail</t>
  </si>
  <si>
    <t>Ext.Lighting/SHW</t>
  </si>
  <si>
    <t>Ext. Lighting/SHW</t>
  </si>
  <si>
    <t>Prescriptive Exterior Lighting Compliance not supported</t>
  </si>
  <si>
    <t>HVAC</t>
  </si>
  <si>
    <t>Hotel</t>
  </si>
  <si>
    <t>Window Non-res Fixed/Window Res Operable</t>
  </si>
  <si>
    <t>OfficeClgSetpt</t>
  </si>
  <si>
    <t>OfficeHtgSetpt</t>
  </si>
  <si>
    <t>RetailClgSetpt</t>
  </si>
  <si>
    <t>RetailHtgSetpt</t>
  </si>
  <si>
    <t>SkylitDayltgIllumSetpt</t>
  </si>
  <si>
    <t>SkylitDayltgIllumSetptAdjFac</t>
  </si>
  <si>
    <t>SkylitDayltgAdjIllumSetpt</t>
  </si>
  <si>
    <t>PriSideDayltgIllumSetpt</t>
  </si>
  <si>
    <t>PriSideDayltgIllumSetptAdjFac</t>
  </si>
  <si>
    <t>PriSideDayltgAdjIllumSetpt</t>
  </si>
  <si>
    <t>SecSideDayltgIllumSetpt</t>
  </si>
  <si>
    <t>SecSideDayltgIllumSetptAdjFac</t>
  </si>
  <si>
    <t>SecSideDayltgAdjIllumSetpt</t>
  </si>
  <si>
    <t>Existing Alteration</t>
  </si>
  <si>
    <t>Retail Medium</t>
  </si>
  <si>
    <t>Existing Addition</t>
  </si>
  <si>
    <t>Existing Addition and Alteration</t>
  </si>
  <si>
    <t>New Envelope</t>
  </si>
  <si>
    <t>New Mechanical and Partial Lighting</t>
  </si>
  <si>
    <t>Test Category</t>
  </si>
  <si>
    <t>Status</t>
  </si>
  <si>
    <t>Exisiting/New</t>
  </si>
  <si>
    <t>New</t>
  </si>
  <si>
    <t>Exisiting</t>
  </si>
  <si>
    <t>Relevant Position</t>
  </si>
  <si>
    <t>Top Floor-South Window</t>
  </si>
  <si>
    <t>All Other</t>
  </si>
  <si>
    <t>BottomVAV</t>
  </si>
  <si>
    <t>Mid VAV</t>
  </si>
  <si>
    <t>Top VAV</t>
  </si>
  <si>
    <t>Perimeter_top_ZN_4 New AirSys</t>
  </si>
  <si>
    <t>Top Floor - Zone 4</t>
  </si>
  <si>
    <t>Bottom Flr / All Zone</t>
  </si>
  <si>
    <t>Mid Flr / All Zone</t>
  </si>
  <si>
    <t>Top Flr / Zone 4</t>
  </si>
  <si>
    <t>Top Flr / All Zone (Except Zone 4)</t>
  </si>
  <si>
    <t>PVAV</t>
  </si>
  <si>
    <t>Bottom VAV CoilCooling</t>
  </si>
  <si>
    <t>Mid VAV CoilCooling</t>
  </si>
  <si>
    <t>Top VAV CoilCooling</t>
  </si>
  <si>
    <t>Perim_top_4Zn CoolingCoil</t>
  </si>
  <si>
    <t>CoilClgDXEIRRatio_fTwbToadbSI</t>
  </si>
  <si>
    <t>CoilClgDXSEER18EER13EIRRatio_fTwbToadbSI</t>
  </si>
  <si>
    <t>Bottom VAV CoilHeating</t>
  </si>
  <si>
    <t>CoreBottomReheatCoil</t>
  </si>
  <si>
    <t>PerimeterBottom1ReheatCoil</t>
  </si>
  <si>
    <t>PerimeterBottom2ReheatCoil</t>
  </si>
  <si>
    <t xml:space="preserve">PerimeterBottom3ReheatCoil  </t>
  </si>
  <si>
    <t>PerimeterBottom4ReheatCoil</t>
  </si>
  <si>
    <t>Mid VAV CoilHeating</t>
  </si>
  <si>
    <t>CoreMidReheatCoil</t>
  </si>
  <si>
    <t>PerimeterMid1ReheatCoil</t>
  </si>
  <si>
    <t>PerimeterMid2ReheatCoil</t>
  </si>
  <si>
    <t xml:space="preserve">PerimeterMid3ReheatCoil  </t>
  </si>
  <si>
    <t>PerimeterMid4ReheatCoil</t>
  </si>
  <si>
    <t>Top VAV CoilHeating</t>
  </si>
  <si>
    <t>CoreTopReheatCoil</t>
  </si>
  <si>
    <t>PerimeterTop1ReheatCoil</t>
  </si>
  <si>
    <t>PerimeterTop2ReheatCoil</t>
  </si>
  <si>
    <t xml:space="preserve">PerimeterTop3ReheatCoil  </t>
  </si>
  <si>
    <t>Perim_top_4Zn HeatingCoil</t>
  </si>
  <si>
    <t>Type / Fuel Source</t>
  </si>
  <si>
    <t>Hot Water</t>
  </si>
  <si>
    <t>BottomVAV SupplyFan</t>
  </si>
  <si>
    <t>MidVAV SupplyFan</t>
  </si>
  <si>
    <t>TopVAV SupplyFan</t>
  </si>
  <si>
    <t>Perim_top_4ZnSupplyFan</t>
  </si>
  <si>
    <t>Integrated</t>
  </si>
  <si>
    <t>NonIntegrated</t>
  </si>
  <si>
    <t>VariableSpeedDrive</t>
  </si>
  <si>
    <t>FixedWindow_Altered</t>
  </si>
  <si>
    <t>FixedWindow_Unaltered</t>
  </si>
  <si>
    <t>ConstantVolume</t>
  </si>
  <si>
    <t>SAT Reset Control (High)</t>
  </si>
  <si>
    <t>Boiler Components</t>
  </si>
  <si>
    <t>Number of boilers</t>
  </si>
  <si>
    <t>Boiler Efficiency</t>
  </si>
  <si>
    <t>Boiler Type</t>
  </si>
  <si>
    <t>Boiler performance curve</t>
  </si>
  <si>
    <t>Pump Motor Efficiency</t>
  </si>
  <si>
    <t>BlrHWBlrFIRRatio_fQRatioSI</t>
  </si>
  <si>
    <t>OnDemand</t>
  </si>
  <si>
    <t>Overall U value
(Btu/h-°F-ft2)</t>
  </si>
  <si>
    <t>Construction Assembly Thermal emittance
(frac.)</t>
  </si>
  <si>
    <t>Construction Assembly Exterior Thermal Absorptance
(frac.)</t>
  </si>
  <si>
    <t>Construction Assembly  Aged Solar Reflectance
(frac.)</t>
  </si>
  <si>
    <t>Construction Assembly  Exterior Solar Absorptance
(frac.)</t>
  </si>
  <si>
    <t>Thermal Zone - Floor/Zone</t>
  </si>
  <si>
    <t>AirSystem - Name</t>
  </si>
  <si>
    <t>Cooling Coil - Name</t>
  </si>
  <si>
    <t>Cooling Efficiency
(EER)</t>
  </si>
  <si>
    <t>Heating Coil - Name</t>
  </si>
  <si>
    <t>Thermal Zone - Name</t>
  </si>
  <si>
    <t>Fans - Name</t>
  </si>
  <si>
    <t>Total Static
(in H2O)</t>
  </si>
  <si>
    <t>Outside Air Control - Control Type</t>
  </si>
  <si>
    <t>Design Suppy Air Temperature (Heating)
(DegF)</t>
  </si>
  <si>
    <t>Design Suppy Air Temperature (Cooling)
(DegF)</t>
  </si>
  <si>
    <t>Capacity (Maximum)
(Cfm)</t>
  </si>
  <si>
    <t>Overall WWR
(Frac)</t>
  </si>
  <si>
    <t>North WWR
(Frac)</t>
  </si>
  <si>
    <t>East WWR
(Frac)</t>
  </si>
  <si>
    <t>South WWR
(Frac)</t>
  </si>
  <si>
    <t>West WWR
(Frac)</t>
  </si>
  <si>
    <t>HVAC Systems</t>
  </si>
  <si>
    <t>AirSystem  - Name</t>
  </si>
  <si>
    <t>Bottom Floor - Zone 1</t>
  </si>
  <si>
    <t>Perim1ZnPSZ AirSys_New</t>
  </si>
  <si>
    <t>Altered</t>
  </si>
  <si>
    <t>Lighting Power Density (TailoredTaskAllowance)
(W/ft2)</t>
  </si>
  <si>
    <t>Lighting Power Density (TailoredFloorDisplayAllowance)
(W/ft2)</t>
  </si>
  <si>
    <t>Lighting Power Density Simulated
(W/ft2)</t>
  </si>
  <si>
    <t>Bottom Floor / All Zones</t>
  </si>
  <si>
    <t>SouthAddtn AirSys</t>
  </si>
  <si>
    <t>All additions</t>
  </si>
  <si>
    <t>RetailHVACAvail</t>
  </si>
  <si>
    <t>SouthAddtn CoolingCoil</t>
  </si>
  <si>
    <t>CoilClgDXEIRRatio_fQFrac</t>
  </si>
  <si>
    <t>SouthAddtn HeatingCoil</t>
  </si>
  <si>
    <t>SouthAddtn SupplyFan</t>
  </si>
  <si>
    <t>FixedWindowU35</t>
  </si>
  <si>
    <t>SAT Reset Control (Low)</t>
  </si>
  <si>
    <t>DifferentialEnthalpy</t>
  </si>
  <si>
    <t>FixedDryBulb</t>
  </si>
  <si>
    <t>DifferentialDryBulbAndEnthalpy</t>
  </si>
  <si>
    <t>Economizer Control</t>
  </si>
  <si>
    <t>DifferentialDryBulb</t>
  </si>
  <si>
    <t>Altered metal bldg roof</t>
  </si>
  <si>
    <t>Other Altered Roof</t>
  </si>
  <si>
    <t>Base_CZ12-FlatNonresWoodFramingAndOtherRoofUnconditioned</t>
  </si>
  <si>
    <t>Base_CZ12-FlatNonresWoodFramingAndOtherRoofU039</t>
  </si>
  <si>
    <t>MetalBuildingRoof</t>
  </si>
  <si>
    <t>Altered metal frame wall</t>
  </si>
  <si>
    <t>Altered metal building wall</t>
  </si>
  <si>
    <t>New heavy mass wall</t>
  </si>
  <si>
    <t>Altered light mass wall</t>
  </si>
  <si>
    <t>Altered heavy mass wall</t>
  </si>
  <si>
    <t>Base_CZ12-NonresMetalFrameWallU062</t>
  </si>
  <si>
    <t>MetalBuildingWall</t>
  </si>
  <si>
    <t>MassHeavyWall</t>
  </si>
  <si>
    <t>MassLightWall</t>
  </si>
  <si>
    <t>BaseAirSys5</t>
  </si>
  <si>
    <t>Exisiting Zones</t>
  </si>
  <si>
    <t>Bottom Floor / Addition Zones</t>
  </si>
  <si>
    <t>Bottom Floor / Exisiting Zones</t>
  </si>
  <si>
    <t>BaseSys5 CoilClg</t>
  </si>
  <si>
    <t>BaseSys5 CoilHtg</t>
  </si>
  <si>
    <t>BaseVAVReheatCoil</t>
  </si>
  <si>
    <t>BaseVAVReheatCoil-2</t>
  </si>
  <si>
    <t>HotWater</t>
  </si>
  <si>
    <t>BaseSys5 Fan</t>
  </si>
  <si>
    <t>Static Pressure</t>
  </si>
  <si>
    <t>BaseAirSys5-2</t>
  </si>
  <si>
    <t>BaseAirSys5-3</t>
  </si>
  <si>
    <t>Bottom Floor - All Zones</t>
  </si>
  <si>
    <t>Bottom Floor</t>
  </si>
  <si>
    <t>Mid Floor</t>
  </si>
  <si>
    <t>Top Floor</t>
  </si>
  <si>
    <t>Mid Floor - All Zones</t>
  </si>
  <si>
    <t>Top Floor - All Zones</t>
  </si>
  <si>
    <t>BaseSys5 CoilClg-2</t>
  </si>
  <si>
    <t>BaseSys5 CoilClg-3</t>
  </si>
  <si>
    <t>BaseSys5 CoilHtg-2</t>
  </si>
  <si>
    <t>BaseSys5 CoilHtg-3</t>
  </si>
  <si>
    <t>BaseSys5 Fan-2</t>
  </si>
  <si>
    <t>BaseSys5 Fan-3</t>
  </si>
  <si>
    <t>(All Zones)</t>
  </si>
  <si>
    <t>(All Plenum)</t>
  </si>
  <si>
    <t>(All Spaces)</t>
  </si>
  <si>
    <t>BaseAirSys5/5-2/5-3</t>
  </si>
  <si>
    <t>(All BaseVAVReheatCoils)</t>
  </si>
  <si>
    <t>(All Levels - Core Zones)</t>
  </si>
  <si>
    <t>(All Levels - South Zones - Zone 1)</t>
  </si>
  <si>
    <t>(All Levels - All other Zones)</t>
  </si>
  <si>
    <t>(All ReheatCoils)</t>
  </si>
  <si>
    <t>On/Below Grade Floor F-factor
(Btu/h-°F-ft2)</t>
  </si>
  <si>
    <t>Total Perimeter exposed
(ft)</t>
  </si>
  <si>
    <t>Skylight to Roof Ratio
(Frac)</t>
  </si>
  <si>
    <t>People Density
(ppl/1000ft2)</t>
  </si>
  <si>
    <t>Sensible Heat/person
(Btu/h-person)</t>
  </si>
  <si>
    <t>Latent Heat/person
(Btu/h-person)</t>
  </si>
  <si>
    <t>Lighting Power Density
(W/ft2)</t>
  </si>
  <si>
    <t>Equipment Power Density
(W/ft2)</t>
  </si>
  <si>
    <t>Hot Water Load/person
(gal/h-person)</t>
  </si>
  <si>
    <t>Lighting Power Density (General Lighting)
(W/ft2)</t>
  </si>
  <si>
    <t>Simulated Lighting Power Density (LPD)
(W/ft2)</t>
  </si>
  <si>
    <t>Installed Power
(Watts)</t>
  </si>
  <si>
    <t>Lighting Power Density (Simulated)
(W/ft2)</t>
  </si>
  <si>
    <t>Space Floor Area
(ft2)</t>
  </si>
  <si>
    <t xml:space="preserve"> Allowance Area
(ft2)</t>
  </si>
  <si>
    <t>Thermal Efficiency
(Frac)</t>
  </si>
  <si>
    <t>Design Suppy Air Temperature (Heating) 
(DegF)</t>
  </si>
  <si>
    <t>Thermal Zone - Control Zone Name</t>
  </si>
  <si>
    <t>BottomVAV Economizer</t>
  </si>
  <si>
    <t>MidVAV OACtrl</t>
  </si>
  <si>
    <t>Top VAV OACtrl</t>
  </si>
  <si>
    <t>Perime1OAControl</t>
  </si>
  <si>
    <t>Outside Air Control - Name</t>
  </si>
  <si>
    <t>(HIR_fPLRCrvRef)</t>
  </si>
  <si>
    <t>BaseSys3 OACtrl</t>
  </si>
  <si>
    <t>South Windows (All Windows)</t>
  </si>
  <si>
    <t>SouthAddtn OAControl</t>
  </si>
  <si>
    <t>FlatNonresWoodFramingAndOtherRoofUnconditioned</t>
  </si>
  <si>
    <t>MetalBldgWallU113</t>
  </si>
  <si>
    <t>MassLightWallU440</t>
  </si>
  <si>
    <t>MassHeavyWallU690</t>
  </si>
  <si>
    <t>MetalFrameWallUnconditioned</t>
  </si>
  <si>
    <t>Exterior Wall (UnConditioned)</t>
  </si>
  <si>
    <t>Exterior Wall  (UnConditioned)</t>
  </si>
  <si>
    <t>All South Zones</t>
  </si>
  <si>
    <t>Exterior Floor</t>
  </si>
  <si>
    <t>NACM_Conc Raised Flr</t>
  </si>
  <si>
    <t>BaseSys5 OACtrl</t>
  </si>
  <si>
    <t>BaseSys5 OACtrl-2</t>
  </si>
  <si>
    <t>BaseSys5 OACtrl-3</t>
  </si>
  <si>
    <t>OccupantSensingControls-1to125SF</t>
  </si>
  <si>
    <t>(DXEIR_fTempCrvRef)</t>
  </si>
  <si>
    <t>(DXEIR_fPLFCrvRef)</t>
  </si>
  <si>
    <t>(DXEIR_fFlowCrvRef)</t>
  </si>
  <si>
    <t xml:space="preserve">Overall Fan Efficiency
</t>
  </si>
  <si>
    <t>BreakHorsePower</t>
  </si>
  <si>
    <t>(kWh)</t>
  </si>
  <si>
    <t>Density</t>
  </si>
  <si>
    <t>Sensible Heat Rate</t>
  </si>
  <si>
    <t>Latent Heat Rate</t>
  </si>
  <si>
    <t>SHW Use</t>
  </si>
  <si>
    <t xml:space="preserve"> Schedule Name</t>
  </si>
  <si>
    <t>Method</t>
  </si>
  <si>
    <t>Design Infiltration Rate</t>
  </si>
  <si>
    <t>Clg Tstat Sch</t>
  </si>
  <si>
    <t xml:space="preserve"> Htg Tstat Sch</t>
  </si>
  <si>
    <t>MinDayltg per 140.3c</t>
  </si>
  <si>
    <t>Lighting Power Density (TailoredOrnamentalAndSpecialEffectAllowance)
(W/ft2)</t>
  </si>
  <si>
    <t>AirSys:ClgDsgnSupAirTemp</t>
  </si>
  <si>
    <t>AirSys:HtgDsgnSupAirTemp</t>
  </si>
  <si>
    <t>New Complete</t>
  </si>
  <si>
    <t>Core_bottom Thermal Zone</t>
  </si>
  <si>
    <t>Core_mid Thermal Zone</t>
  </si>
  <si>
    <t>Core_top Thermal Zone</t>
  </si>
  <si>
    <t>Core_bottomZnPSZ AirSys</t>
  </si>
  <si>
    <t>Core_midZnPSZ AirSys</t>
  </si>
  <si>
    <t>Core_topZnPSZ AirSys</t>
  </si>
  <si>
    <t>DataHVACAvail</t>
  </si>
  <si>
    <t>Core_bottomZnCoolingCoil</t>
  </si>
  <si>
    <t>Core_midZnCoolingCoil</t>
  </si>
  <si>
    <t>Core_topZnCoolingCoil</t>
  </si>
  <si>
    <t>Core_bottomZnSupplyFan</t>
  </si>
  <si>
    <t>Core_midZnSupplyFan</t>
  </si>
  <si>
    <t>Core_topZnSupplyFan</t>
  </si>
  <si>
    <t>(All Perimeter Zones)</t>
  </si>
  <si>
    <t>(All Core Zones)</t>
  </si>
  <si>
    <t>DataClgSetpt</t>
  </si>
  <si>
    <t>DataHtgSetpt</t>
  </si>
  <si>
    <t>SZVAVAC</t>
  </si>
  <si>
    <t>BaseSys11 CoilClg</t>
  </si>
  <si>
    <t>BaseSys11 CoilClg-2</t>
  </si>
  <si>
    <t>BaseSys11 CoilClg-3</t>
  </si>
  <si>
    <t>BaseAirSys11</t>
  </si>
  <si>
    <t>BaseAirSys11-2</t>
  </si>
  <si>
    <t>BaseAirSys11-3</t>
  </si>
  <si>
    <t>CoilClgDXDblEIRRatio_fCFMRatio</t>
  </si>
  <si>
    <t>PowerPerUnitFlow</t>
  </si>
  <si>
    <t>Fan Power Index</t>
  </si>
  <si>
    <t>Fan:PwrIdx</t>
  </si>
  <si>
    <t>BaseSys11 Fan</t>
  </si>
  <si>
    <t>BaseSys11 Fan-2</t>
  </si>
  <si>
    <t>BaseSys11 Fan-3</t>
  </si>
  <si>
    <t>Bottom Floor (Peripheral Zones)</t>
  </si>
  <si>
    <t>Mid Floor (Peripheral Zones)</t>
  </si>
  <si>
    <t>Top Floor (Peripheral Zones)</t>
  </si>
  <si>
    <t>(All Peripheral Zones)</t>
  </si>
  <si>
    <t>BaseAirSys6</t>
  </si>
  <si>
    <t>BaseAirSys6-2</t>
  </si>
  <si>
    <t>BaseAirSys6-3</t>
  </si>
  <si>
    <t>BaseAirSys6-4</t>
  </si>
  <si>
    <t>BaseAirSys10</t>
  </si>
  <si>
    <t>VAV</t>
  </si>
  <si>
    <t>Hi Floor - All Zones</t>
  </si>
  <si>
    <t>Hi Floor</t>
  </si>
  <si>
    <t>BsmntZnPSZ AirSys</t>
  </si>
  <si>
    <t>BaseAirSys6-Bot</t>
  </si>
  <si>
    <t>BaseAirSys6-Mid</t>
  </si>
  <si>
    <t>BaseAirSys6-Hi</t>
  </si>
  <si>
    <t>BaseAirSys6-Top</t>
  </si>
  <si>
    <t>Basement Floor</t>
  </si>
  <si>
    <t>Basement Floor/Zone</t>
  </si>
  <si>
    <t>BsmntZnCoolingCoil</t>
  </si>
  <si>
    <t>BaseSys6 CoilClg-Bot</t>
  </si>
  <si>
    <t>BaseSys6 CoilClg-Mid</t>
  </si>
  <si>
    <t>BaseSys6 CoilClg-Hi</t>
  </si>
  <si>
    <t>BaseSys6 CoilClg-Top</t>
  </si>
  <si>
    <t>ChilledWater</t>
  </si>
  <si>
    <t>Hi VAV</t>
  </si>
  <si>
    <t>Hi VAV CoilHeating</t>
  </si>
  <si>
    <t>Hid VAV</t>
  </si>
  <si>
    <t>BsmntZnSupplyFan</t>
  </si>
  <si>
    <t>BaseSys6 Fan-Bot</t>
  </si>
  <si>
    <t>BaseSys6 Fan-Mid</t>
  </si>
  <si>
    <t>BaseSys6 Fan-Hi</t>
  </si>
  <si>
    <t>BaseSys6 Fan-Top</t>
  </si>
  <si>
    <t>UNDEFINED</t>
  </si>
  <si>
    <t>Bottom, Mid, Hi and Top Floors</t>
  </si>
  <si>
    <t>BaseSys6 Fan</t>
  </si>
  <si>
    <t>BaseSys6 Fan-2</t>
  </si>
  <si>
    <t>BaseSys6 Fan-3</t>
  </si>
  <si>
    <t>BaseSys6 Fan-4</t>
  </si>
  <si>
    <t>BaseSys10 Fan</t>
  </si>
  <si>
    <t>BaseSys6 CoilClg</t>
  </si>
  <si>
    <t>BaseSys6 CoilClg-2</t>
  </si>
  <si>
    <t>BaseSys6 CoilClg-3</t>
  </si>
  <si>
    <t>BaseSys6 CoilClg-4</t>
  </si>
  <si>
    <t>BaseSys10 CoilClg</t>
  </si>
  <si>
    <t>BaseSys6 CoilHtg</t>
  </si>
  <si>
    <t>BaseSys6 CoilHtg-2</t>
  </si>
  <si>
    <t>BaseSys6 CoilHtg-3</t>
  </si>
  <si>
    <t>BaseSys6 CoilHtg-4</t>
  </si>
  <si>
    <t>HVAC Systems_Primary</t>
  </si>
  <si>
    <t>Chiller - Name</t>
  </si>
  <si>
    <t>Base Chlr</t>
  </si>
  <si>
    <t>Base Chlr-2</t>
  </si>
  <si>
    <t>Centrifugal</t>
  </si>
  <si>
    <t>Chiller Part-Load Efficiency (IPLV)</t>
  </si>
  <si>
    <t>Chiller Cooling Capacity Adjustment Curve</t>
  </si>
  <si>
    <t>Chiller Type</t>
  </si>
  <si>
    <t>Fluid</t>
  </si>
  <si>
    <t>Chiller Min Unloading Ratio</t>
  </si>
  <si>
    <t>Boiler Min Unloading Ratio</t>
  </si>
  <si>
    <t>Chilled Water Supply Temperature</t>
  </si>
  <si>
    <t>Chilled Water ReturnTemperature</t>
  </si>
  <si>
    <t>Fluid System Name</t>
  </si>
  <si>
    <t>BaseChWSystem</t>
  </si>
  <si>
    <t>Base Tower</t>
  </si>
  <si>
    <t>BaseCWSystem</t>
  </si>
  <si>
    <t>Base Tower-2</t>
  </si>
  <si>
    <t>Cooling Tower - Name</t>
  </si>
  <si>
    <t>Cooling Tower -Type</t>
  </si>
  <si>
    <t>OpenTower</t>
  </si>
  <si>
    <t>Pump - Name</t>
  </si>
  <si>
    <t>Serving Equipment</t>
  </si>
  <si>
    <t>Base HW Pump</t>
  </si>
  <si>
    <t>Base HW Pump-2</t>
  </si>
  <si>
    <t>Base CW Pump</t>
  </si>
  <si>
    <t>Base CW Pump-2</t>
  </si>
  <si>
    <t>Base ChW Pump</t>
  </si>
  <si>
    <t>Base ChW Pump-2</t>
  </si>
  <si>
    <t>Base Blr</t>
  </si>
  <si>
    <t>Base Blr-2</t>
  </si>
  <si>
    <t>Operation Control Type</t>
  </si>
  <si>
    <t>Speed Control Type</t>
  </si>
  <si>
    <t>ConstantSpeed</t>
  </si>
  <si>
    <t>VariableSpeed</t>
  </si>
  <si>
    <t xml:space="preserve">Pump Power
kW (W/gpm) </t>
  </si>
  <si>
    <t>Capacity Control</t>
  </si>
  <si>
    <t>(EIR_fTempCrvRef)</t>
  </si>
  <si>
    <t>(EIR_fPLRCrvRef)</t>
  </si>
  <si>
    <t>ChlrWtrCentPathBGtEql300Lt600tonEIRRatio_fQRatio</t>
  </si>
  <si>
    <t>64 (20 F Delta temperature)</t>
  </si>
  <si>
    <t>44 F</t>
  </si>
  <si>
    <t>Chiller Efficiency
(COP)</t>
  </si>
  <si>
    <t>Total Pump HP</t>
  </si>
  <si>
    <t>Head
(ft. H20)</t>
  </si>
  <si>
    <t>(Pwr_fPLRCrvRef)</t>
  </si>
  <si>
    <t>PumpVSDNoRstEPPwrRatio_fGPMRatio</t>
  </si>
  <si>
    <t>Total Fan 
(HP)</t>
  </si>
  <si>
    <t>Condenser Water Flow Rate
(gpm)</t>
  </si>
  <si>
    <t>HtRejVSDFanPwrRatio_fQRatio</t>
  </si>
  <si>
    <t>Electric Chiller Cooling Efficiency fPLR Curves</t>
  </si>
  <si>
    <t>ChlrWtrCentPathBGtEql300Lt600tonEIRRatio_fTchwsTcwsSI</t>
  </si>
  <si>
    <t>Electric Chiller Cooling Efficiency fTemperature Curves</t>
  </si>
  <si>
    <t>ChlrWtrCentPathBGtEql300Lt600tonQRatio_fTchwsTcwsSI</t>
  </si>
  <si>
    <t>(Cap_fTempCrvRef)</t>
  </si>
  <si>
    <t>BaseSys6 OACtrl</t>
  </si>
  <si>
    <t>BaseSys6 OACtrl-2</t>
  </si>
  <si>
    <t>BaseSys6 OACtrl-3</t>
  </si>
  <si>
    <t>BaseSys6 OACtrl-4</t>
  </si>
  <si>
    <t>BaseSys10 OACtrl</t>
  </si>
  <si>
    <t>Computer Room</t>
  </si>
  <si>
    <t>DataReceptacle</t>
  </si>
  <si>
    <t>BaseRelief Fan</t>
  </si>
  <si>
    <t>Existing</t>
  </si>
  <si>
    <t>BaseRelief Fan-2</t>
  </si>
  <si>
    <t>BaseRelief Fan-3</t>
  </si>
  <si>
    <t>BaseAirSys5-4</t>
  </si>
  <si>
    <t>KitchenMUA</t>
  </si>
  <si>
    <t>Common Areas: Floor 1</t>
  </si>
  <si>
    <t>Common Areas: Floor 2</t>
  </si>
  <si>
    <t>Common Areas: Floor 3</t>
  </si>
  <si>
    <t>Common Areas: Floor 4</t>
  </si>
  <si>
    <t>Zone: KitchenFlr1</t>
  </si>
  <si>
    <t>RestaurantHVACAvail</t>
  </si>
  <si>
    <t>Residential Units: All Floors</t>
  </si>
  <si>
    <t>Zone System - Name</t>
  </si>
  <si>
    <t>FPFC</t>
  </si>
  <si>
    <t>ResidentialLivingHVACAvail</t>
  </si>
  <si>
    <t>Exhaust</t>
  </si>
  <si>
    <t>BaseSys5 CoilClg-4</t>
  </si>
  <si>
    <t>Residential Units: FPFC (All)</t>
  </si>
  <si>
    <t>Residential Units: FPFC CoilClg (All)</t>
  </si>
  <si>
    <t>BaseSys5 CoilHtg-4</t>
  </si>
  <si>
    <t>Residential Units: FPFC CoilHtg (All)</t>
  </si>
  <si>
    <t>KitchenCoilHtg</t>
  </si>
  <si>
    <t>Kitchen CoilClg</t>
  </si>
  <si>
    <t>Furnace (Natural Gas)</t>
  </si>
  <si>
    <t>BaseSys5 Fan-4</t>
  </si>
  <si>
    <t>Kitchen Fan</t>
  </si>
  <si>
    <t>KitchExh Fan</t>
  </si>
  <si>
    <t>BaseSys5 OACtrl-4</t>
  </si>
  <si>
    <t>Kitchen OAControl</t>
  </si>
  <si>
    <t>OA - Control Name</t>
  </si>
  <si>
    <t>ResidentialLivingClgSetpt</t>
  </si>
  <si>
    <t>ResidentialLivingHtgSetpt</t>
  </si>
  <si>
    <t>Screw</t>
  </si>
  <si>
    <t>ChlrWtrPosDispPathBAllQRatio_fTchwsTcwsSI</t>
  </si>
  <si>
    <t>ChlrWtrPosDispPathBAllEIRRatio_fQRatio</t>
  </si>
  <si>
    <t>ChlrWtrPosDispPathBAllEIRRatio_fTchwsTcwsSI</t>
  </si>
  <si>
    <t>BaseAirSys13</t>
  </si>
  <si>
    <t>BaseSys13 CoilClg</t>
  </si>
  <si>
    <t>BaseSys13 CoilHtg</t>
  </si>
  <si>
    <t>BaseSys5 (All ReheatCoils)</t>
  </si>
  <si>
    <t>BaseSys13 Fan</t>
  </si>
  <si>
    <t>BaseSys2 Fan</t>
  </si>
  <si>
    <t>BaseAirSys2</t>
  </si>
  <si>
    <t>BaseSys13 OACtrl</t>
  </si>
  <si>
    <t>Boiler Capacity
(Btu/h)</t>
  </si>
  <si>
    <t>GuestRoom101_FPFC Fan</t>
  </si>
  <si>
    <t>GuestRoom102_FPFC Fan</t>
  </si>
  <si>
    <t>GuestRoom103_FPFC Fan</t>
  </si>
  <si>
    <t>GuestRoom104_FPFC Fan</t>
  </si>
  <si>
    <t>GuestRoom105_FPFC Fan</t>
  </si>
  <si>
    <t>GuestRoom201_FPFC Fan</t>
  </si>
  <si>
    <t>GuestRoom202_205_FPFC Fan</t>
  </si>
  <si>
    <t>GuestRoom206_208_FPFC Fan</t>
  </si>
  <si>
    <t>GuestRoom209_212_FPFC Fan</t>
  </si>
  <si>
    <t>GuestRoom213_FPFC Fan</t>
  </si>
  <si>
    <t>GuestRoom214_FPFC Fan</t>
  </si>
  <si>
    <t>GuestRoom215_218_FPFC Fan</t>
  </si>
  <si>
    <t>GuestRoom219_FPFC Fan</t>
  </si>
  <si>
    <t>GuestRoom220_223_FPFC Fan</t>
  </si>
  <si>
    <t>GuestRoom224_FPFC Fan</t>
  </si>
  <si>
    <t>GuestRoom301_FPFC Fan</t>
  </si>
  <si>
    <t>GuestRoom302_305_FPFC Fan</t>
  </si>
  <si>
    <t>GuestRoom306_308_FPFC Fan</t>
  </si>
  <si>
    <t>GuestRoom309_312_FPFC Fan</t>
  </si>
  <si>
    <t>GuestRoom313_FPFC Fan</t>
  </si>
  <si>
    <t>GuestRoom314_FPFC Fan</t>
  </si>
  <si>
    <t>GuestRoom315_318_FPFC Fan</t>
  </si>
  <si>
    <t>GuestRoom319_FPFC Fan</t>
  </si>
  <si>
    <t>GuestRoom320_323_FPFC Fan</t>
  </si>
  <si>
    <t>GuestRoom324_FPFC Fan</t>
  </si>
  <si>
    <t>GuestRoom401_FPFC Fan</t>
  </si>
  <si>
    <t>GuestRoom402_405_FPFC Fan</t>
  </si>
  <si>
    <t>GuestRoom406_408_FPFC Fan</t>
  </si>
  <si>
    <t>GuestRoom409_412_FPFC Fan</t>
  </si>
  <si>
    <t>GuestRoom413_FPFC Fan</t>
  </si>
  <si>
    <t>GuestRoom414_FPFC Fan</t>
  </si>
  <si>
    <t>GuestRoom415_418_FPFC Fan</t>
  </si>
  <si>
    <t>GuestRoom419_FPFC Fan</t>
  </si>
  <si>
    <t>GuestRoom420_423_FPFC Fan</t>
  </si>
  <si>
    <t>GuestRoom424_FPFC Fan</t>
  </si>
  <si>
    <t xml:space="preserve">Residential Units: Floor1 </t>
  </si>
  <si>
    <t>Residential Units: Floor2</t>
  </si>
  <si>
    <t>Residential Units: Floor3</t>
  </si>
  <si>
    <t>Residential Units: Floor4</t>
  </si>
  <si>
    <t>BaseSys2 Fan-2</t>
  </si>
  <si>
    <t>BaseSys2 Fan-3</t>
  </si>
  <si>
    <t>BaseSys2 Fan-4</t>
  </si>
  <si>
    <t>BaseSys2 Fan-5</t>
  </si>
  <si>
    <t>BaseSys2 Fan-6</t>
  </si>
  <si>
    <t>BaseSys2 Fan-7</t>
  </si>
  <si>
    <t>BaseSys2 Fan-8</t>
  </si>
  <si>
    <t>BaseSys2 Fan-9</t>
  </si>
  <si>
    <t>BaseSys2 Fan-10</t>
  </si>
  <si>
    <t>BaseSys2 Fan-11</t>
  </si>
  <si>
    <t>BaseSys2 Fan-12</t>
  </si>
  <si>
    <t>BaseSys2 Fan-13</t>
  </si>
  <si>
    <t>BaseSys2 Fan-14</t>
  </si>
  <si>
    <t>BaseSys2 Fan-15</t>
  </si>
  <si>
    <t>BaseSys2 Fan-16</t>
  </si>
  <si>
    <t>BaseSys2 Fan-17</t>
  </si>
  <si>
    <t>BaseSys2 Fan-18</t>
  </si>
  <si>
    <t>BaseSys2 Fan-19</t>
  </si>
  <si>
    <t>BaseSys2 Fan-20</t>
  </si>
  <si>
    <t>BaseSys2 Fan-21</t>
  </si>
  <si>
    <t>BaseSys2 Fan-22</t>
  </si>
  <si>
    <t>BaseSys2 Fan-23</t>
  </si>
  <si>
    <t>BaseSys2 Fan-24</t>
  </si>
  <si>
    <t>BaseSys2 Fan-25</t>
  </si>
  <si>
    <t>BaseSys2 Fan-26</t>
  </si>
  <si>
    <t>BaseSys2 Fan-27</t>
  </si>
  <si>
    <t>BaseSys2 Fan-28</t>
  </si>
  <si>
    <t>BaseSys2 Fan-29</t>
  </si>
  <si>
    <t>BaseSys2 Fan-30</t>
  </si>
  <si>
    <t>BaseSys2 Fan-31</t>
  </si>
  <si>
    <t>BaseSys2 Fan-32</t>
  </si>
  <si>
    <t>BaseSys2 Fan-33</t>
  </si>
  <si>
    <t>BaseSys2 Fan-34</t>
  </si>
  <si>
    <t>BaseSys2 Fan-35</t>
  </si>
  <si>
    <t>Residential Units: BaseSys2 CoilHtg (All)</t>
  </si>
  <si>
    <t>Residential Units: BaseSys2 CoilClg (All)</t>
  </si>
  <si>
    <t>ZnSys:CtrlZnRef</t>
  </si>
  <si>
    <t>KitchenExhaust</t>
  </si>
  <si>
    <t>020006S-OffSml-Run01</t>
  </si>
  <si>
    <t>020006S-OffSml-Run14</t>
  </si>
  <si>
    <t>020006S-OffSml-Run18</t>
  </si>
  <si>
    <t>020015S-OffSml-Run02</t>
  </si>
  <si>
    <t>BaseAirSys6/6-2/6-3/6-4</t>
  </si>
  <si>
    <t/>
  </si>
  <si>
    <t>Lighting Status</t>
  </si>
  <si>
    <t>MandMinDaylitArea</t>
  </si>
  <si>
    <t>Bottom Floor - All Perimeter Zones</t>
  </si>
  <si>
    <t>Mid Floor - All Perimeter Zones</t>
  </si>
  <si>
    <t>Top Floor - All Perimeter Zones</t>
  </si>
  <si>
    <t>Bottom Floor - Core Zone</t>
  </si>
  <si>
    <t>Mid Floor - Core Zone</t>
  </si>
  <si>
    <t>Top Floor - Core Zone</t>
  </si>
  <si>
    <t>BaseRelief Fan-4</t>
  </si>
  <si>
    <t>PumpVSDRstEPPwrRatio_fGPMRatio</t>
  </si>
  <si>
    <t>WarmestReset</t>
  </si>
  <si>
    <t>South Window</t>
  </si>
  <si>
    <t>030006S-OffMed-Run12</t>
  </si>
  <si>
    <t>CoilClg:DXEER</t>
  </si>
  <si>
    <t>(EntTempDsgn)</t>
  </si>
  <si>
    <t>(LvgTempDsgn)</t>
  </si>
  <si>
    <t>HotWater Pump</t>
  </si>
  <si>
    <t>Boiler 1</t>
  </si>
  <si>
    <t>Number of Pumps</t>
  </si>
  <si>
    <t>Base HW Pump/ Base HW Pump-2</t>
  </si>
  <si>
    <t>Base Blr/ Base Blr-2</t>
  </si>
  <si>
    <t>Story Name</t>
  </si>
  <si>
    <t>Number</t>
  </si>
  <si>
    <t>(people)</t>
  </si>
  <si>
    <t>(Btu/h-person)</t>
  </si>
  <si>
    <t>(gal/min)</t>
  </si>
  <si>
    <t>(cfm/person)</t>
  </si>
  <si>
    <t>Basement</t>
  </si>
  <si>
    <t>GroundFloor</t>
  </si>
  <si>
    <t>MidFloor</t>
  </si>
  <si>
    <t>HiFloor</t>
  </si>
  <si>
    <t>TopFloor</t>
  </si>
  <si>
    <t>Compliance Type</t>
  </si>
  <si>
    <t>NewComplete</t>
  </si>
  <si>
    <t>ExistingAlteration</t>
  </si>
  <si>
    <t>ExistingAddition</t>
  </si>
  <si>
    <t>NewEnvelope</t>
  </si>
  <si>
    <t>NewMechanicalAndPartialLighting</t>
  </si>
  <si>
    <t>ExistingAdditionAndAlteration</t>
  </si>
  <si>
    <t>Ventilation</t>
  </si>
  <si>
    <t>Prop. DsgnVentPerArea</t>
  </si>
  <si>
    <t>Prop. DsgnVentPerPerson</t>
  </si>
  <si>
    <t>Code VentPerArea</t>
  </si>
  <si>
    <t>Code VentPerPerson</t>
  </si>
  <si>
    <t>Sim. Area Flow</t>
  </si>
  <si>
    <t>Sim. Person Flow</t>
  </si>
  <si>
    <t>(cfm)</t>
  </si>
  <si>
    <t>5) Carpet - 3/4 in.</t>
  </si>
  <si>
    <t>CodeItem</t>
  </si>
  <si>
    <t xml:space="preserve">Total Perimeter Area
(ft2)
</t>
  </si>
  <si>
    <t>Calculated</t>
  </si>
  <si>
    <t>OACtrl:</t>
  </si>
  <si>
    <t>HI DB Lockout</t>
  </si>
  <si>
    <t>High Enthalpy Lockout</t>
  </si>
  <si>
    <t>FanVSDGoodSpResetPwrRatio_fCFMRatio</t>
  </si>
  <si>
    <t>FanVSDPerfSpResetPwrRatio_fCFMRatio</t>
  </si>
  <si>
    <t>FanVSDPwrRatio_fCFMRatio</t>
  </si>
  <si>
    <t>People 
(total number)</t>
  </si>
  <si>
    <t>VentilationExhaust</t>
  </si>
  <si>
    <t>ThermalZone</t>
  </si>
  <si>
    <t>Design Value (Total)</t>
  </si>
  <si>
    <t>Minimum Req. (Total)</t>
  </si>
  <si>
    <t>Simulated</t>
  </si>
  <si>
    <t>Pri. HVAC System</t>
  </si>
  <si>
    <t>Ventilation System</t>
  </si>
  <si>
    <t>Design</t>
  </si>
  <si>
    <t>Minimum</t>
  </si>
  <si>
    <t>Spec. Method</t>
  </si>
  <si>
    <t>Control</t>
  </si>
  <si>
    <t>Per Occupant</t>
  </si>
  <si>
    <t>Per Area</t>
  </si>
  <si>
    <t>Per Volume</t>
  </si>
  <si>
    <t>Calculated Flow</t>
  </si>
  <si>
    <t>ExhSysRef</t>
  </si>
  <si>
    <t>ExhOperMode</t>
  </si>
  <si>
    <t>ExhCtrlMthd</t>
  </si>
  <si>
    <t>ExhBalancedSchRef</t>
  </si>
  <si>
    <t>(ACH)</t>
  </si>
  <si>
    <t>ThrmlZn:VentPerPersonSim</t>
  </si>
  <si>
    <t>ThrmlZn:VentPerAreaSim</t>
  </si>
  <si>
    <t>Building Story</t>
  </si>
  <si>
    <t>Floor Multiplier</t>
  </si>
  <si>
    <t>Floor Area
(ft2)</t>
  </si>
  <si>
    <t>Ventilation
(cfm)</t>
  </si>
  <si>
    <t>BuildingStory</t>
  </si>
  <si>
    <t>Floor Area (including multipliers)</t>
  </si>
  <si>
    <t>Ventilation (Design)</t>
  </si>
  <si>
    <t>Ventilation (For Balance)</t>
  </si>
  <si>
    <t>General</t>
  </si>
  <si>
    <t>Comm. Kitchen</t>
  </si>
  <si>
    <t>Parking Garage</t>
  </si>
  <si>
    <t>Laboratory</t>
  </si>
  <si>
    <t>Total</t>
  </si>
  <si>
    <t>Cond. NRes</t>
  </si>
  <si>
    <t>Cond. Res</t>
  </si>
  <si>
    <t>Total Cond.</t>
  </si>
  <si>
    <t>Code Min.</t>
  </si>
  <si>
    <t>Tot:Min Ratio</t>
  </si>
  <si>
    <t>Vent:Exh Ratio</t>
  </si>
  <si>
    <t>Vent Mult.</t>
  </si>
  <si>
    <t>Vent</t>
  </si>
  <si>
    <t>Simulated VentPerArea
(cfm/ft2)</t>
  </si>
  <si>
    <t>Design Input (By Component)</t>
  </si>
  <si>
    <t>Minimum Req. (By Component)</t>
  </si>
  <si>
    <t>ForBalance</t>
  </si>
  <si>
    <t>Condg Type</t>
  </si>
  <si>
    <t>Per Space</t>
  </si>
  <si>
    <t>Lab Exh Type</t>
  </si>
  <si>
    <t>Max Kitchen</t>
  </si>
  <si>
    <t>Simulated VentPerPerson (cfm/person)</t>
  </si>
  <si>
    <t>Ruleset Implementation Tests - Test Specification Status</t>
  </si>
  <si>
    <t>Notes</t>
  </si>
  <si>
    <t>Envelope and window assembly performance</t>
  </si>
  <si>
    <r>
      <t xml:space="preserve">Status: </t>
    </r>
    <r>
      <rPr>
        <sz val="10"/>
        <color rgb="FFFF0000"/>
        <rFont val="Arial"/>
        <family val="2"/>
      </rPr>
      <t>Test Not Performed</t>
    </r>
    <r>
      <rPr>
        <sz val="10"/>
        <color rgb="FF000000"/>
        <rFont val="Arial"/>
        <family val="2"/>
      </rPr>
      <t xml:space="preserve">
Date:
Version:</t>
    </r>
  </si>
  <si>
    <t>Envelope minimum requirements</t>
  </si>
  <si>
    <t>Window Wall Ratio (WWR)</t>
  </si>
  <si>
    <t>Skylight to Roof Ratio (SRR) and Skylight Performance</t>
  </si>
  <si>
    <t>Skylight to Roof Ratio (SRR) and Daylit Area</t>
  </si>
  <si>
    <t>Modify Test for Simplified Geometry:  Exclude Testing/Verification of Daylighting Parameters</t>
  </si>
  <si>
    <t>Adding/Enlarging Skylights to meet 140.3C daylit area requirements currently not supported</t>
  </si>
  <si>
    <t>Lighting - Power Adjustment Factors (PAF) rules</t>
  </si>
  <si>
    <t>Lighting and daylighting</t>
  </si>
  <si>
    <t>HVAC - VAV and CRAH</t>
  </si>
  <si>
    <t>HVAC - SZAC and HV</t>
  </si>
  <si>
    <t>HVAC - PVAV, SZAC and FPFC</t>
  </si>
  <si>
    <t xml:space="preserve">Window alteration and HVAC replacement </t>
  </si>
  <si>
    <t>Window alteration</t>
  </si>
  <si>
    <t>Addition modeled alone: Envelope performance, window assembly performance and HVAC - SZAC</t>
  </si>
  <si>
    <t>Addition modeled with an altered existing building:
Envelope performance, Window Wall Ratio (WWR) and HVAC - SZAC</t>
  </si>
  <si>
    <t>Envelope and correct assignment of proposed HVAC systems.</t>
  </si>
  <si>
    <t>New/exisiting lighting and HVAC - PVAV</t>
  </si>
  <si>
    <t>Pump Power Part-load Curve</t>
  </si>
  <si>
    <t>Cooling Tower Power Adjustment Curve</t>
  </si>
  <si>
    <t xml:space="preserve"> Direct Expansion Cooling Efficiency Temperature Adjustment Curve</t>
  </si>
  <si>
    <t>Direct Expansion Part-Load Efficiency Adjustment Curve</t>
  </si>
  <si>
    <t>Cooling efficiency as a function of indoor coil coil flow</t>
  </si>
  <si>
    <t>Furnace Fuel Heating Part Load Efficiency Curve</t>
  </si>
  <si>
    <t>Blr:CapRtd</t>
  </si>
  <si>
    <t>Blr:ThrmlEff</t>
  </si>
  <si>
    <t>Blr:Type</t>
  </si>
  <si>
    <t>Blr:UnldRatMin</t>
  </si>
  <si>
    <t>Pump:OperCtrl</t>
  </si>
  <si>
    <t>Pump:Pwr</t>
  </si>
  <si>
    <t>Pump:MtrHP</t>
  </si>
  <si>
    <t>Pump:TotHd</t>
  </si>
  <si>
    <t>Pump:MtrEff</t>
  </si>
  <si>
    <t>Pump:SpdCtrl</t>
  </si>
  <si>
    <t>HtRej:Type</t>
  </si>
  <si>
    <t>HtRej:CapRtd</t>
  </si>
  <si>
    <t>HtRej:WtrFlowCap</t>
  </si>
  <si>
    <t>HtRej:TotFanHP</t>
  </si>
  <si>
    <t>Chlr:CndsrType</t>
  </si>
  <si>
    <t>Chlr:CapRtd</t>
  </si>
  <si>
    <t>Chlr:COP</t>
  </si>
  <si>
    <t>Chlr:Type</t>
  </si>
  <si>
    <t>Chlr:UnldRatMin</t>
  </si>
  <si>
    <t>Chlr:IPLVkWPerTon</t>
  </si>
  <si>
    <t>OACtrl:EconoHiTempLockout</t>
  </si>
  <si>
    <t>OACtrl:EconoHiEnthLockout</t>
  </si>
  <si>
    <t>Modify Test for Simplified Geometry: Exclude Testing/Verification of Daylighting Parameters</t>
  </si>
  <si>
    <t>Test Name</t>
  </si>
  <si>
    <t xml:space="preserve"> Example Test File Status</t>
  </si>
  <si>
    <t>Example Test File Path</t>
  </si>
  <si>
    <t>Status of Example Test Files - Simplified Geometry</t>
  </si>
  <si>
    <t>Status of Example Test Files - Detailed Geometry</t>
  </si>
  <si>
    <t xml:space="preserve">040006S-OffLrg-Run05 </t>
  </si>
  <si>
    <t xml:space="preserve">040006S-OffLrg-Run06 </t>
  </si>
  <si>
    <t>080006S-Whse-Run07</t>
  </si>
  <si>
    <t>080006S-Whse-Run08</t>
  </si>
  <si>
    <t>040006S-OffLrg-Run11</t>
  </si>
  <si>
    <t>080006S-Whse-Run15</t>
  </si>
  <si>
    <t>050006S-RetlMed-Run16</t>
  </si>
  <si>
    <t>030006S-OffMed-Run19</t>
  </si>
  <si>
    <t>040006S-OffLrg-Run20</t>
  </si>
  <si>
    <t>080006S-Whse-Run21</t>
  </si>
  <si>
    <t>070015S-HotSml-Run22</t>
  </si>
  <si>
    <t>030006S-OffMed-Run23</t>
  </si>
  <si>
    <t>020006S-OffSml-Run24</t>
  </si>
  <si>
    <t>020006S-OffSml-Run25</t>
  </si>
  <si>
    <t>020006S-OffSml-Run26</t>
  </si>
  <si>
    <t>050006S-RetlMed-Run27</t>
  </si>
  <si>
    <t>Key</t>
  </si>
  <si>
    <t>EnergyPlus calculates the Overall U-value of the assemblies using the materials and layers definitions, hence not evaluated.</t>
  </si>
  <si>
    <t>Intermediate values, not directly evaluated</t>
  </si>
  <si>
    <t>Value in cell based on a calculation performed within the cell</t>
  </si>
  <si>
    <t>Intermediate values, not directly evaluated, based on a calculation performed within the cell</t>
  </si>
  <si>
    <t>Use cell to check if values are verified</t>
  </si>
  <si>
    <t>NACM_Metal Framed Wall_New</t>
  </si>
  <si>
    <t>Chiller Capacity
 (Btu/h)</t>
  </si>
  <si>
    <t>Design Flow Rate
(gpm)</t>
  </si>
  <si>
    <t>Pump:FlowCap</t>
  </si>
  <si>
    <t>Rated Capacity</t>
  </si>
  <si>
    <t>HtRej:ModCtrl</t>
  </si>
  <si>
    <t>Chiller Capacity
(Btu/h)</t>
  </si>
  <si>
    <t>Layers -7</t>
  </si>
  <si>
    <t>MetalFrameWallU069</t>
  </si>
  <si>
    <t>SteepNonresWoodFramingAndOtherRoofU049</t>
  </si>
  <si>
    <t>SteepNonresWoodFramingAndOtherRoofU034</t>
  </si>
  <si>
    <t>Skylight Curb</t>
  </si>
  <si>
    <t>Skylight Glazing</t>
  </si>
  <si>
    <t>FenConsRef:SkyltCurb</t>
  </si>
  <si>
    <t>FenConsRef:SkyltGlz</t>
  </si>
  <si>
    <t>CurbMounted</t>
  </si>
  <si>
    <t>Glass</t>
  </si>
  <si>
    <t>Lighting Specification Method</t>
  </si>
  <si>
    <t>Cooling Efficiency
(IEER)</t>
  </si>
  <si>
    <t>CoilClg:DXIEER</t>
  </si>
  <si>
    <t>AirSys:ClRstSupHi</t>
  </si>
  <si>
    <t>AirSys: ClRstSupLow</t>
  </si>
  <si>
    <t>Simulation Aborts</t>
  </si>
  <si>
    <t>Error: The area weigted average u-factor of new Metal Frame Walls in the project. '0.189', exceed the maximum allaowable value, '0.151', violating Section 120.7. evaluating rule: Set CHECKCODE Proj:MtlFrmWallUFac[7] (15:'ContructAssembly.rule' line 6413)</t>
  </si>
  <si>
    <t>Simulation</t>
  </si>
  <si>
    <t>030006S-OffMed-Run04</t>
  </si>
  <si>
    <t>Stucco - 7/8 in.</t>
  </si>
  <si>
    <t>Asphalt roll roofing - 1/4 in.</t>
  </si>
  <si>
    <t>Plywood - 3/4 in.</t>
  </si>
  <si>
    <t>Cellular polyisocyanurate (unfaced) - 3 1/2 in. R21</t>
  </si>
  <si>
    <t>Metal Standing Seam - 1/16 in.</t>
  </si>
  <si>
    <t>Compliance Insulation R9.83</t>
  </si>
  <si>
    <t>Stucco 7/8 in.</t>
  </si>
  <si>
    <t>Compliance Insulation R21.39</t>
  </si>
  <si>
    <t>Metal Deck - 1/16 in.</t>
  </si>
  <si>
    <t>Built-up roofing - 3/8 in.</t>
  </si>
  <si>
    <t>Metal Siding - 1/16 in.</t>
  </si>
  <si>
    <t>Concrete - 140 lb/ft3 - 4 in.</t>
  </si>
  <si>
    <t>Concrete - 140 lb/ft3 - 8 in.</t>
  </si>
  <si>
    <t>Building Paper - 1/16 in.</t>
  </si>
  <si>
    <t>Hardboard - HDF - 50 lb/ft3 - 3/4 in.</t>
  </si>
  <si>
    <t xml:space="preserve"> Wood, Floor16in OC, 2x4, cav. R-15</t>
  </si>
  <si>
    <t>Concrete - 80 lb/ft3 - 4 in.</t>
  </si>
  <si>
    <t>Compliance Insulation R10.06</t>
  </si>
  <si>
    <t>Compliance Insulation R19.63</t>
  </si>
  <si>
    <t>Plywood - 5/8 in.</t>
  </si>
  <si>
    <t>Wood, Floor16in OC, 2x4, cav. R-15</t>
  </si>
  <si>
    <t>Compliance Insulation R13.99</t>
  </si>
  <si>
    <t>Compliance Insulation R28.63</t>
  </si>
  <si>
    <t>Expanded Polystyrene - EPS - 4 1/16 in. R17</t>
  </si>
  <si>
    <t>Expanded Polystyrene - EPS - 2 7/16 in. R10</t>
  </si>
  <si>
    <t>Compliance Insulation R24.86</t>
  </si>
  <si>
    <t>Compliance Insulation R34.93</t>
  </si>
  <si>
    <t>Expanded Polystyrene - EPS - 3 1/2 in. R15</t>
  </si>
  <si>
    <t>Air - Cavity - Wall Roof Ceiling - 4 in. or more</t>
  </si>
  <si>
    <t>Expanded Polystyrene - EPS - 6 1/10 in. R25</t>
  </si>
  <si>
    <t>Concrete - 140 lb/ft3 - 6 in.</t>
  </si>
  <si>
    <t>Gypsum partition block - 4 cells - 3 in. x 12 in. x 30 in. - 3 in.</t>
  </si>
  <si>
    <t>Compliance Insulation R14.60</t>
  </si>
  <si>
    <t>Compliance Insulation R8.00</t>
  </si>
  <si>
    <t>Compliance Insulation R0.02</t>
  </si>
  <si>
    <t>Compliance Insulation R0.01</t>
  </si>
  <si>
    <t>Wood, Wall16in OC, 2x4, cav. R-15</t>
  </si>
  <si>
    <t xml:space="preserve"> Compliance Insulation R2.00</t>
  </si>
  <si>
    <t>Carpet - 3/4 in.</t>
  </si>
  <si>
    <t>Expanded Polystyrene - EPS - 3 in. R13</t>
  </si>
  <si>
    <t>Air - Metal Wall Framing - 16 or 24 in. OC</t>
  </si>
  <si>
    <t>Gypsum Board - 1/2 in.</t>
  </si>
  <si>
    <t>Expanded Polystyrene - EPS - 1 7/8 in. R8.0</t>
  </si>
  <si>
    <t>Expanded Polystyrene - EPS - 3/4 in. R3.1</t>
  </si>
  <si>
    <t>Wood, Roof24in OC, 2x6, cav. R-19</t>
  </si>
  <si>
    <t>OSB - Oriented Strand Board - 5/8 in.</t>
  </si>
  <si>
    <t>Compliance Insulation R0.20</t>
  </si>
  <si>
    <t>Metal, Wall 16in. OC, 2X6, Cav. R-19</t>
  </si>
  <si>
    <t>Gypsum Board - 3/8 in.</t>
  </si>
  <si>
    <t>Expanded Polyurethane - 3/4 in. R4.7</t>
  </si>
  <si>
    <t>Plywood 3/4in</t>
  </si>
  <si>
    <t>Compliance Insulation R0.10</t>
  </si>
  <si>
    <t>Acoustic Tile - 3/4 in.</t>
  </si>
  <si>
    <t>Fixed Temperature</t>
  </si>
  <si>
    <t>GuestRoom202_205 Thermal Zone</t>
  </si>
  <si>
    <t>2nd Floor DOAS</t>
  </si>
  <si>
    <t>Guest Rooms: Floor 2</t>
  </si>
  <si>
    <t>FixedDualSetpoint</t>
  </si>
  <si>
    <t>Residential Units: Levels 1-3</t>
  </si>
  <si>
    <t>Residential Units: Level 4</t>
  </si>
  <si>
    <t>Residential Units: Zonal Exhaust Systems</t>
  </si>
  <si>
    <t>Residential Units: Floor 4</t>
  </si>
  <si>
    <t>DOAS CoilClg</t>
  </si>
  <si>
    <t>DOAS CoilHtg</t>
  </si>
  <si>
    <t>GuestRoom401-Exh Fan</t>
  </si>
  <si>
    <t>GuestRoom402_405-Exh Fan</t>
  </si>
  <si>
    <t>GuestRoom406_408-Exh Fan</t>
  </si>
  <si>
    <t>GuestRoom409_412-Exh Fan</t>
  </si>
  <si>
    <t>GuestRoom413-Exh Fan</t>
  </si>
  <si>
    <t>GuestRoom414-Exh Fan</t>
  </si>
  <si>
    <t>GuestRoom415_418-Exh Fan</t>
  </si>
  <si>
    <t>GuestRoom419-Exh Fan</t>
  </si>
  <si>
    <t>GuestRoom420_423-Exh Fan</t>
  </si>
  <si>
    <t>GuestRoom424-Exh Fan</t>
  </si>
  <si>
    <t>DOAS SupFan</t>
  </si>
  <si>
    <t>DOAS OACtrl</t>
  </si>
  <si>
    <t>Undefined</t>
  </si>
  <si>
    <t>Ventilation Source</t>
  </si>
  <si>
    <t>Exhaust Flow (cfm)</t>
  </si>
  <si>
    <t>ThrmlZn:VentSrc</t>
  </si>
  <si>
    <t>CorridorFlr1 Thermal Zone</t>
  </si>
  <si>
    <t>Forced</t>
  </si>
  <si>
    <t>CorridorFlr2 Thermal Zone</t>
  </si>
  <si>
    <t>CorridorFlr3 Thermal Zone</t>
  </si>
  <si>
    <t>CorridorFlr4 Thermal Zone</t>
  </si>
  <si>
    <t>EmployeeLoungeFlr1 Thermal Zone</t>
  </si>
  <si>
    <t>ExerciseCenterFlr1 Thermal Zone</t>
  </si>
  <si>
    <t>FrontLoungeFlr1 Thermal Zone</t>
  </si>
  <si>
    <t>FrontOfficeFlr1 Thermal Zone</t>
  </si>
  <si>
    <t>LaundryRoomFlr1 Thermal Zone</t>
  </si>
  <si>
    <t>MechanicalRoomFlr1 Thermal Zone</t>
  </si>
  <si>
    <t>MeetingRoomFlr1 Thermal Zone</t>
  </si>
  <si>
    <t>FrontStairsFlr1 Thermal Zone</t>
  </si>
  <si>
    <t>FrontStairsFlr2 Thermal Zone</t>
  </si>
  <si>
    <t>FrontStairsFlr3 Thermal Zone</t>
  </si>
  <si>
    <t>FrontStairsFlr4 Thermal Zone</t>
  </si>
  <si>
    <t>FrontStorageFlr1 Thermal Zone</t>
  </si>
  <si>
    <t>FrontStorageFlr2 Thermal Zone</t>
  </si>
  <si>
    <t>FrontStorageFlr3 Thermal Zone</t>
  </si>
  <si>
    <t>FrontStorageFlr4 Thermal Zone</t>
  </si>
  <si>
    <t>RearStairsFlr1 Thermal Zone</t>
  </si>
  <si>
    <t>RearStairsFlr2 Thermal Zone</t>
  </si>
  <si>
    <t>RearStairsFlr3 Thermal Zone</t>
  </si>
  <si>
    <t>RearStairsFlr4 Thermal Zone</t>
  </si>
  <si>
    <t>RearStorageFlr1 Thermal Zone</t>
  </si>
  <si>
    <t>RearStorageFlr2 Thermal Zone</t>
  </si>
  <si>
    <t>RearStorageFlr3 Thermal Zone</t>
  </si>
  <si>
    <t>RearStorageFlr4 Thermal Zone</t>
  </si>
  <si>
    <t>RestroomFlr1 Thermal Zone</t>
  </si>
  <si>
    <t>GuestRoom101 Thermal Zone</t>
  </si>
  <si>
    <t>GuestRoom102 Thermal Zone</t>
  </si>
  <si>
    <t>GuestRoom103 Thermal Zone</t>
  </si>
  <si>
    <t>GuestRoom104 Thermal Zone</t>
  </si>
  <si>
    <t>GuestRoom105 Thermal Zone</t>
  </si>
  <si>
    <t>GuestRoom201 Thermal Zone</t>
  </si>
  <si>
    <t>GuestRoom206_208 Thermal Zone</t>
  </si>
  <si>
    <t>GuestRoom209_212 Thermal Zone</t>
  </si>
  <si>
    <t>GuestRoom213 Thermal Zone</t>
  </si>
  <si>
    <t>GuestRoom214 Thermal Zone</t>
  </si>
  <si>
    <t>GuestRoom215_218 Thermal Zone</t>
  </si>
  <si>
    <t>GuestRoom219 Thermal Zone</t>
  </si>
  <si>
    <t>GuestRoom220_223 Thermal Zone</t>
  </si>
  <si>
    <t>GuestRoom224 Thermal Zone</t>
  </si>
  <si>
    <t>GuestRoom401 Thermal Zone</t>
  </si>
  <si>
    <t>GuestRoom402_405 Thermal Zone</t>
  </si>
  <si>
    <t>GuestRoom406_408 Thermal Zone</t>
  </si>
  <si>
    <t>GuestRoom409_412 Thermal Zone</t>
  </si>
  <si>
    <t>GuestRoom413 Thermal Zone</t>
  </si>
  <si>
    <t>GuestRoom414 Thermal Zone</t>
  </si>
  <si>
    <t>GuestRoom415_418 Thermal Zone</t>
  </si>
  <si>
    <t>GuestRoom419 Thermal Zone</t>
  </si>
  <si>
    <t>GuestRoom420_423 Thermal Zone</t>
  </si>
  <si>
    <t>GuestRoom424 Thermal Zone</t>
  </si>
  <si>
    <t>Infiltration Method</t>
  </si>
  <si>
    <t>Infiltration Schedule</t>
  </si>
  <si>
    <t>(DsgnInfRt index="1")</t>
  </si>
  <si>
    <t>GuestRoom301 Thermal Zone</t>
  </si>
  <si>
    <t>Natural</t>
  </si>
  <si>
    <t>GuestRoom301</t>
  </si>
  <si>
    <t>FlowSpace</t>
  </si>
  <si>
    <t>GuestRoom302_305 Thermal Zone</t>
  </si>
  <si>
    <t>GuestRoom302_305</t>
  </si>
  <si>
    <t>GuestRoom306_308 Thermal Zone</t>
  </si>
  <si>
    <t>GuestRoom306_308</t>
  </si>
  <si>
    <t>GuestRoom309_312 Thermal Zone</t>
  </si>
  <si>
    <t>GuestRoom309_312</t>
  </si>
  <si>
    <t>GuestRoom313 Thermal Zone</t>
  </si>
  <si>
    <t>GuestRoom313</t>
  </si>
  <si>
    <t>GuestRoom314 Thermal Zone</t>
  </si>
  <si>
    <t>GuestRoom314</t>
  </si>
  <si>
    <t>GuestRoom315_318 Thermal Zone</t>
  </si>
  <si>
    <t>GuestRoom315_318</t>
  </si>
  <si>
    <t>GuestRoom319 Thermal Zone</t>
  </si>
  <si>
    <t>GuestRoom319</t>
  </si>
  <si>
    <t>GuestRoom320_323 Thermal Zone</t>
  </si>
  <si>
    <t>GuestRoom320_323</t>
  </si>
  <si>
    <t>GuestRoom324 Thermal Zone</t>
  </si>
  <si>
    <t>GuestRoom324</t>
  </si>
  <si>
    <t>Chiller Capacity 
(Btu/h)</t>
  </si>
  <si>
    <t>FlatNonresWoodFramingAndOtherRoofU034</t>
  </si>
  <si>
    <t>MetalFrameWallU048</t>
  </si>
  <si>
    <t>Compliance Insulation R2.00</t>
  </si>
  <si>
    <t>Required Ventilation - Simulated as Infiltration (cfm)</t>
  </si>
  <si>
    <t>GuestRoom401</t>
  </si>
  <si>
    <t>GuestRoom402_405</t>
  </si>
  <si>
    <t>GuestRoom406_408</t>
  </si>
  <si>
    <t>GuestRoom409_412</t>
  </si>
  <si>
    <t>GuestRoom413</t>
  </si>
  <si>
    <t>GuestRoom414</t>
  </si>
  <si>
    <t>GuestRoom415_418</t>
  </si>
  <si>
    <t>GuestRoom419</t>
  </si>
  <si>
    <t>GuestRoom420_423</t>
  </si>
  <si>
    <t>GuestRoom424</t>
  </si>
  <si>
    <t>Required Ventilation - Simulated as Infiltration  (cfm)</t>
  </si>
  <si>
    <t>GuestRoom101</t>
  </si>
  <si>
    <t>GuestRoom102</t>
  </si>
  <si>
    <t>GuestRoom103</t>
  </si>
  <si>
    <t>GuestRoom104</t>
  </si>
  <si>
    <t>GuestRoom105</t>
  </si>
  <si>
    <t>GuestRoom201</t>
  </si>
  <si>
    <t>GuestRoom202_205</t>
  </si>
  <si>
    <t>GuestRoom206_208</t>
  </si>
  <si>
    <t>GuestRoom209_212</t>
  </si>
  <si>
    <t>GuestRoom213</t>
  </si>
  <si>
    <t>GuestRoom214</t>
  </si>
  <si>
    <t>GuestRoom215_218</t>
  </si>
  <si>
    <t>GuestRoom219</t>
  </si>
  <si>
    <t>GuestRoom220_223</t>
  </si>
  <si>
    <t>GuestRoom224</t>
  </si>
  <si>
    <t>070015S-HotSml-Run03</t>
  </si>
  <si>
    <t>WarehouseClgSetPt</t>
  </si>
  <si>
    <t>WarehouseHtgSetPt</t>
  </si>
  <si>
    <t>Exterior Envelope, Fenestration and HVAC</t>
  </si>
  <si>
    <t>FlatNonresWoodFramingAndOtherRoofU049</t>
  </si>
  <si>
    <t>Fenestration and HVAC</t>
  </si>
  <si>
    <t>Area Category Method</t>
  </si>
  <si>
    <t>Base_CZ12-NonresMetalFrameWallU062_New</t>
  </si>
  <si>
    <t>Metal standing seam roof, R-20</t>
  </si>
  <si>
    <t>Boiler 2</t>
  </si>
  <si>
    <t>FlatNonresMetalBuildingRoofU041</t>
  </si>
  <si>
    <t>Compliance Insulation R20.05</t>
  </si>
  <si>
    <t>Compliance Insulation R1.00</t>
  </si>
  <si>
    <t>Compliance Insulation R0.50</t>
  </si>
  <si>
    <t>Compliance Insulation R0.05</t>
  </si>
  <si>
    <t>050006S-RetlMed-Run28</t>
  </si>
  <si>
    <t>Exterior Envelope and HVAC</t>
  </si>
  <si>
    <t>Future</t>
  </si>
  <si>
    <t xml:space="preserve">Future </t>
  </si>
  <si>
    <t>030006S-OffMed-Run29</t>
  </si>
  <si>
    <t>HVAC and Partial Lighting</t>
  </si>
  <si>
    <t>030006S-OffMed-Run30</t>
  </si>
  <si>
    <t>Ventilation and Thermostat schedules</t>
  </si>
  <si>
    <t>Calculated Ventilation (cfm)</t>
  </si>
  <si>
    <t>Number of Residential Living or Hotel/Motel units in a modeled space</t>
  </si>
  <si>
    <t>Specification Method</t>
  </si>
  <si>
    <t>Spc:Name</t>
  </si>
  <si>
    <t>ThrmlZn:Name</t>
  </si>
  <si>
    <t>Spc:ResLivingUnitCnt</t>
  </si>
  <si>
    <t>(VentSpecMthd)</t>
  </si>
  <si>
    <t>(VentCtrlMthd)</t>
  </si>
  <si>
    <t>(InfMthd index="1")</t>
  </si>
  <si>
    <t>(InfSchRef index="1")</t>
  </si>
  <si>
    <t>Hotel/Motel Guest Room</t>
  </si>
  <si>
    <t>Maximum</t>
  </si>
  <si>
    <t>Fixed</t>
  </si>
  <si>
    <t>Ventilation and Thermostat Schedules</t>
  </si>
  <si>
    <t>Spc:SpcFunc</t>
  </si>
  <si>
    <t>GuestRoom101_Pkdg1Ph-SZAC</t>
  </si>
  <si>
    <t>Residential Units: Floor 1</t>
  </si>
  <si>
    <t>GuestRoom102_Split1Ph-SZAC</t>
  </si>
  <si>
    <t>Residential Units: Floor 2</t>
  </si>
  <si>
    <t>GuestRoom103_Pkgd1Ph-SZHP</t>
  </si>
  <si>
    <t>Residential Units: Floor 3</t>
  </si>
  <si>
    <t>GuestRoom104_Split1Ph-SZHP</t>
  </si>
  <si>
    <t>Residential Units: All Floors (other than zones above)</t>
  </si>
  <si>
    <t>Residential Units: FPFC (All)
(other than zones above)</t>
  </si>
  <si>
    <t>GuestRoom101_Dx CoilClg</t>
  </si>
  <si>
    <t>GuestRoom102_Dx CoilClg</t>
  </si>
  <si>
    <t>GuestRoom103_Dx CoilClg</t>
  </si>
  <si>
    <t>GuestRoom104_Dx CoilClg</t>
  </si>
  <si>
    <t>GuestRoom101_Furnace Htg</t>
  </si>
  <si>
    <t>GuestRoom102_Furnace Htg</t>
  </si>
  <si>
    <t>GuestRoom103_HP CoilHtg</t>
  </si>
  <si>
    <t>Electric</t>
  </si>
  <si>
    <t>GuestRoom104_HP CoilHtg</t>
  </si>
  <si>
    <t>GuestRoom101_Supply Fan</t>
  </si>
  <si>
    <t>GuestRoom102_Supply Fan</t>
  </si>
  <si>
    <t>GuestRoom103_Supply Fan</t>
  </si>
  <si>
    <t>GuestRoom104_Supply Fan</t>
  </si>
  <si>
    <t>CO2Sensors</t>
  </si>
  <si>
    <t>KitchenFlr1 Thermal Zone</t>
  </si>
  <si>
    <t>High-Rise Residential Living Spaces</t>
  </si>
  <si>
    <t>Sum</t>
  </si>
  <si>
    <t>ThrmlZn:ExhFlowSim</t>
  </si>
  <si>
    <t>AirSys:ClgCtrl</t>
  </si>
  <si>
    <t>ZnSys:ClgCtrl</t>
  </si>
  <si>
    <t>Chiller Fuel Type</t>
  </si>
  <si>
    <t>Chlr:FuelSrc</t>
  </si>
  <si>
    <t>Water-Side Economizer Name</t>
  </si>
  <si>
    <t>(HX:Type)</t>
  </si>
  <si>
    <t>(HX:EconoIntegration)</t>
  </si>
  <si>
    <t>WS-Economizer</t>
  </si>
  <si>
    <t>CounterFlow</t>
  </si>
  <si>
    <t>Value of the cell is directly or indirectly dependent on auto-sized properties of the Baseline transform. Refer to the note in the cell or in the column header.</t>
  </si>
  <si>
    <t>Condenser Type</t>
  </si>
  <si>
    <t>Power adjustment curve</t>
  </si>
  <si>
    <t>030006S-OffMed-Run13</t>
  </si>
  <si>
    <t>Exclude Test for Simplified Geometry: Only daylighting parameters are being tested.</t>
  </si>
  <si>
    <t>Test excluded for Simplified Geometry: Only daylighting parameters are being tested.</t>
  </si>
  <si>
    <t>Additional notes</t>
  </si>
  <si>
    <t>Envelope and window assembly performance
Ventilation strategies - OA via system, DOAS, natural ventilation and Ventilation induced via exhaust fans.</t>
  </si>
  <si>
    <t>Sort: Simplified Geometry Models</t>
  </si>
  <si>
    <t>020006S-OffSml-Run02</t>
  </si>
  <si>
    <t>040006S-OffLrg-Run05</t>
  </si>
  <si>
    <t>040006S-OffLrg-Run06</t>
  </si>
  <si>
    <t>Shading Objects</t>
  </si>
  <si>
    <t>ExtShdgObj</t>
  </si>
  <si>
    <t>Shading Objects on Windows</t>
  </si>
  <si>
    <t>NO - Shading Objects on Windows</t>
  </si>
  <si>
    <t>Perim1ZnSPVHP AirSys</t>
  </si>
  <si>
    <t>Perim2ZnSPVAC AirSys</t>
  </si>
  <si>
    <t>SPVHP</t>
  </si>
  <si>
    <t>SPVAC</t>
  </si>
  <si>
    <t>ZnSys:Type</t>
  </si>
  <si>
    <t>ZnSys:AvailSchRef</t>
  </si>
  <si>
    <t>ZnSys:ClgDsgnSupAirTemp</t>
  </si>
  <si>
    <t>ZnSys:HtgDsgnSupAirTemp</t>
  </si>
  <si>
    <t>CoreZNSPVAC ZnSys</t>
  </si>
  <si>
    <t>CoilClgPTACEIRRatio_fTwbToadbSI</t>
  </si>
  <si>
    <t>CoilClgPTACEIRRatio_fQFrac</t>
  </si>
  <si>
    <t>Coefficient of Performance (COP)</t>
  </si>
  <si>
    <t>Heat Pump Part-Load Efficiency Adjustment Curve</t>
  </si>
  <si>
    <t>(HtPumpEIR_fPLFCrvRef)</t>
  </si>
  <si>
    <t>HeatPump</t>
  </si>
  <si>
    <t>CoilHtgHPEIRRatio_fQFrac</t>
  </si>
  <si>
    <t>Perim1OAControl</t>
  </si>
  <si>
    <t>Perim2OAControl</t>
  </si>
  <si>
    <t>Perim4 OAControl</t>
  </si>
  <si>
    <t>CoilClgDXEER11SEER13EIRRatio_fTwbToadbSI</t>
  </si>
  <si>
    <t>AreaCategoryMethod</t>
  </si>
  <si>
    <t>PTAC</t>
  </si>
  <si>
    <t>070015-HotSml-Run22</t>
  </si>
  <si>
    <t>PTHP</t>
  </si>
  <si>
    <t>040006-OffLrg-Run17</t>
  </si>
  <si>
    <t>080006-Whse-Run09</t>
  </si>
  <si>
    <t>030006-OffMed-Run10</t>
  </si>
  <si>
    <t>NoVentilation</t>
  </si>
  <si>
    <t>Ventilation Specification Method</t>
  </si>
  <si>
    <t>For this run CBECC will use the "Detailed Geometry" model.
Test description same as corresponding Detailed Geometry test</t>
  </si>
  <si>
    <t>Type Sim</t>
  </si>
  <si>
    <t>Supply Air Control - Control Type</t>
  </si>
  <si>
    <t>AirSys:TypeSim</t>
  </si>
  <si>
    <t>SZHP</t>
  </si>
  <si>
    <t>Perim4ZnHV AirSys</t>
  </si>
  <si>
    <t>ZnSys:TypeSim</t>
  </si>
  <si>
    <t>Perim3ZnFurnace ZnSys</t>
  </si>
  <si>
    <t>Furnace</t>
  </si>
  <si>
    <t>CoilClgDXStdSEER13EIR_fTwbToadbSI</t>
  </si>
  <si>
    <t>Resistance</t>
  </si>
  <si>
    <t>Furnace Dummy Fan</t>
  </si>
  <si>
    <t>Has No Cooling Flag</t>
  </si>
  <si>
    <t>ThrmlZn:HasNoClg</t>
  </si>
  <si>
    <t>CyclingHVACAvail</t>
  </si>
  <si>
    <t>DirectlyConditioned</t>
  </si>
  <si>
    <t>TailoredMethod</t>
  </si>
  <si>
    <t>Paste ap "Space Interior Lighting Report" here -&gt;&gt;&gt;</t>
  </si>
  <si>
    <t>Internal loads - Space-by-Space
VentStd - Other</t>
  </si>
  <si>
    <t>HVAC - PVAV and CRAC
New building w/ shell space:
- ThrmlZn:HasUnknownHVAC'
- Spc:LtgStatus - Future</t>
  </si>
  <si>
    <t>Window alteration and HVAC replacement 
Existing space w/ unknown HVAC</t>
  </si>
  <si>
    <t>r6055</t>
  </si>
  <si>
    <t>Version 2019.1.0</t>
  </si>
  <si>
    <t>x</t>
  </si>
  <si>
    <t xml:space="preserve"> </t>
  </si>
  <si>
    <t>Main Entry Lobby</t>
  </si>
  <si>
    <t>Office Area (Open plan office)</t>
  </si>
  <si>
    <t>Convention, Conference, Multipurpose and Meeting Area</t>
  </si>
  <si>
    <t>Fan Operation Schedule</t>
  </si>
  <si>
    <t>ZnSys:FanOperModeSchRef</t>
  </si>
  <si>
    <t>AllOnHVACAvail</t>
  </si>
  <si>
    <t>PropNoClg-NonResZnSys</t>
  </si>
  <si>
    <t>PropNoClg-NonResZnSys-2</t>
  </si>
  <si>
    <t>System  - Name</t>
  </si>
  <si>
    <t>PropNoClg-NonResZnSys CoilClg</t>
  </si>
  <si>
    <t>PropNoClg-NonResZnSys CoilClg-2</t>
  </si>
  <si>
    <t>Dummy DX CoilClg</t>
  </si>
  <si>
    <t>PropNoClg-Dummy CoilHtg</t>
  </si>
  <si>
    <t>PropNoClg-Dummy CoilHtg-2</t>
  </si>
  <si>
    <t>Fan:FlowEff</t>
  </si>
  <si>
    <t>PropNoClg-NonResZnSys Fan</t>
  </si>
  <si>
    <t>PropNoClg-NonResZnSys Fan-2</t>
  </si>
  <si>
    <t>BaseAirSys7</t>
  </si>
  <si>
    <t>BaseAirSys7-2</t>
  </si>
  <si>
    <t>BaseAirSys7-3</t>
  </si>
  <si>
    <t>BaseAirSys7-4</t>
  </si>
  <si>
    <t>BaseAirSys7-5</t>
  </si>
  <si>
    <t>BaseSys7 CoilClg</t>
  </si>
  <si>
    <t>BaseSys7 CoilClg-2</t>
  </si>
  <si>
    <t>BaseSys7 CoilClg-3</t>
  </si>
  <si>
    <t>BaseSys7 CoilClg-4</t>
  </si>
  <si>
    <t>BaseSys7 CoilClg-5</t>
  </si>
  <si>
    <t>BaseSys7 CoilHtg</t>
  </si>
  <si>
    <t>BaseSys7 CoilHtg-2</t>
  </si>
  <si>
    <t>BaseSys7 CoilHtg-3</t>
  </si>
  <si>
    <t>BaseSys7 CoilHtg-4</t>
  </si>
  <si>
    <t>BaseSys7 CoilHtg-5</t>
  </si>
  <si>
    <t>BaseSys7 Fan</t>
  </si>
  <si>
    <t>BaseSys7 Fan-2</t>
  </si>
  <si>
    <t>BaseSys7 Fan-3</t>
  </si>
  <si>
    <t>BaseSys7 Fan-4</t>
  </si>
  <si>
    <t>BaseSys7 Fan-5</t>
  </si>
  <si>
    <t>BaseSys7 OACtrl</t>
  </si>
  <si>
    <t>BaseSys7 OACtrl-2</t>
  </si>
  <si>
    <t>BaseSys7 OACtrl-3</t>
  </si>
  <si>
    <t>BaseSys7 OACtrl-4</t>
  </si>
  <si>
    <t>BaseSys7 OACtrl-5</t>
  </si>
  <si>
    <t>Test Excluded for Simplified geometry</t>
  </si>
  <si>
    <t>Version
2019.1.0</t>
  </si>
  <si>
    <t>Streamlined Set
2019.1.0 - 2019.2.0</t>
  </si>
  <si>
    <t>Version 2019.2.0</t>
  </si>
  <si>
    <t>Version 2019.3.0 SP1</t>
  </si>
  <si>
    <t>Status: Verified
Date: 07/08/2019  
Version: CBECC-Com 2019.2.0 (861)</t>
  </si>
  <si>
    <t>Status: Verified
Date: 07/08/2019 
Version: CBECC-Com 2019.2.0 (861)</t>
  </si>
  <si>
    <t>svn.code.sf.net/p/cbecc-com/code/trunk/CBECC-Com13/Projects/RulesetImplementation2019Tests
020006-OffSml-Run01\020006-OffSml-Run01.cibd19</t>
  </si>
  <si>
    <t>svn.code.sf.net/p/cbecc-com/code/trunk/CBECC-Com13/Projects/RulesetImplementation2019Tests
020015-OffSml-Run02\020015-OffSml-Run02.cibd19</t>
  </si>
  <si>
    <t>svn.code.sf.net/p/cbecc-com/code/trunk/CBECC-Com13/Projects/RulesetImplementation2019Tests
070015-HotSml-Run03\070015-HotSml-Run03.cibd19</t>
  </si>
  <si>
    <t>svn.code.sf.net/p/cbecc-com/code/trunk/CBECC-Com13/Projects/RulesetImplementation2019Tests
030006-OffMed-Run04\030006-OffMed-Run04.cibd19</t>
  </si>
  <si>
    <t>svn.code.sf.net/p/cbecc-com/code/trunk/CBECC-Com13/Projects/RulesetImplementation2019Tests
040006-OffLrg-Run05\040006-OffLrg-Run05.cibd19</t>
  </si>
  <si>
    <t>svn.code.sf.net/p/cbecc-com/code/trunk/CBECC-Com13/Projects/RulesetImplementation2019Tests
040006-OffLrg-Run06\040006-OffLrg-Run06.cibd19</t>
  </si>
  <si>
    <t>svn.code.sf.net/p/cbecc-com/code/trunk/CBECC-Com13/Projects/RulesetImplementation2019Tests
080006-Whse-Run07\080006-Whse-Run07.cibd19</t>
  </si>
  <si>
    <t>svn.code.sf.net/p/cbecc-com/code/trunk/CBECC-Com13/Projects/RulesetImplementation2019Tests
080006-Whse-Run08\080006-Whse-Run08.cibd19</t>
  </si>
  <si>
    <t>svn.code.sf.net/p/cbecc-com/code/trunk/CBECC-Com13/Projects/RulesetImplementation2019Tests
040006-OffLrg-Run11\040006-OffLrg-Run11.cibd19</t>
  </si>
  <si>
    <t>svn.code.sf.net/p/cbecc-com/code/trunk/CBECC-Com13/Projects/RulesetImplementation2019Tests
030006-OffMed-Run12\030006-OffMed-Run12.cibd19</t>
  </si>
  <si>
    <t>svn.code.sf.net/p/cbecc-com/code/trunk/CBECC-Com13/Projects/RulesetImplementation2019Tests
030006-OffMed-Run13\030006-OffMed-Run13.cibd19</t>
  </si>
  <si>
    <t>svn.code.sf.net/p/cbecc-com/code/trunk/CBECC-Com13/Projects/RulesetImplementation2019Tests
020006-OffSml-Run14\020006-OffSml-Run14.cibd19</t>
  </si>
  <si>
    <t>svn.code.sf.net/p/cbecc-com/code/trunk/CBECC-Com13/Projects/RulesetImplementation2019Tests
080006-Whse-Run15\080006-Whse-Run15.cibd19</t>
  </si>
  <si>
    <t>svn.code.sf.net/p/cbecc-com/code/trunk/CBECC-Com13/Projects/RulesetImplementation2019Tests
050006-RetlMed-Run16\050006-RetlMed-Run16.cibd19</t>
  </si>
  <si>
    <t>svn.code.sf.net/p/cbecc-com/code/trunk/CBECC-Com13/Projects/RulesetImplementation2019Tests
030006-OffMed-Run19\030006-OffMed-Run19.cibd19</t>
  </si>
  <si>
    <t>svn.code.sf.net/p/cbecc-com/code/trunk/CBECC-Com13/Projects/RulesetImplementation2019Tests
040006-OffLrg-Run20\040006-OffLrg-Run20.cibd19</t>
  </si>
  <si>
    <t>svn.code.sf.net/p/cbecc-com/code/trunk/CBECC-Com13/Projects/RulesetImplementation2019Tests
080006-Whse-Run21\080006-Whse-Run21.cibd19</t>
  </si>
  <si>
    <t>svn.code.sf.net/p/cbecc-com/code/trunk/CBECC-Com13/Projects/RulesetImplementation2019Tests
070015-HotSml-Run22\070015-HotSml-Run22.cibd19</t>
  </si>
  <si>
    <t>svn.code.sf.net/p/cbecc-com/code/trunk/CBECC-Com13/Projects/RulesetImplementation2019Tests
030006-OffMed-Run23\030006-OffMed-Run23.cibd19</t>
  </si>
  <si>
    <t>svn.code.sf.net/p/cbecc-com/code/trunk/CBECC-Com13/Projects/RulesetImplementation2019Tests
020006-OffSml-Run24\020006-OffSml-Run24.cibd19</t>
  </si>
  <si>
    <t>svn.code.sf.net/p/cbecc-com/code/trunk/CBECC-Com13/Projects/RulesetImplementation2019Tests
020006-OffSml-Run25\020006-OffSml-Run25.cibd19</t>
  </si>
  <si>
    <t>svn.code.sf.net/p/cbecc-com/code/trunk/CBECC-Com13/Projects/RulesetImplementation2019Tests
020006-OffSml-Run26\020006-OffSml-Run26.cibd19</t>
  </si>
  <si>
    <t>svn.code.sf.net/p/cbecc-com/code/trunk/CBECC-Com13/Projects/RulesetImplementation2019Tests
050006-RetlMed-Run27\050006-RetlMed-Run27.cibd19</t>
  </si>
  <si>
    <t>svn.code.sf.net/p/cbecc-com/code/trunk/CBECC-Com13/Projects/RulesetImplementation2019Tests
050006-RetlMed-Run28\050006-RetlMed-Run28.cibd19</t>
  </si>
  <si>
    <t>svn.code.sf.net/p/cbecc-com/code/trunk/CBECC-Com13/Projects/RulesetImplementation2019Tests
030006-OffMed-Run29\030006-OffMed-Run29.cibd19</t>
  </si>
  <si>
    <t>svn.code.sf.net/p/cbecc-com/code/trunk/CBECC-Com13/Projects/RulesetImplementation2019Tests
030006-OffMed-Run30\030006-OffMed-Run30.cibd19</t>
  </si>
  <si>
    <t>Release package</t>
  </si>
  <si>
    <t>CBECC-Com 209.1.0 release</t>
  </si>
  <si>
    <t>Jireh Peng</t>
  </si>
  <si>
    <t>Tyler Dodd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</si>
</sst>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0"/>
    <numFmt numFmtId="165" formatCode="0.0"/>
    <numFmt numFmtId="166" formatCode="0.0000"/>
    <numFmt numFmtId="167" formatCode="0.0000000000"/>
    <numFmt numFmtId="168" formatCode="0.00000"/>
  </numFmts>
  <fonts count="6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sz val="11"/>
      <name val="Calibri"/>
      <family val="2"/>
      <scheme val="minor"/>
    </font>
    <font>
      <sz val="10"/>
      <color theme="1"/>
      <name val="Calibri"/>
      <family val="2"/>
      <scheme val="minor"/>
    </font>
    <font>
      <sz val="10"/>
      <color rgb="FFFF0000"/>
      <name val="Calibri"/>
      <family val="2"/>
      <scheme val="minor"/>
    </font>
    <font>
      <b/>
      <sz val="10"/>
      <name val="Calibri"/>
      <family val="2"/>
      <scheme val="minor"/>
    </font>
    <font>
      <sz val="10"/>
      <color theme="0" tint="-0.499984740745262"/>
      <name val="Calibri"/>
      <family val="2"/>
      <scheme val="minor"/>
    </font>
    <font>
      <b/>
      <sz val="10"/>
      <color theme="1"/>
      <name val="Calibri"/>
      <family val="2"/>
      <scheme val="minor"/>
    </font>
    <font>
      <sz val="10"/>
      <color theme="0" tint="-0.34998626667073579"/>
      <name val="Calibri"/>
      <family val="2"/>
      <scheme val="minor"/>
    </font>
    <font>
      <b/>
      <sz val="10"/>
      <color rgb="FFFF0000"/>
      <name val="Calibri"/>
      <family val="2"/>
      <scheme val="minor"/>
    </font>
    <font>
      <b/>
      <sz val="10"/>
      <color theme="0" tint="-0.34998626667073579"/>
      <name val="Calibri"/>
      <family val="2"/>
      <scheme val="minor"/>
    </font>
    <font>
      <b/>
      <sz val="10"/>
      <color theme="0" tint="-0.499984740745262"/>
      <name val="Calibri"/>
      <family val="2"/>
      <scheme val="minor"/>
    </font>
    <font>
      <b/>
      <sz val="11"/>
      <color rgb="FFFF0000"/>
      <name val="Calibri"/>
      <family val="2"/>
      <scheme val="minor"/>
    </font>
    <font>
      <b/>
      <sz val="10"/>
      <color rgb="FF0000FF"/>
      <name val="Calibri"/>
      <family val="2"/>
      <scheme val="minor"/>
    </font>
    <font>
      <sz val="10"/>
      <color rgb="FF3F3F76"/>
      <name val="Calibri"/>
      <family val="2"/>
      <scheme val="minor"/>
    </font>
    <font>
      <sz val="10"/>
      <color theme="0" tint="-0.249977111117893"/>
      <name val="Calibri"/>
      <family val="2"/>
      <scheme val="minor"/>
    </font>
    <font>
      <b/>
      <sz val="8"/>
      <color rgb="FFFF0000"/>
      <name val="Calibri"/>
      <family val="2"/>
      <scheme val="minor"/>
    </font>
    <font>
      <b/>
      <sz val="9"/>
      <color indexed="81"/>
      <name val="Tahoma"/>
      <family val="2"/>
    </font>
    <font>
      <sz val="9"/>
      <color indexed="81"/>
      <name val="Tahoma"/>
      <family val="2"/>
    </font>
    <font>
      <sz val="10"/>
      <color theme="1"/>
      <name val="Arial"/>
      <family val="2"/>
    </font>
    <font>
      <b/>
      <sz val="10"/>
      <color rgb="FF000000"/>
      <name val="Arial"/>
      <family val="2"/>
    </font>
    <font>
      <sz val="10"/>
      <color rgb="FF000000"/>
      <name val="Arial"/>
      <family val="2"/>
    </font>
    <font>
      <b/>
      <sz val="10"/>
      <color rgb="FF0000FF"/>
      <name val="Arial"/>
      <family val="2"/>
    </font>
    <font>
      <sz val="10"/>
      <color rgb="FF999999"/>
      <name val="Arial"/>
      <family val="2"/>
    </font>
    <font>
      <sz val="10"/>
      <color rgb="FFFF0000"/>
      <name val="Arial"/>
      <family val="2"/>
    </font>
    <font>
      <sz val="10"/>
      <color rgb="FFCCCCCC"/>
      <name val="Arial"/>
      <family val="2"/>
    </font>
    <font>
      <sz val="10"/>
      <name val="Arial"/>
      <family val="2"/>
    </font>
    <font>
      <sz val="10"/>
      <color rgb="FF0000FF"/>
      <name val="Calibri"/>
      <family val="2"/>
      <scheme val="minor"/>
    </font>
    <font>
      <sz val="10"/>
      <color theme="1" tint="0.249977111117893"/>
      <name val="Calibri"/>
      <family val="2"/>
      <scheme val="minor"/>
    </font>
    <font>
      <sz val="11"/>
      <color theme="0" tint="-0.14999847407452621"/>
      <name val="Calibri"/>
      <family val="2"/>
      <scheme val="minor"/>
    </font>
    <font>
      <sz val="10"/>
      <color theme="1" tint="0.34998626667073579"/>
      <name val="Calibri"/>
      <family val="2"/>
      <scheme val="minor"/>
    </font>
    <font>
      <sz val="11"/>
      <color theme="0" tint="-0.34998626667073579"/>
      <name val="Calibri"/>
      <family val="2"/>
      <scheme val="minor"/>
    </font>
    <font>
      <i/>
      <sz val="10"/>
      <color theme="0" tint="-0.34998626667073579"/>
      <name val="Calibri"/>
      <family val="2"/>
      <scheme val="minor"/>
    </font>
    <font>
      <b/>
      <sz val="10"/>
      <color rgb="FFFF0000"/>
      <name val="Arial"/>
      <family val="2"/>
    </font>
    <font>
      <b/>
      <u/>
      <sz val="10"/>
      <color theme="1"/>
      <name val="Calibri"/>
      <family val="2"/>
      <scheme val="minor"/>
    </font>
    <font>
      <b/>
      <u/>
      <sz val="10"/>
      <color theme="0" tint="-0.34998626667073579"/>
      <name val="Calibri"/>
      <family val="2"/>
      <scheme val="minor"/>
    </font>
    <font>
      <b/>
      <u/>
      <sz val="10"/>
      <name val="Calibri"/>
      <family val="2"/>
      <scheme val="minor"/>
    </font>
    <font>
      <sz val="10"/>
      <color theme="0" tint="-0.499984740745262"/>
      <name val="Arial"/>
      <family val="2"/>
    </font>
    <font>
      <i/>
      <sz val="9"/>
      <color indexed="81"/>
      <name val="Tahoma"/>
      <family val="2"/>
    </font>
    <font>
      <sz val="11"/>
      <color theme="0" tint="-0.499984740745262"/>
      <name val="Calibri"/>
      <family val="2"/>
      <scheme val="minor"/>
    </font>
    <font>
      <b/>
      <sz val="10"/>
      <color theme="1" tint="0.249977111117893"/>
      <name val="Calibri"/>
      <family val="2"/>
      <scheme val="minor"/>
    </font>
    <font>
      <sz val="10"/>
      <color theme="1" tint="0.499984740745262"/>
      <name val="Calibri"/>
      <family val="2"/>
      <scheme val="minor"/>
    </font>
    <font>
      <u/>
      <sz val="9"/>
      <color indexed="81"/>
      <name val="Tahoma"/>
      <family val="2"/>
    </font>
    <font>
      <sz val="10"/>
      <color theme="0" tint="-0.14999847407452621"/>
      <name val="Calibri"/>
      <family val="2"/>
      <scheme val="minor"/>
    </font>
    <font>
      <sz val="10"/>
      <color theme="9" tint="-0.249977111117893"/>
      <name val="Calibri"/>
      <family val="2"/>
      <scheme val="minor"/>
    </font>
    <font>
      <b/>
      <sz val="10"/>
      <color theme="9" tint="-0.249977111117893"/>
      <name val="Calibri"/>
      <family val="2"/>
      <scheme val="minor"/>
    </font>
    <font>
      <b/>
      <sz val="14"/>
      <color rgb="FFFF0000"/>
      <name val="Calibri"/>
      <family val="2"/>
      <scheme val="minor"/>
    </font>
    <font>
      <b/>
      <sz val="10"/>
      <color theme="1"/>
      <name val="Arial"/>
      <family val="2"/>
    </font>
    <font>
      <b/>
      <sz val="10"/>
      <color rgb="FF00B0F0"/>
      <name val="Arial"/>
      <family val="2"/>
    </font>
    <font>
      <sz val="10"/>
      <color rgb="FF00B0F0"/>
      <name val="Arial"/>
      <family val="2"/>
    </font>
    <font>
      <sz val="10"/>
      <color theme="0" tint="-0.249977111117893"/>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D9D9D9"/>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rgb="FFFFFF00"/>
        <bgColor indexed="64"/>
      </patternFill>
    </fill>
  </fills>
  <borders count="9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rgb="FF7F7F7F"/>
      </left>
      <right style="thin">
        <color rgb="FF7F7F7F"/>
      </right>
      <top/>
      <bottom style="thin">
        <color rgb="FF7F7F7F"/>
      </bottom>
      <diagonal/>
    </border>
    <border>
      <left/>
      <right/>
      <top style="thin">
        <color indexed="64"/>
      </top>
      <bottom/>
      <diagonal/>
    </border>
    <border>
      <left/>
      <right/>
      <top/>
      <bottom style="double">
        <color indexed="64"/>
      </bottom>
      <diagonal/>
    </border>
    <border>
      <left style="thin">
        <color indexed="64"/>
      </left>
      <right style="thin">
        <color rgb="FF7F7F7F"/>
      </right>
      <top style="thin">
        <color rgb="FF7F7F7F"/>
      </top>
      <bottom style="thin">
        <color rgb="FF7F7F7F"/>
      </bottom>
      <diagonal/>
    </border>
    <border>
      <left style="thin">
        <color indexed="64"/>
      </left>
      <right style="thin">
        <color rgb="FF7F7F7F"/>
      </right>
      <top/>
      <bottom style="thin">
        <color rgb="FF7F7F7F"/>
      </bottom>
      <diagonal/>
    </border>
    <border>
      <left/>
      <right style="thin">
        <color rgb="FF7F7F7F"/>
      </right>
      <top/>
      <bottom style="thin">
        <color rgb="FF7F7F7F"/>
      </bottom>
      <diagonal/>
    </border>
    <border>
      <left style="thin">
        <color indexed="64"/>
      </left>
      <right style="thin">
        <color rgb="FF7F7F7F"/>
      </right>
      <top style="thin">
        <color rgb="FF7F7F7F"/>
      </top>
      <bottom style="thin">
        <color indexed="64"/>
      </bottom>
      <diagonal/>
    </border>
    <border>
      <left style="thin">
        <color rgb="FF7F7F7F"/>
      </left>
      <right style="thin">
        <color rgb="FF7F7F7F"/>
      </right>
      <top style="thin">
        <color rgb="FF7F7F7F"/>
      </top>
      <bottom style="thin">
        <color indexed="64"/>
      </bottom>
      <diagonal/>
    </border>
    <border>
      <left style="thin">
        <color rgb="FF7F7F7F"/>
      </left>
      <right style="thin">
        <color rgb="FF7F7F7F"/>
      </right>
      <top/>
      <bottom style="thin">
        <color indexed="64"/>
      </bottom>
      <diagonal/>
    </border>
    <border>
      <left/>
      <right style="thin">
        <color rgb="FF7F7F7F"/>
      </right>
      <top/>
      <bottom style="thin">
        <color indexed="64"/>
      </bottom>
      <diagonal/>
    </border>
    <border>
      <left style="thin">
        <color indexed="64"/>
      </left>
      <right style="thin">
        <color rgb="FF7F7F7F"/>
      </right>
      <top/>
      <bottom style="thin">
        <color indexed="64"/>
      </bottom>
      <diagonal/>
    </border>
    <border>
      <left/>
      <right style="thin">
        <color rgb="FF7F7F7F"/>
      </right>
      <top style="thin">
        <color rgb="FF7F7F7F"/>
      </top>
      <bottom style="thin">
        <color rgb="FF7F7F7F"/>
      </bottom>
      <diagonal/>
    </border>
    <border>
      <left/>
      <right style="thin">
        <color rgb="FF7F7F7F"/>
      </right>
      <top style="thin">
        <color rgb="FF7F7F7F"/>
      </top>
      <bottom style="thin">
        <color indexed="64"/>
      </bottom>
      <diagonal/>
    </border>
    <border>
      <left style="thin">
        <color indexed="64"/>
      </left>
      <right style="thin">
        <color rgb="FF7F7F7F"/>
      </right>
      <top style="thin">
        <color rgb="FF7F7F7F"/>
      </top>
      <bottom/>
      <diagonal/>
    </border>
    <border>
      <left/>
      <right style="thin">
        <color rgb="FF7F7F7F"/>
      </right>
      <top style="thin">
        <color rgb="FF7F7F7F"/>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rgb="FF7F7F7F"/>
      </left>
      <right style="thin">
        <color indexed="64"/>
      </right>
      <top/>
      <bottom style="thin">
        <color indexed="64"/>
      </bottom>
      <diagonal/>
    </border>
    <border>
      <left style="thin">
        <color rgb="FF7F7F7F"/>
      </left>
      <right style="thin">
        <color indexed="64"/>
      </right>
      <top style="double">
        <color indexed="64"/>
      </top>
      <bottom/>
      <diagonal/>
    </border>
    <border>
      <left style="thin">
        <color indexed="64"/>
      </left>
      <right style="thin">
        <color rgb="FF7F7F7F"/>
      </right>
      <top style="double">
        <color indexed="64"/>
      </top>
      <bottom style="thin">
        <color rgb="FF7F7F7F"/>
      </bottom>
      <diagonal/>
    </border>
    <border>
      <left/>
      <right/>
      <top style="double">
        <color indexed="64"/>
      </top>
      <bottom/>
      <diagonal/>
    </border>
    <border>
      <left/>
      <right style="thin">
        <color indexed="64"/>
      </right>
      <top style="double">
        <color indexed="64"/>
      </top>
      <bottom/>
      <diagonal/>
    </border>
    <border>
      <left style="thin">
        <color indexed="64"/>
      </left>
      <right style="thin">
        <color rgb="FF7F7F7F"/>
      </right>
      <top/>
      <bottom/>
      <diagonal/>
    </border>
    <border>
      <left style="thin">
        <color rgb="FF7F7F7F"/>
      </left>
      <right/>
      <top/>
      <bottom style="thin">
        <color indexed="64"/>
      </bottom>
      <diagonal/>
    </border>
    <border>
      <left style="thin">
        <color rgb="FF7F7F7F"/>
      </left>
      <right style="thin">
        <color indexed="64"/>
      </right>
      <top/>
      <bottom/>
      <diagonal/>
    </border>
    <border>
      <left/>
      <right style="thin">
        <color rgb="FF7F7F7F"/>
      </right>
      <top style="thin">
        <color indexed="64"/>
      </top>
      <bottom style="thin">
        <color rgb="FF7F7F7F"/>
      </bottom>
      <diagonal/>
    </border>
    <border>
      <left style="thin">
        <color indexed="64"/>
      </left>
      <right style="thin">
        <color rgb="FF7F7F7F"/>
      </right>
      <top style="thin">
        <color indexed="64"/>
      </top>
      <bottom style="thin">
        <color rgb="FF7F7F7F"/>
      </bottom>
      <diagonal/>
    </border>
    <border>
      <left/>
      <right style="thin">
        <color rgb="FF7F7F7F"/>
      </right>
      <top style="double">
        <color indexed="64"/>
      </top>
      <bottom style="thin">
        <color rgb="FF7F7F7F"/>
      </bottom>
      <diagonal/>
    </border>
    <border>
      <left style="thin">
        <color indexed="64"/>
      </left>
      <right style="thin">
        <color indexed="64"/>
      </right>
      <top/>
      <bottom style="thin">
        <color indexed="64"/>
      </bottom>
      <diagonal/>
    </border>
    <border>
      <left style="thin">
        <color indexed="64"/>
      </left>
      <right style="thin">
        <color rgb="FF7F7F7F"/>
      </right>
      <top style="double">
        <color indexed="64"/>
      </top>
      <bottom style="thin">
        <color indexed="64"/>
      </bottom>
      <diagonal/>
    </border>
    <border>
      <left style="thin">
        <color indexed="64"/>
      </left>
      <right/>
      <top style="thin">
        <color rgb="FF7F7F7F"/>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double">
        <color indexed="64"/>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indexed="64"/>
      </left>
      <right style="thin">
        <color rgb="FF7F7F7F"/>
      </right>
      <top style="double">
        <color indexed="64"/>
      </top>
      <bottom/>
      <diagonal/>
    </border>
    <border>
      <left style="thin">
        <color theme="0" tint="-0.499984740745262"/>
      </left>
      <right style="thin">
        <color indexed="64"/>
      </right>
      <top/>
      <bottom/>
      <diagonal/>
    </border>
    <border>
      <left style="thin">
        <color indexed="64"/>
      </left>
      <right/>
      <top style="double">
        <color indexed="64"/>
      </top>
      <bottom style="thin">
        <color indexed="64"/>
      </bottom>
      <diagonal/>
    </border>
    <border>
      <left style="thin">
        <color indexed="64"/>
      </left>
      <right style="thin">
        <color theme="0" tint="-0.499984740745262"/>
      </right>
      <top style="double">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right style="thin">
        <color rgb="FF7F7F7F"/>
      </right>
      <top style="double">
        <color indexed="64"/>
      </top>
      <bottom style="thin">
        <color indexed="64"/>
      </bottom>
      <diagonal/>
    </border>
    <border>
      <left style="thin">
        <color theme="0" tint="-0.499984740745262"/>
      </left>
      <right style="thin">
        <color theme="0" tint="-0.499984740745262"/>
      </right>
      <top style="double">
        <color indexed="64"/>
      </top>
      <bottom style="thin">
        <color indexed="64"/>
      </bottom>
      <diagonal/>
    </border>
    <border>
      <left style="thin">
        <color rgb="FF7F7F7F"/>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theme="0" tint="-0.499984740745262"/>
      </right>
      <top style="double">
        <color indexed="64"/>
      </top>
      <bottom style="thin">
        <color indexed="64"/>
      </bottom>
      <diagonal/>
    </border>
    <border>
      <left style="thin">
        <color rgb="FF7F7F7F"/>
      </left>
      <right/>
      <top style="double">
        <color indexed="64"/>
      </top>
      <bottom style="thin">
        <color indexed="64"/>
      </bottom>
      <diagonal/>
    </border>
    <border>
      <left style="thin">
        <color indexed="64"/>
      </left>
      <right style="thin">
        <color indexed="64"/>
      </right>
      <top style="double">
        <color indexed="64"/>
      </top>
      <bottom style="thin">
        <color rgb="FF7F7F7F"/>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diagonal/>
    </border>
    <border>
      <left style="thin">
        <color indexed="64"/>
      </left>
      <right style="thin">
        <color indexed="64"/>
      </right>
      <top style="thin">
        <color rgb="FF7F7F7F"/>
      </top>
      <bottom style="thin">
        <color indexed="64"/>
      </bottom>
      <diagonal/>
    </border>
    <border>
      <left style="thin">
        <color indexed="64"/>
      </left>
      <right/>
      <top style="thin">
        <color rgb="FF7F7F7F"/>
      </top>
      <bottom style="thin">
        <color indexed="64"/>
      </bottom>
      <diagonal/>
    </border>
    <border>
      <left style="thin">
        <color indexed="64"/>
      </left>
      <right/>
      <top style="double">
        <color indexed="64"/>
      </top>
      <bottom style="thin">
        <color theme="0" tint="-0.14996795556505021"/>
      </bottom>
      <diagonal/>
    </border>
    <border>
      <left/>
      <right/>
      <top style="double">
        <color indexed="64"/>
      </top>
      <bottom style="thin">
        <color theme="0" tint="-0.14996795556505021"/>
      </bottom>
      <diagonal/>
    </border>
    <border>
      <left style="thin">
        <color indexed="64"/>
      </left>
      <right style="thin">
        <color rgb="FF7F7F7F"/>
      </right>
      <top style="double">
        <color indexed="64"/>
      </top>
      <bottom style="thin">
        <color theme="0" tint="-0.14996795556505021"/>
      </bottom>
      <diagonal/>
    </border>
    <border>
      <left/>
      <right style="thin">
        <color indexed="64"/>
      </right>
      <top style="double">
        <color indexed="64"/>
      </top>
      <bottom style="thin">
        <color theme="0" tint="-0.14996795556505021"/>
      </bottom>
      <diagonal/>
    </border>
    <border>
      <left style="thin">
        <color theme="0" tint="-0.499984740745262"/>
      </left>
      <right style="thin">
        <color theme="0" tint="-0.499984740745262"/>
      </right>
      <top style="thin">
        <color theme="0" tint="-0.499984740745262"/>
      </top>
      <bottom style="thin">
        <color indexed="64"/>
      </bottom>
      <diagonal/>
    </border>
    <border>
      <left style="thin">
        <color auto="1"/>
      </left>
      <right/>
      <top style="thin">
        <color theme="0" tint="-0.14996795556505021"/>
      </top>
      <bottom/>
      <diagonal/>
    </border>
    <border>
      <left/>
      <right style="thin">
        <color auto="1"/>
      </right>
      <top style="thin">
        <color theme="0" tint="-0.14996795556505021"/>
      </top>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1" fillId="5" borderId="4" applyNumberFormat="0" applyAlignment="0" applyProtection="0"/>
  </cellStyleXfs>
  <cellXfs count="1030">
    <xf numFmtId="0" fontId="0" fillId="0" borderId="0" xfId="0"/>
    <xf numFmtId="2" fontId="18" fillId="0" borderId="0" xfId="0" applyNumberFormat="1" applyFont="1" applyBorder="1" applyAlignment="1">
      <alignment horizontal="left" vertical="top"/>
    </xf>
    <xf numFmtId="0" fontId="23" fillId="0" borderId="0" xfId="0" applyFont="1" applyBorder="1" applyAlignment="1">
      <alignment horizontal="left" vertical="top"/>
    </xf>
    <xf numFmtId="0" fontId="24" fillId="0" borderId="0" xfId="0" applyFont="1" applyBorder="1" applyAlignment="1">
      <alignment horizontal="left" vertical="top"/>
    </xf>
    <xf numFmtId="0" fontId="25" fillId="0" borderId="0" xfId="0" applyFont="1" applyFill="1" applyBorder="1" applyAlignment="1">
      <alignment horizontal="left" vertical="top"/>
    </xf>
    <xf numFmtId="14" fontId="20" fillId="0" borderId="0" xfId="0" applyNumberFormat="1" applyFont="1" applyBorder="1" applyAlignment="1">
      <alignment horizontal="left" vertical="top"/>
    </xf>
    <xf numFmtId="164" fontId="20" fillId="0" borderId="0" xfId="0" applyNumberFormat="1" applyFont="1" applyBorder="1" applyAlignment="1">
      <alignment horizontal="left" vertical="top"/>
    </xf>
    <xf numFmtId="0" fontId="20" fillId="0" borderId="0" xfId="0" quotePrefix="1" applyFont="1" applyBorder="1" applyAlignment="1">
      <alignment horizontal="left" vertical="top"/>
    </xf>
    <xf numFmtId="0" fontId="22" fillId="0" borderId="0" xfId="0" applyFont="1" applyBorder="1" applyAlignment="1">
      <alignment horizontal="left" vertical="top"/>
    </xf>
    <xf numFmtId="14" fontId="20" fillId="0" borderId="0" xfId="0" applyNumberFormat="1" applyFont="1" applyBorder="1" applyAlignment="1">
      <alignment horizontal="left" vertical="top" wrapText="1"/>
    </xf>
    <xf numFmtId="0" fontId="25" fillId="0" borderId="0" xfId="0" applyFont="1" applyBorder="1" applyAlignment="1">
      <alignment horizontal="left" vertical="top"/>
    </xf>
    <xf numFmtId="0" fontId="26" fillId="0" borderId="0" xfId="0" applyFont="1" applyBorder="1" applyAlignment="1">
      <alignment horizontal="left" vertical="top"/>
    </xf>
    <xf numFmtId="1" fontId="18" fillId="0" borderId="0" xfId="0" applyNumberFormat="1" applyFont="1" applyBorder="1" applyAlignment="1">
      <alignment horizontal="left" vertical="top"/>
    </xf>
    <xf numFmtId="0" fontId="20" fillId="34" borderId="0" xfId="0" quotePrefix="1" applyFont="1" applyFill="1" applyBorder="1" applyAlignment="1">
      <alignment horizontal="left" vertical="top"/>
    </xf>
    <xf numFmtId="0" fontId="23" fillId="0" borderId="0" xfId="0" applyFont="1" applyFill="1" applyBorder="1" applyAlignment="1">
      <alignment horizontal="left" vertical="top"/>
    </xf>
    <xf numFmtId="0" fontId="24" fillId="0" borderId="0" xfId="0" applyFont="1" applyFill="1" applyBorder="1" applyAlignment="1">
      <alignment horizontal="left" vertical="top"/>
    </xf>
    <xf numFmtId="0" fontId="26" fillId="0" borderId="0" xfId="0" applyFont="1" applyFill="1" applyBorder="1" applyAlignment="1">
      <alignment horizontal="left" vertical="top"/>
    </xf>
    <xf numFmtId="0" fontId="20" fillId="0" borderId="0" xfId="0" applyFont="1" applyFill="1" applyBorder="1" applyAlignment="1">
      <alignment horizontal="left" vertical="top"/>
    </xf>
    <xf numFmtId="0" fontId="21" fillId="0" borderId="0" xfId="0" applyFont="1" applyFill="1" applyBorder="1" applyAlignment="1">
      <alignment horizontal="left" vertical="top"/>
    </xf>
    <xf numFmtId="0" fontId="20" fillId="0" borderId="0" xfId="0" applyFont="1" applyBorder="1" applyAlignment="1">
      <alignment horizontal="left" vertical="top"/>
    </xf>
    <xf numFmtId="0" fontId="18" fillId="0" borderId="0" xfId="0" applyFont="1" applyFill="1" applyBorder="1" applyAlignment="1">
      <alignment horizontal="left" vertical="top"/>
    </xf>
    <xf numFmtId="0" fontId="18" fillId="0" borderId="0" xfId="0" applyFont="1" applyBorder="1" applyAlignment="1">
      <alignment horizontal="left" vertical="top"/>
    </xf>
    <xf numFmtId="2" fontId="18" fillId="0" borderId="0" xfId="0" applyNumberFormat="1" applyFont="1" applyFill="1" applyBorder="1" applyAlignment="1">
      <alignment horizontal="left" vertical="top"/>
    </xf>
    <xf numFmtId="0" fontId="20" fillId="0" borderId="0" xfId="0" applyFont="1" applyBorder="1" applyAlignment="1">
      <alignment horizontal="left" vertical="top"/>
    </xf>
    <xf numFmtId="0" fontId="24" fillId="36" borderId="0" xfId="0" applyFont="1" applyFill="1" applyBorder="1" applyAlignment="1">
      <alignment horizontal="left" vertical="top"/>
    </xf>
    <xf numFmtId="0" fontId="25" fillId="0" borderId="0" xfId="0" applyFont="1" applyFill="1" applyBorder="1" applyAlignment="1">
      <alignment horizontal="left" vertical="top" wrapText="1"/>
    </xf>
    <xf numFmtId="0" fontId="23" fillId="35" borderId="0" xfId="0" applyFont="1" applyFill="1" applyBorder="1" applyAlignment="1">
      <alignment horizontal="left" vertical="top"/>
    </xf>
    <xf numFmtId="2" fontId="18" fillId="0" borderId="0" xfId="0" applyNumberFormat="1" applyFont="1" applyBorder="1" applyAlignment="1">
      <alignment horizontal="left" vertical="top" wrapText="1"/>
    </xf>
    <xf numFmtId="0" fontId="24" fillId="35" borderId="0" xfId="0" applyFont="1" applyFill="1" applyBorder="1" applyAlignment="1">
      <alignment horizontal="left" vertical="top"/>
    </xf>
    <xf numFmtId="0" fontId="25" fillId="0" borderId="0" xfId="0" applyFont="1" applyBorder="1" applyAlignment="1">
      <alignment horizontal="left" vertical="top" wrapText="1"/>
    </xf>
    <xf numFmtId="0" fontId="20" fillId="0" borderId="0" xfId="0" quotePrefix="1" applyFont="1" applyBorder="1" applyAlignment="1">
      <alignment horizontal="left" vertical="top" wrapText="1"/>
    </xf>
    <xf numFmtId="2" fontId="20" fillId="0" borderId="0" xfId="0" applyNumberFormat="1" applyFont="1" applyBorder="1" applyAlignment="1">
      <alignment horizontal="left" vertical="top" wrapText="1"/>
    </xf>
    <xf numFmtId="164" fontId="20" fillId="0" borderId="0" xfId="0" applyNumberFormat="1" applyFont="1" applyBorder="1" applyAlignment="1">
      <alignment horizontal="left" vertical="top" wrapText="1"/>
    </xf>
    <xf numFmtId="0" fontId="24" fillId="0" borderId="0" xfId="0" applyFont="1" applyBorder="1" applyAlignment="1">
      <alignment vertical="top" wrapText="1"/>
    </xf>
    <xf numFmtId="0" fontId="28" fillId="0" borderId="0" xfId="0" applyFont="1" applyBorder="1" applyAlignment="1">
      <alignment horizontal="left" vertical="top"/>
    </xf>
    <xf numFmtId="0" fontId="20" fillId="0" borderId="0" xfId="0" quotePrefix="1" applyFont="1" applyFill="1" applyBorder="1" applyAlignment="1">
      <alignment horizontal="left" vertical="top"/>
    </xf>
    <xf numFmtId="0" fontId="22" fillId="0" borderId="0" xfId="0" applyFont="1" applyBorder="1" applyAlignment="1">
      <alignment horizontal="left" vertical="top" wrapText="1"/>
    </xf>
    <xf numFmtId="0" fontId="24" fillId="0" borderId="0" xfId="0" applyFont="1" applyBorder="1" applyAlignment="1">
      <alignment horizontal="left" vertical="top" wrapText="1"/>
    </xf>
    <xf numFmtId="0" fontId="24" fillId="0" borderId="0" xfId="0" applyFont="1" applyFill="1" applyBorder="1" applyAlignment="1">
      <alignment horizontal="left" vertical="top" wrapText="1"/>
    </xf>
    <xf numFmtId="0" fontId="28" fillId="0" borderId="0" xfId="0" applyFont="1" applyFill="1" applyBorder="1" applyAlignment="1">
      <alignment horizontal="left" vertical="top"/>
    </xf>
    <xf numFmtId="0" fontId="22" fillId="0" borderId="0" xfId="0" applyFont="1" applyFill="1" applyBorder="1" applyAlignment="1">
      <alignment horizontal="left" vertical="top"/>
    </xf>
    <xf numFmtId="0" fontId="20" fillId="0" borderId="0" xfId="0" applyFont="1" applyFill="1"/>
    <xf numFmtId="0" fontId="20" fillId="0" borderId="0" xfId="0" applyFont="1" applyFill="1" applyBorder="1" applyAlignment="1">
      <alignment horizontal="left" vertical="top" wrapText="1"/>
    </xf>
    <xf numFmtId="0" fontId="20" fillId="0" borderId="0" xfId="0" applyFont="1" applyFill="1" applyAlignment="1">
      <alignment horizontal="left" wrapText="1"/>
    </xf>
    <xf numFmtId="0" fontId="24" fillId="35" borderId="0" xfId="0" applyFont="1" applyFill="1" applyBorder="1" applyAlignment="1">
      <alignment horizontal="left" vertical="top" wrapText="1"/>
    </xf>
    <xf numFmtId="0" fontId="24" fillId="36" borderId="0" xfId="0" applyFont="1" applyFill="1" applyBorder="1" applyAlignment="1">
      <alignment horizontal="left" vertical="top" wrapText="1"/>
    </xf>
    <xf numFmtId="0" fontId="18" fillId="0" borderId="0" xfId="0" applyFont="1" applyFill="1" applyAlignment="1">
      <alignment horizontal="left" wrapText="1"/>
    </xf>
    <xf numFmtId="0" fontId="23" fillId="0" borderId="0" xfId="0" applyFont="1" applyBorder="1" applyAlignment="1">
      <alignment vertical="top" wrapText="1"/>
    </xf>
    <xf numFmtId="0" fontId="22" fillId="35" borderId="0" xfId="0" applyFont="1" applyFill="1" applyBorder="1" applyAlignment="1">
      <alignment horizontal="left" vertical="top" wrapText="1"/>
    </xf>
    <xf numFmtId="0" fontId="22" fillId="36" borderId="0" xfId="0" applyFont="1" applyFill="1" applyBorder="1" applyAlignment="1">
      <alignment horizontal="left" vertical="top"/>
    </xf>
    <xf numFmtId="2" fontId="20" fillId="0" borderId="0" xfId="0" quotePrefix="1" applyNumberFormat="1" applyFont="1" applyFill="1" applyBorder="1" applyAlignment="1">
      <alignment horizontal="left" vertical="top"/>
    </xf>
    <xf numFmtId="0" fontId="20" fillId="0" borderId="0" xfId="0" applyFont="1" applyBorder="1" applyAlignment="1">
      <alignment horizontal="left" vertical="top" wrapText="1"/>
    </xf>
    <xf numFmtId="2" fontId="18" fillId="0" borderId="0" xfId="0" applyNumberFormat="1" applyFont="1" applyFill="1" applyBorder="1" applyAlignment="1">
      <alignment horizontal="left" vertical="top" wrapText="1"/>
    </xf>
    <xf numFmtId="0" fontId="25" fillId="0" borderId="0" xfId="0" applyFont="1" applyBorder="1" applyAlignment="1">
      <alignment horizontal="left" vertical="top"/>
    </xf>
    <xf numFmtId="0" fontId="20" fillId="0" borderId="0" xfId="0" applyFont="1" applyBorder="1" applyAlignment="1">
      <alignment horizontal="left" vertical="top"/>
    </xf>
    <xf numFmtId="0" fontId="20" fillId="0" borderId="0" xfId="0" applyFont="1" applyBorder="1" applyAlignment="1">
      <alignment horizontal="left" vertical="top" wrapText="1"/>
    </xf>
    <xf numFmtId="1" fontId="18" fillId="0" borderId="0" xfId="0" applyNumberFormat="1" applyFont="1" applyFill="1" applyBorder="1" applyAlignment="1">
      <alignment horizontal="left" vertical="top"/>
    </xf>
    <xf numFmtId="0" fontId="18" fillId="0" borderId="0" xfId="0" applyFont="1" applyBorder="1" applyAlignment="1">
      <alignment vertical="top"/>
    </xf>
    <xf numFmtId="0" fontId="9" fillId="0" borderId="0" xfId="9" applyFill="1" applyBorder="1" applyAlignment="1">
      <alignment horizontal="left" vertical="top"/>
    </xf>
    <xf numFmtId="0" fontId="29" fillId="0" borderId="0" xfId="9" applyFont="1" applyFill="1" applyBorder="1" applyAlignment="1">
      <alignment horizontal="left" vertical="top"/>
    </xf>
    <xf numFmtId="0" fontId="21" fillId="0" borderId="0" xfId="0" applyFont="1" applyBorder="1" applyAlignment="1">
      <alignment vertical="top"/>
    </xf>
    <xf numFmtId="0" fontId="18" fillId="5" borderId="4" xfId="9" applyFont="1" applyAlignment="1">
      <alignment horizontal="left" vertical="top" wrapText="1"/>
    </xf>
    <xf numFmtId="14" fontId="20" fillId="0" borderId="0" xfId="0" applyNumberFormat="1" applyFont="1" applyBorder="1" applyAlignment="1">
      <alignment horizontal="left" vertical="top"/>
    </xf>
    <xf numFmtId="0" fontId="20" fillId="0" borderId="0" xfId="0" applyFont="1" applyFill="1" applyBorder="1" applyAlignment="1">
      <alignment horizontal="left" vertical="top"/>
    </xf>
    <xf numFmtId="0" fontId="23" fillId="0" borderId="0" xfId="0" applyFont="1" applyBorder="1" applyAlignment="1">
      <alignment horizontal="left" vertical="top" wrapText="1"/>
    </xf>
    <xf numFmtId="0" fontId="31" fillId="5" borderId="4" xfId="9" applyFont="1" applyAlignment="1">
      <alignment horizontal="left" vertical="top" wrapText="1"/>
    </xf>
    <xf numFmtId="0" fontId="20" fillId="0" borderId="0" xfId="0" applyFont="1" applyBorder="1" applyAlignment="1">
      <alignment vertical="top" wrapText="1"/>
    </xf>
    <xf numFmtId="0" fontId="26" fillId="0" borderId="0" xfId="0" applyFont="1" applyBorder="1" applyAlignment="1">
      <alignment horizontal="left" vertical="top"/>
    </xf>
    <xf numFmtId="0" fontId="18" fillId="0" borderId="0" xfId="0" quotePrefix="1" applyFont="1" applyFill="1" applyBorder="1" applyAlignment="1">
      <alignment horizontal="left" vertical="top"/>
    </xf>
    <xf numFmtId="0" fontId="18" fillId="33" borderId="0" xfId="0" quotePrefix="1" applyFont="1" applyFill="1" applyBorder="1" applyAlignment="1">
      <alignment horizontal="left" vertical="top"/>
    </xf>
    <xf numFmtId="0" fontId="23" fillId="35" borderId="0" xfId="0" applyFont="1" applyFill="1" applyBorder="1" applyAlignment="1">
      <alignment horizontal="left" vertical="top" wrapText="1"/>
    </xf>
    <xf numFmtId="0" fontId="23" fillId="36" borderId="0" xfId="0" applyFont="1" applyFill="1" applyBorder="1" applyAlignment="1">
      <alignment horizontal="left" vertical="top"/>
    </xf>
    <xf numFmtId="0" fontId="26" fillId="0" borderId="0" xfId="0" applyFont="1" applyBorder="1" applyAlignment="1">
      <alignment vertical="top" wrapText="1"/>
    </xf>
    <xf numFmtId="0" fontId="25" fillId="0" borderId="0" xfId="0" applyFont="1" applyBorder="1" applyAlignment="1">
      <alignment vertical="top" wrapText="1"/>
    </xf>
    <xf numFmtId="0" fontId="18" fillId="0" borderId="0" xfId="0" applyNumberFormat="1" applyFont="1" applyFill="1" applyBorder="1" applyAlignment="1">
      <alignment vertical="top" wrapText="1"/>
    </xf>
    <xf numFmtId="0" fontId="25" fillId="0" borderId="0" xfId="0" applyFont="1" applyFill="1" applyBorder="1" applyAlignment="1">
      <alignment horizontal="left" vertical="top"/>
    </xf>
    <xf numFmtId="0" fontId="25" fillId="0" borderId="0" xfId="0" applyFont="1" applyBorder="1" applyAlignment="1">
      <alignment horizontal="left" vertical="top"/>
    </xf>
    <xf numFmtId="0" fontId="24" fillId="0" borderId="0" xfId="0" applyFont="1" applyBorder="1" applyAlignment="1">
      <alignment horizontal="left" vertical="top" wrapText="1"/>
    </xf>
    <xf numFmtId="0" fontId="22" fillId="0" borderId="0" xfId="0" applyFont="1" applyBorder="1" applyAlignment="1">
      <alignment vertical="top" wrapText="1"/>
    </xf>
    <xf numFmtId="0" fontId="22" fillId="0" borderId="0" xfId="0" applyNumberFormat="1" applyFont="1" applyFill="1" applyBorder="1" applyAlignment="1">
      <alignment vertical="top" wrapText="1"/>
    </xf>
    <xf numFmtId="0" fontId="28" fillId="0" borderId="0" xfId="0" applyFont="1" applyBorder="1" applyAlignment="1">
      <alignment horizontal="left" vertical="top" wrapText="1"/>
    </xf>
    <xf numFmtId="0" fontId="28" fillId="0" borderId="0" xfId="0" applyFont="1" applyFill="1" applyBorder="1" applyAlignment="1">
      <alignment horizontal="left" vertical="top" wrapText="1"/>
    </xf>
    <xf numFmtId="0" fontId="23" fillId="0" borderId="0" xfId="0" applyFont="1" applyBorder="1" applyAlignment="1">
      <alignment horizontal="left" vertical="top"/>
    </xf>
    <xf numFmtId="0" fontId="24" fillId="0" borderId="0" xfId="0" applyFont="1" applyBorder="1" applyAlignment="1">
      <alignment horizontal="left" vertical="top"/>
    </xf>
    <xf numFmtId="0" fontId="22" fillId="0" borderId="0" xfId="0" applyFont="1" applyBorder="1" applyAlignment="1">
      <alignment horizontal="left" vertical="top"/>
    </xf>
    <xf numFmtId="0" fontId="20" fillId="0" borderId="0" xfId="0" applyFont="1" applyBorder="1" applyAlignment="1">
      <alignment horizontal="left" vertical="top" wrapText="1"/>
    </xf>
    <xf numFmtId="0" fontId="23" fillId="0" borderId="0" xfId="0" applyFont="1" applyFill="1" applyBorder="1" applyAlignment="1">
      <alignment horizontal="left" vertical="top"/>
    </xf>
    <xf numFmtId="0" fontId="23" fillId="0" borderId="0" xfId="0" applyFont="1" applyFill="1" applyBorder="1" applyAlignment="1">
      <alignment horizontal="left" vertical="top" wrapText="1"/>
    </xf>
    <xf numFmtId="0" fontId="9" fillId="5" borderId="4" xfId="9" applyAlignment="1">
      <alignment horizontal="left" vertical="top"/>
    </xf>
    <xf numFmtId="0" fontId="31" fillId="5" borderId="4" xfId="9" applyFont="1" applyAlignment="1">
      <alignment horizontal="left" vertical="top"/>
    </xf>
    <xf numFmtId="0" fontId="23" fillId="33" borderId="0" xfId="0" quotePrefix="1" applyFont="1" applyFill="1" applyBorder="1" applyAlignment="1">
      <alignment horizontal="left" vertical="top"/>
    </xf>
    <xf numFmtId="0" fontId="23" fillId="0" borderId="0" xfId="0" quotePrefix="1" applyFont="1" applyFill="1" applyBorder="1" applyAlignment="1">
      <alignment horizontal="left" vertical="top"/>
    </xf>
    <xf numFmtId="0" fontId="18" fillId="0" borderId="0" xfId="0" applyFont="1" applyFill="1" applyBorder="1" applyAlignment="1">
      <alignment horizontal="left" vertical="top" wrapText="1"/>
    </xf>
    <xf numFmtId="0" fontId="20" fillId="0" borderId="0" xfId="0" applyFont="1" applyBorder="1" applyAlignment="1">
      <alignment horizontal="left" vertical="top"/>
    </xf>
    <xf numFmtId="0" fontId="18" fillId="0" borderId="0" xfId="0" applyFont="1" applyBorder="1" applyAlignment="1">
      <alignment horizontal="left" vertical="top" wrapText="1"/>
    </xf>
    <xf numFmtId="0" fontId="18" fillId="0" borderId="0" xfId="0" applyFont="1" applyBorder="1" applyAlignment="1">
      <alignment horizontal="left" vertical="top"/>
    </xf>
    <xf numFmtId="0" fontId="22" fillId="35" borderId="0" xfId="0" applyFont="1" applyFill="1" applyBorder="1" applyAlignment="1">
      <alignment vertical="top"/>
    </xf>
    <xf numFmtId="0" fontId="23" fillId="33" borderId="0" xfId="0" applyFont="1" applyFill="1" applyBorder="1" applyAlignment="1">
      <alignment horizontal="left" vertical="top"/>
    </xf>
    <xf numFmtId="0" fontId="33" fillId="0" borderId="0" xfId="0" applyFont="1" applyBorder="1" applyAlignment="1">
      <alignment horizontal="left" vertical="top"/>
    </xf>
    <xf numFmtId="0" fontId="0" fillId="0" borderId="0" xfId="0" applyBorder="1"/>
    <xf numFmtId="0" fontId="25" fillId="0" borderId="18" xfId="0" applyFont="1" applyFill="1" applyBorder="1" applyAlignment="1">
      <alignment horizontal="left" vertical="top"/>
    </xf>
    <xf numFmtId="0" fontId="25" fillId="0" borderId="19" xfId="0" applyFont="1" applyFill="1" applyBorder="1" applyAlignment="1">
      <alignment horizontal="left" vertical="top"/>
    </xf>
    <xf numFmtId="0" fontId="23" fillId="0" borderId="19" xfId="0" applyFont="1" applyFill="1" applyBorder="1" applyAlignment="1">
      <alignment horizontal="left" vertical="top" wrapText="1"/>
    </xf>
    <xf numFmtId="0" fontId="20" fillId="0" borderId="0" xfId="0" applyFont="1" applyBorder="1" applyAlignment="1">
      <alignment horizontal="left" vertical="top"/>
    </xf>
    <xf numFmtId="0" fontId="18" fillId="0" borderId="0" xfId="0" applyFont="1" applyFill="1" applyBorder="1" applyAlignment="1">
      <alignment horizontal="left" vertical="top"/>
    </xf>
    <xf numFmtId="0" fontId="18" fillId="0" borderId="0" xfId="0" applyFont="1" applyBorder="1" applyAlignment="1">
      <alignment horizontal="left" vertical="top" wrapText="1"/>
    </xf>
    <xf numFmtId="0" fontId="18" fillId="0" borderId="0" xfId="0" applyFont="1" applyBorder="1" applyAlignment="1">
      <alignment horizontal="left" vertical="top"/>
    </xf>
    <xf numFmtId="0" fontId="18" fillId="0" borderId="0" xfId="0" applyFont="1" applyFill="1" applyBorder="1" applyAlignment="1">
      <alignment vertical="top" wrapText="1"/>
    </xf>
    <xf numFmtId="0" fontId="24" fillId="0" borderId="16" xfId="0" applyFont="1" applyBorder="1" applyAlignment="1">
      <alignment horizontal="left" vertical="top" wrapText="1"/>
    </xf>
    <xf numFmtId="0" fontId="24" fillId="0" borderId="17" xfId="0" applyFont="1" applyBorder="1" applyAlignment="1">
      <alignment horizontal="left" vertical="top" wrapText="1"/>
    </xf>
    <xf numFmtId="0" fontId="22" fillId="0" borderId="17" xfId="0" applyFont="1" applyBorder="1" applyAlignment="1">
      <alignment vertical="top" wrapText="1"/>
    </xf>
    <xf numFmtId="0" fontId="0" fillId="0" borderId="0" xfId="0" quotePrefix="1"/>
    <xf numFmtId="0" fontId="22" fillId="0" borderId="22" xfId="0" applyFont="1" applyBorder="1" applyAlignment="1">
      <alignment horizontal="left" vertical="top"/>
    </xf>
    <xf numFmtId="0" fontId="22" fillId="0" borderId="22" xfId="0" applyFont="1" applyBorder="1" applyAlignment="1">
      <alignment horizontal="left" vertical="top" wrapText="1"/>
    </xf>
    <xf numFmtId="0" fontId="20" fillId="0" borderId="22" xfId="0" applyFont="1" applyBorder="1" applyAlignment="1">
      <alignment horizontal="left" vertical="top"/>
    </xf>
    <xf numFmtId="0" fontId="23" fillId="0" borderId="22" xfId="0" applyFont="1" applyBorder="1" applyAlignment="1">
      <alignment horizontal="left" vertical="top"/>
    </xf>
    <xf numFmtId="0" fontId="24" fillId="0" borderId="22" xfId="0" applyFont="1" applyBorder="1" applyAlignment="1">
      <alignment horizontal="left" vertical="top" wrapText="1"/>
    </xf>
    <xf numFmtId="0" fontId="25" fillId="0" borderId="23" xfId="0" applyFont="1" applyBorder="1" applyAlignment="1">
      <alignment horizontal="left" vertical="top" wrapText="1"/>
    </xf>
    <xf numFmtId="0" fontId="25" fillId="0" borderId="23" xfId="0" applyFont="1" applyBorder="1" applyAlignment="1">
      <alignment horizontal="left" vertical="top"/>
    </xf>
    <xf numFmtId="0" fontId="18" fillId="0" borderId="23" xfId="0" applyFont="1" applyBorder="1" applyAlignment="1">
      <alignment horizontal="left" vertical="top"/>
    </xf>
    <xf numFmtId="0" fontId="31" fillId="5" borderId="21" xfId="9" applyFont="1" applyBorder="1" applyAlignment="1">
      <alignment horizontal="left" vertical="top"/>
    </xf>
    <xf numFmtId="0" fontId="20" fillId="0" borderId="0" xfId="0" quotePrefix="1" applyFont="1"/>
    <xf numFmtId="0" fontId="18" fillId="0" borderId="12" xfId="0" applyFont="1" applyBorder="1" applyAlignment="1">
      <alignment horizontal="left" vertical="top" wrapText="1"/>
    </xf>
    <xf numFmtId="0" fontId="20" fillId="0" borderId="12" xfId="0" applyFont="1" applyBorder="1" applyAlignment="1">
      <alignment horizontal="left" vertical="top"/>
    </xf>
    <xf numFmtId="0" fontId="20" fillId="0" borderId="12" xfId="0" applyFont="1" applyBorder="1" applyAlignment="1">
      <alignment horizontal="left" vertical="top" wrapText="1"/>
    </xf>
    <xf numFmtId="0" fontId="22" fillId="0" borderId="16" xfId="0" applyFont="1" applyBorder="1" applyAlignment="1">
      <alignment horizontal="left" vertical="top" wrapText="1"/>
    </xf>
    <xf numFmtId="0" fontId="25" fillId="0" borderId="18" xfId="0" applyFont="1" applyBorder="1" applyAlignment="1">
      <alignment horizontal="left" vertical="top" wrapText="1"/>
    </xf>
    <xf numFmtId="0" fontId="20" fillId="0" borderId="12" xfId="0" applyFont="1" applyBorder="1" applyAlignment="1">
      <alignment vertical="top" wrapText="1"/>
    </xf>
    <xf numFmtId="0" fontId="23" fillId="0" borderId="12" xfId="0" applyFont="1" applyBorder="1" applyAlignment="1">
      <alignment horizontal="left" vertical="top"/>
    </xf>
    <xf numFmtId="0" fontId="20" fillId="34" borderId="12" xfId="0" quotePrefix="1" applyFont="1" applyFill="1" applyBorder="1" applyAlignment="1">
      <alignment horizontal="left" vertical="top"/>
    </xf>
    <xf numFmtId="0" fontId="24" fillId="0" borderId="12" xfId="0" applyFont="1" applyBorder="1" applyAlignment="1">
      <alignment horizontal="left" vertical="top" wrapText="1"/>
    </xf>
    <xf numFmtId="0" fontId="22" fillId="0" borderId="12" xfId="0" applyFont="1" applyBorder="1" applyAlignment="1">
      <alignment horizontal="left" vertical="top"/>
    </xf>
    <xf numFmtId="0" fontId="22" fillId="0" borderId="16" xfId="0" applyFont="1" applyBorder="1" applyAlignment="1">
      <alignment horizontal="left" vertical="top"/>
    </xf>
    <xf numFmtId="0" fontId="18" fillId="0" borderId="18" xfId="0" applyFont="1" applyBorder="1" applyAlignment="1">
      <alignment horizontal="left" vertical="top"/>
    </xf>
    <xf numFmtId="0" fontId="31" fillId="5" borderId="25" xfId="9" applyFont="1" applyBorder="1" applyAlignment="1">
      <alignment horizontal="left" vertical="top"/>
    </xf>
    <xf numFmtId="0" fontId="18" fillId="0" borderId="12" xfId="0" applyFont="1" applyBorder="1" applyAlignment="1">
      <alignment horizontal="left" vertical="top"/>
    </xf>
    <xf numFmtId="0" fontId="31" fillId="5" borderId="24" xfId="9" applyFont="1" applyBorder="1" applyAlignment="1">
      <alignment horizontal="left" vertical="top"/>
    </xf>
    <xf numFmtId="0" fontId="18" fillId="0" borderId="12" xfId="0" applyFont="1" applyFill="1" applyBorder="1" applyAlignment="1">
      <alignment horizontal="left" vertical="top"/>
    </xf>
    <xf numFmtId="0" fontId="23" fillId="0" borderId="16" xfId="0" applyFont="1" applyBorder="1" applyAlignment="1">
      <alignment horizontal="left" vertical="top"/>
    </xf>
    <xf numFmtId="0" fontId="25" fillId="0" borderId="18" xfId="0" applyFont="1" applyBorder="1" applyAlignment="1">
      <alignment horizontal="left" vertical="top"/>
    </xf>
    <xf numFmtId="0" fontId="23" fillId="33" borderId="24" xfId="9" quotePrefix="1" applyFont="1" applyFill="1" applyBorder="1" applyAlignment="1">
      <alignment horizontal="left" vertical="top"/>
    </xf>
    <xf numFmtId="0" fontId="31" fillId="5" borderId="26" xfId="9" applyFont="1" applyBorder="1" applyAlignment="1">
      <alignment horizontal="left" vertical="top"/>
    </xf>
    <xf numFmtId="0" fontId="22" fillId="0" borderId="17" xfId="0" applyFont="1" applyBorder="1" applyAlignment="1">
      <alignment horizontal="left" vertical="top" wrapText="1"/>
    </xf>
    <xf numFmtId="0" fontId="25" fillId="0" borderId="19" xfId="0" applyFont="1" applyBorder="1" applyAlignment="1">
      <alignment horizontal="left" vertical="top" wrapText="1"/>
    </xf>
    <xf numFmtId="164" fontId="20" fillId="0" borderId="11" xfId="0" applyNumberFormat="1" applyFont="1" applyBorder="1" applyAlignment="1">
      <alignment horizontal="left" vertical="top" wrapText="1"/>
    </xf>
    <xf numFmtId="0" fontId="31" fillId="5" borderId="4" xfId="9" applyFont="1" applyBorder="1" applyAlignment="1">
      <alignment horizontal="left" vertical="top"/>
    </xf>
    <xf numFmtId="0" fontId="20" fillId="0" borderId="11" xfId="0" applyFont="1" applyBorder="1" applyAlignment="1">
      <alignment horizontal="left" vertical="top" wrapText="1"/>
    </xf>
    <xf numFmtId="2" fontId="20" fillId="0" borderId="11" xfId="0" applyNumberFormat="1" applyFont="1" applyBorder="1" applyAlignment="1">
      <alignment horizontal="left" vertical="top" wrapText="1"/>
    </xf>
    <xf numFmtId="0" fontId="20" fillId="34" borderId="11" xfId="0" quotePrefix="1" applyFont="1" applyFill="1" applyBorder="1" applyAlignment="1">
      <alignment horizontal="left" vertical="top"/>
    </xf>
    <xf numFmtId="0" fontId="20" fillId="0" borderId="15" xfId="0" applyFont="1" applyBorder="1" applyAlignment="1">
      <alignment horizontal="left" vertical="top"/>
    </xf>
    <xf numFmtId="0" fontId="20" fillId="0" borderId="13" xfId="0" applyFont="1" applyBorder="1" applyAlignment="1">
      <alignment horizontal="left" vertical="top" wrapText="1"/>
    </xf>
    <xf numFmtId="0" fontId="20" fillId="0" borderId="13" xfId="0" applyFont="1" applyBorder="1" applyAlignment="1">
      <alignment horizontal="left" vertical="top"/>
    </xf>
    <xf numFmtId="0" fontId="20" fillId="34" borderId="15" xfId="0" quotePrefix="1" applyFont="1" applyFill="1" applyBorder="1" applyAlignment="1">
      <alignment horizontal="left" vertical="top"/>
    </xf>
    <xf numFmtId="0" fontId="31" fillId="5" borderId="27" xfId="9" applyFont="1" applyBorder="1" applyAlignment="1">
      <alignment horizontal="left" vertical="top"/>
    </xf>
    <xf numFmtId="0" fontId="31" fillId="5" borderId="28" xfId="9" applyFont="1" applyBorder="1" applyAlignment="1">
      <alignment horizontal="left" vertical="top"/>
    </xf>
    <xf numFmtId="0" fontId="20" fillId="0" borderId="14" xfId="0" applyFont="1" applyBorder="1" applyAlignment="1">
      <alignment horizontal="left" vertical="top" wrapText="1"/>
    </xf>
    <xf numFmtId="0" fontId="20" fillId="34" borderId="13" xfId="0" quotePrefix="1" applyFont="1" applyFill="1" applyBorder="1" applyAlignment="1">
      <alignment horizontal="left" vertical="top"/>
    </xf>
    <xf numFmtId="0" fontId="20" fillId="34" borderId="14" xfId="0" quotePrefix="1" applyFont="1" applyFill="1" applyBorder="1" applyAlignment="1">
      <alignment horizontal="left" vertical="top"/>
    </xf>
    <xf numFmtId="0" fontId="18" fillId="0" borderId="13" xfId="0" applyFont="1" applyBorder="1" applyAlignment="1">
      <alignment horizontal="left" vertical="top"/>
    </xf>
    <xf numFmtId="0" fontId="23" fillId="0" borderId="13" xfId="0" applyFont="1" applyBorder="1" applyAlignment="1">
      <alignment horizontal="left" vertical="top"/>
    </xf>
    <xf numFmtId="0" fontId="18" fillId="0" borderId="13" xfId="0" applyFont="1" applyBorder="1" applyAlignment="1">
      <alignment horizontal="left" vertical="top" wrapText="1"/>
    </xf>
    <xf numFmtId="0" fontId="31" fillId="5" borderId="29" xfId="9" applyFont="1" applyBorder="1" applyAlignment="1">
      <alignment horizontal="left" vertical="top"/>
    </xf>
    <xf numFmtId="2" fontId="20" fillId="0" borderId="13" xfId="0" applyNumberFormat="1" applyFont="1" applyBorder="1" applyAlignment="1">
      <alignment horizontal="left" vertical="top" wrapText="1"/>
    </xf>
    <xf numFmtId="2" fontId="20" fillId="0" borderId="14" xfId="0" applyNumberFormat="1" applyFont="1" applyBorder="1" applyAlignment="1">
      <alignment horizontal="left" vertical="top" wrapText="1"/>
    </xf>
    <xf numFmtId="0" fontId="31" fillId="5" borderId="30" xfId="9" applyFont="1" applyBorder="1" applyAlignment="1">
      <alignment horizontal="left" vertical="top"/>
    </xf>
    <xf numFmtId="0" fontId="31" fillId="5" borderId="31" xfId="9" applyFont="1" applyBorder="1" applyAlignment="1">
      <alignment horizontal="left" vertical="top"/>
    </xf>
    <xf numFmtId="0" fontId="18" fillId="0" borderId="14" xfId="0" applyFont="1" applyBorder="1" applyAlignment="1">
      <alignment horizontal="left" vertical="top" wrapText="1"/>
    </xf>
    <xf numFmtId="0" fontId="18" fillId="0" borderId="11" xfId="0" applyFont="1" applyBorder="1" applyAlignment="1">
      <alignment horizontal="left" vertical="top" wrapText="1"/>
    </xf>
    <xf numFmtId="0" fontId="22" fillId="0" borderId="22" xfId="0" applyFont="1" applyBorder="1" applyAlignment="1">
      <alignment vertical="top" wrapText="1"/>
    </xf>
    <xf numFmtId="0" fontId="31" fillId="5" borderId="33" xfId="9" applyFont="1" applyBorder="1" applyAlignment="1">
      <alignment horizontal="left" vertical="top"/>
    </xf>
    <xf numFmtId="0" fontId="25" fillId="0" borderId="22" xfId="0" applyFont="1" applyFill="1" applyBorder="1" applyAlignment="1">
      <alignment horizontal="left" vertical="top"/>
    </xf>
    <xf numFmtId="0" fontId="23" fillId="0" borderId="23" xfId="0" applyFont="1" applyBorder="1" applyAlignment="1">
      <alignment horizontal="left" vertical="top"/>
    </xf>
    <xf numFmtId="0" fontId="22" fillId="0" borderId="23" xfId="0" applyFont="1" applyBorder="1" applyAlignment="1">
      <alignment horizontal="left" vertical="top"/>
    </xf>
    <xf numFmtId="0" fontId="23" fillId="0" borderId="18" xfId="0" applyFont="1" applyBorder="1" applyAlignment="1">
      <alignment horizontal="left" vertical="top"/>
    </xf>
    <xf numFmtId="0" fontId="23" fillId="0" borderId="19" xfId="0" applyFont="1" applyBorder="1" applyAlignment="1">
      <alignment horizontal="left" vertical="top"/>
    </xf>
    <xf numFmtId="0" fontId="20" fillId="0" borderId="15" xfId="0" applyFont="1" applyBorder="1" applyAlignment="1">
      <alignment horizontal="left" vertical="top" wrapText="1"/>
    </xf>
    <xf numFmtId="0" fontId="31" fillId="5" borderId="32" xfId="9" applyFont="1" applyBorder="1" applyAlignment="1">
      <alignment horizontal="left" vertical="top"/>
    </xf>
    <xf numFmtId="0" fontId="25" fillId="0" borderId="16" xfId="0" applyFont="1" applyFill="1" applyBorder="1" applyAlignment="1">
      <alignment horizontal="left" vertical="top"/>
    </xf>
    <xf numFmtId="0" fontId="22" fillId="0" borderId="18" xfId="0" applyFont="1" applyBorder="1" applyAlignment="1">
      <alignment horizontal="left" vertical="top"/>
    </xf>
    <xf numFmtId="0" fontId="25" fillId="0" borderId="15" xfId="0" applyFont="1" applyBorder="1" applyAlignment="1">
      <alignment horizontal="left" vertical="top"/>
    </xf>
    <xf numFmtId="0" fontId="20" fillId="0" borderId="0" xfId="0" applyFont="1" applyBorder="1"/>
    <xf numFmtId="0" fontId="20" fillId="0" borderId="13" xfId="0" applyFont="1" applyBorder="1" applyAlignment="1">
      <alignment vertical="top"/>
    </xf>
    <xf numFmtId="0" fontId="22" fillId="0" borderId="22" xfId="0" applyNumberFormat="1" applyFont="1" applyFill="1" applyBorder="1" applyAlignment="1">
      <alignment vertical="top" wrapText="1"/>
    </xf>
    <xf numFmtId="0" fontId="28" fillId="0" borderId="22" xfId="0" applyFont="1" applyBorder="1" applyAlignment="1">
      <alignment horizontal="left" vertical="top"/>
    </xf>
    <xf numFmtId="0" fontId="23" fillId="0" borderId="23" xfId="0" applyFont="1" applyFill="1" applyBorder="1" applyAlignment="1">
      <alignment horizontal="left" vertical="top"/>
    </xf>
    <xf numFmtId="0" fontId="20" fillId="0" borderId="13" xfId="0" applyFont="1" applyBorder="1" applyAlignment="1">
      <alignment vertical="top" wrapText="1"/>
    </xf>
    <xf numFmtId="0" fontId="18" fillId="0" borderId="13" xfId="0" applyFont="1" applyFill="1" applyBorder="1" applyAlignment="1">
      <alignment horizontal="left" vertical="top" wrapText="1"/>
    </xf>
    <xf numFmtId="0" fontId="20" fillId="0" borderId="11" xfId="0" applyFont="1" applyBorder="1" applyAlignment="1">
      <alignment vertical="top" wrapText="1"/>
    </xf>
    <xf numFmtId="0" fontId="20" fillId="0" borderId="14" xfId="0" applyFont="1" applyBorder="1" applyAlignment="1">
      <alignment vertical="top" wrapText="1"/>
    </xf>
    <xf numFmtId="0" fontId="22" fillId="0" borderId="16" xfId="0" applyFont="1" applyBorder="1" applyAlignment="1">
      <alignment vertical="top" wrapText="1"/>
    </xf>
    <xf numFmtId="0" fontId="28" fillId="0" borderId="16" xfId="0" applyFont="1" applyBorder="1" applyAlignment="1">
      <alignment horizontal="left" vertical="top"/>
    </xf>
    <xf numFmtId="0" fontId="25" fillId="0" borderId="22" xfId="0" applyFont="1" applyBorder="1" applyAlignment="1">
      <alignment horizontal="left" vertical="top" wrapText="1"/>
    </xf>
    <xf numFmtId="0" fontId="18" fillId="0" borderId="11" xfId="0" applyFont="1" applyBorder="1" applyAlignment="1">
      <alignment vertical="top" wrapText="1"/>
    </xf>
    <xf numFmtId="0" fontId="18" fillId="0" borderId="14" xfId="0" applyFont="1" applyFill="1" applyBorder="1" applyAlignment="1">
      <alignment horizontal="left" vertical="top" wrapText="1"/>
    </xf>
    <xf numFmtId="0" fontId="23" fillId="33" borderId="11" xfId="0" quotePrefix="1" applyFont="1" applyFill="1" applyBorder="1" applyAlignment="1">
      <alignment horizontal="left" vertical="top"/>
    </xf>
    <xf numFmtId="0" fontId="23" fillId="33" borderId="13" xfId="0" quotePrefix="1" applyFont="1" applyFill="1" applyBorder="1" applyAlignment="1">
      <alignment horizontal="left" vertical="top"/>
    </xf>
    <xf numFmtId="0" fontId="23" fillId="33" borderId="14" xfId="0" quotePrefix="1" applyFont="1" applyFill="1" applyBorder="1" applyAlignment="1">
      <alignment horizontal="left" vertical="top"/>
    </xf>
    <xf numFmtId="0" fontId="18" fillId="0" borderId="11" xfId="0" applyFont="1" applyBorder="1" applyAlignment="1">
      <alignment horizontal="left" vertical="top"/>
    </xf>
    <xf numFmtId="2" fontId="18" fillId="0" borderId="11" xfId="0" applyNumberFormat="1" applyFont="1" applyBorder="1" applyAlignment="1">
      <alignment horizontal="left" vertical="top"/>
    </xf>
    <xf numFmtId="0" fontId="18" fillId="0" borderId="14" xfId="0" applyFont="1" applyBorder="1" applyAlignment="1">
      <alignment horizontal="left" vertical="top"/>
    </xf>
    <xf numFmtId="0" fontId="23" fillId="33" borderId="26" xfId="9" quotePrefix="1" applyFont="1" applyFill="1" applyBorder="1" applyAlignment="1">
      <alignment horizontal="left" vertical="top"/>
    </xf>
    <xf numFmtId="0" fontId="23" fillId="33" borderId="32" xfId="9" quotePrefix="1" applyFont="1" applyFill="1" applyBorder="1" applyAlignment="1">
      <alignment horizontal="left" vertical="top"/>
    </xf>
    <xf numFmtId="0" fontId="23" fillId="33" borderId="33" xfId="9" quotePrefix="1" applyFont="1" applyFill="1" applyBorder="1" applyAlignment="1">
      <alignment horizontal="left" vertical="top"/>
    </xf>
    <xf numFmtId="0" fontId="23" fillId="33" borderId="25" xfId="9" quotePrefix="1" applyFont="1" applyFill="1" applyBorder="1" applyAlignment="1">
      <alignment horizontal="left" vertical="top"/>
    </xf>
    <xf numFmtId="0" fontId="23" fillId="33" borderId="27" xfId="9" quotePrefix="1" applyFont="1" applyFill="1" applyBorder="1" applyAlignment="1">
      <alignment horizontal="left" vertical="top"/>
    </xf>
    <xf numFmtId="0" fontId="18" fillId="0" borderId="23" xfId="0" applyFont="1" applyFill="1" applyBorder="1" applyAlignment="1">
      <alignment horizontal="left" vertical="top"/>
    </xf>
    <xf numFmtId="0" fontId="20" fillId="0" borderId="11" xfId="0" applyFont="1" applyBorder="1" applyAlignment="1">
      <alignment horizontal="left" vertical="top"/>
    </xf>
    <xf numFmtId="0" fontId="20" fillId="0" borderId="16" xfId="0" applyFont="1" applyBorder="1" applyAlignment="1">
      <alignment horizontal="left" vertical="top"/>
    </xf>
    <xf numFmtId="0" fontId="18" fillId="0" borderId="18" xfId="0" applyFont="1" applyFill="1" applyBorder="1" applyAlignment="1">
      <alignment horizontal="left" vertical="top"/>
    </xf>
    <xf numFmtId="0" fontId="20" fillId="0" borderId="14" xfId="0" applyFont="1" applyBorder="1" applyAlignment="1">
      <alignment horizontal="left" vertical="top"/>
    </xf>
    <xf numFmtId="0" fontId="20" fillId="0" borderId="22" xfId="0" applyFont="1" applyBorder="1"/>
    <xf numFmtId="0" fontId="20" fillId="0" borderId="23" xfId="0" applyFont="1" applyBorder="1"/>
    <xf numFmtId="0" fontId="24" fillId="0" borderId="18" xfId="0" applyFont="1" applyBorder="1" applyAlignment="1">
      <alignment horizontal="left" vertical="top" wrapText="1"/>
    </xf>
    <xf numFmtId="0" fontId="24" fillId="0" borderId="22" xfId="0" applyFont="1" applyBorder="1" applyAlignment="1">
      <alignment horizontal="left" vertical="top"/>
    </xf>
    <xf numFmtId="0" fontId="24" fillId="0" borderId="22" xfId="0" applyFont="1" applyFill="1" applyBorder="1" applyAlignment="1">
      <alignment horizontal="left" vertical="top"/>
    </xf>
    <xf numFmtId="0" fontId="25" fillId="0" borderId="23" xfId="0" applyFont="1" applyFill="1" applyBorder="1" applyAlignment="1">
      <alignment horizontal="left" vertical="top"/>
    </xf>
    <xf numFmtId="0" fontId="24" fillId="0" borderId="16" xfId="0" applyFont="1" applyBorder="1" applyAlignment="1">
      <alignment horizontal="left" vertical="top"/>
    </xf>
    <xf numFmtId="0" fontId="24" fillId="0" borderId="16" xfId="0" applyFont="1" applyFill="1" applyBorder="1" applyAlignment="1">
      <alignment horizontal="left" vertical="top"/>
    </xf>
    <xf numFmtId="0" fontId="20" fillId="34" borderId="11" xfId="0" quotePrefix="1" applyFont="1" applyFill="1" applyBorder="1" applyAlignment="1">
      <alignment horizontal="left" vertical="top" wrapText="1"/>
    </xf>
    <xf numFmtId="0" fontId="20" fillId="34" borderId="14" xfId="0" quotePrefix="1" applyFont="1" applyFill="1" applyBorder="1" applyAlignment="1">
      <alignment horizontal="left" vertical="top" wrapText="1"/>
    </xf>
    <xf numFmtId="0" fontId="31" fillId="38" borderId="25" xfId="9" applyFont="1" applyFill="1" applyBorder="1" applyAlignment="1">
      <alignment horizontal="left" vertical="top"/>
    </xf>
    <xf numFmtId="0" fontId="31" fillId="38" borderId="24" xfId="9" applyFont="1" applyFill="1" applyBorder="1" applyAlignment="1">
      <alignment horizontal="left" vertical="top"/>
    </xf>
    <xf numFmtId="0" fontId="20" fillId="0" borderId="11" xfId="0" applyFont="1" applyFill="1" applyBorder="1" applyAlignment="1">
      <alignment horizontal="left" vertical="top"/>
    </xf>
    <xf numFmtId="0" fontId="28" fillId="0" borderId="22" xfId="0" applyFont="1" applyBorder="1" applyAlignment="1">
      <alignment horizontal="left" vertical="top" wrapText="1"/>
    </xf>
    <xf numFmtId="0" fontId="20" fillId="0" borderId="23" xfId="0" applyFont="1" applyBorder="1" applyAlignment="1">
      <alignment horizontal="left" vertical="top"/>
    </xf>
    <xf numFmtId="0" fontId="18" fillId="0" borderId="12" xfId="0" applyFont="1" applyBorder="1" applyAlignment="1">
      <alignment vertical="top" wrapText="1"/>
    </xf>
    <xf numFmtId="0" fontId="18" fillId="0" borderId="15" xfId="0" applyFont="1" applyBorder="1" applyAlignment="1">
      <alignment vertical="top" wrapText="1"/>
    </xf>
    <xf numFmtId="0" fontId="18" fillId="0" borderId="13" xfId="0" applyFont="1" applyBorder="1" applyAlignment="1">
      <alignment vertical="top" wrapText="1"/>
    </xf>
    <xf numFmtId="2" fontId="18" fillId="0" borderId="13" xfId="0" applyNumberFormat="1" applyFont="1" applyFill="1" applyBorder="1" applyAlignment="1">
      <alignment horizontal="left" vertical="top" wrapText="1"/>
    </xf>
    <xf numFmtId="0" fontId="18" fillId="0" borderId="13" xfId="0" applyFont="1" applyFill="1" applyBorder="1" applyAlignment="1">
      <alignment horizontal="left" vertical="top"/>
    </xf>
    <xf numFmtId="0" fontId="20" fillId="0" borderId="18" xfId="0" applyFont="1" applyBorder="1"/>
    <xf numFmtId="0" fontId="20" fillId="0" borderId="16" xfId="0" applyFont="1" applyBorder="1"/>
    <xf numFmtId="0" fontId="9" fillId="5" borderId="30" xfId="9" applyBorder="1" applyAlignment="1">
      <alignment horizontal="left" vertical="top"/>
    </xf>
    <xf numFmtId="0" fontId="22" fillId="0" borderId="15" xfId="0" applyFont="1" applyBorder="1" applyAlignment="1">
      <alignment horizontal="left" vertical="top"/>
    </xf>
    <xf numFmtId="2" fontId="18" fillId="0" borderId="13" xfId="0" applyNumberFormat="1" applyFont="1" applyBorder="1" applyAlignment="1">
      <alignment horizontal="left" vertical="top"/>
    </xf>
    <xf numFmtId="2" fontId="18" fillId="0" borderId="14" xfId="0" applyNumberFormat="1" applyFont="1" applyBorder="1" applyAlignment="1">
      <alignment horizontal="left" vertical="top"/>
    </xf>
    <xf numFmtId="0" fontId="24" fillId="0" borderId="18" xfId="0" applyFont="1" applyBorder="1" applyAlignment="1">
      <alignment horizontal="left" vertical="top"/>
    </xf>
    <xf numFmtId="0" fontId="20" fillId="0" borderId="18" xfId="0" applyFont="1" applyBorder="1" applyAlignment="1">
      <alignment horizontal="left" vertical="top"/>
    </xf>
    <xf numFmtId="0" fontId="25" fillId="0" borderId="19" xfId="0" applyFont="1" applyBorder="1" applyAlignment="1">
      <alignment horizontal="left" vertical="top"/>
    </xf>
    <xf numFmtId="0" fontId="9" fillId="5" borderId="31" xfId="9" applyBorder="1" applyAlignment="1">
      <alignment horizontal="left" vertical="top"/>
    </xf>
    <xf numFmtId="0" fontId="31" fillId="5" borderId="34" xfId="9" applyFont="1" applyBorder="1" applyAlignment="1">
      <alignment horizontal="left" vertical="top"/>
    </xf>
    <xf numFmtId="0" fontId="31" fillId="5" borderId="35" xfId="9" applyFont="1" applyBorder="1" applyAlignment="1">
      <alignment horizontal="left" vertical="top"/>
    </xf>
    <xf numFmtId="0" fontId="25" fillId="0" borderId="16" xfId="0" applyFont="1" applyBorder="1" applyAlignment="1">
      <alignment horizontal="left" vertical="top" wrapText="1"/>
    </xf>
    <xf numFmtId="0" fontId="18" fillId="0" borderId="17" xfId="0" applyFont="1" applyBorder="1" applyAlignment="1">
      <alignment vertical="top" wrapText="1"/>
    </xf>
    <xf numFmtId="0" fontId="20" fillId="0" borderId="19" xfId="0" applyFont="1" applyBorder="1" applyAlignment="1">
      <alignment horizontal="left" vertical="top"/>
    </xf>
    <xf numFmtId="0" fontId="32" fillId="33" borderId="13" xfId="0" quotePrefix="1" applyFont="1" applyFill="1" applyBorder="1" applyAlignment="1">
      <alignment horizontal="left" vertical="top"/>
    </xf>
    <xf numFmtId="0" fontId="18" fillId="0" borderId="22" xfId="0" applyNumberFormat="1" applyFont="1" applyFill="1" applyBorder="1" applyAlignment="1">
      <alignment vertical="top" wrapText="1"/>
    </xf>
    <xf numFmtId="0" fontId="20" fillId="0" borderId="0" xfId="0" applyFont="1" applyBorder="1" applyAlignment="1">
      <alignment wrapText="1"/>
    </xf>
    <xf numFmtId="0" fontId="23" fillId="33" borderId="35" xfId="9" quotePrefix="1" applyFont="1" applyFill="1" applyBorder="1" applyAlignment="1">
      <alignment horizontal="left" vertical="top"/>
    </xf>
    <xf numFmtId="0" fontId="20" fillId="0" borderId="16" xfId="0" applyFont="1" applyBorder="1" applyAlignment="1">
      <alignment horizontal="left" vertical="top" wrapText="1"/>
    </xf>
    <xf numFmtId="0" fontId="23" fillId="33" borderId="34" xfId="9" quotePrefix="1" applyFont="1" applyFill="1" applyBorder="1" applyAlignment="1">
      <alignment horizontal="left" vertical="top"/>
    </xf>
    <xf numFmtId="2" fontId="18" fillId="0" borderId="14" xfId="0" applyNumberFormat="1" applyFont="1" applyFill="1" applyBorder="1" applyAlignment="1">
      <alignment horizontal="left" vertical="top" wrapText="1"/>
    </xf>
    <xf numFmtId="0" fontId="18" fillId="0" borderId="38" xfId="0" applyFont="1" applyBorder="1" applyAlignment="1">
      <alignment horizontal="left" vertical="top"/>
    </xf>
    <xf numFmtId="0" fontId="20" fillId="0" borderId="13" xfId="0" applyFont="1" applyBorder="1" applyAlignment="1">
      <alignment wrapText="1"/>
    </xf>
    <xf numFmtId="0" fontId="23" fillId="0" borderId="11" xfId="0" applyFont="1" applyBorder="1" applyAlignment="1">
      <alignment horizontal="left" vertical="top"/>
    </xf>
    <xf numFmtId="0" fontId="32" fillId="0" borderId="11" xfId="0" applyFont="1" applyBorder="1" applyAlignment="1">
      <alignment horizontal="left" vertical="top"/>
    </xf>
    <xf numFmtId="0" fontId="20" fillId="0" borderId="22" xfId="0" applyFont="1" applyBorder="1" applyAlignment="1">
      <alignment horizontal="left" vertical="top" wrapText="1"/>
    </xf>
    <xf numFmtId="0" fontId="20" fillId="0" borderId="36" xfId="0" applyFont="1" applyBorder="1" applyAlignment="1">
      <alignment horizontal="left" vertical="top" wrapText="1"/>
    </xf>
    <xf numFmtId="0" fontId="18" fillId="0" borderId="16" xfId="0" applyNumberFormat="1" applyFont="1" applyFill="1" applyBorder="1" applyAlignment="1">
      <alignment vertical="top" wrapText="1"/>
    </xf>
    <xf numFmtId="0" fontId="18" fillId="0" borderId="22" xfId="0" applyFont="1" applyBorder="1" applyAlignment="1">
      <alignment vertical="top" wrapText="1"/>
    </xf>
    <xf numFmtId="0" fontId="23" fillId="0" borderId="16" xfId="0" applyFont="1" applyBorder="1" applyAlignment="1">
      <alignment horizontal="left" vertical="top" wrapText="1"/>
    </xf>
    <xf numFmtId="0" fontId="20" fillId="0" borderId="37" xfId="0" applyFont="1" applyBorder="1" applyAlignment="1">
      <alignment horizontal="left" vertical="top" wrapText="1"/>
    </xf>
    <xf numFmtId="0" fontId="18" fillId="5" borderId="24" xfId="9" applyFont="1" applyBorder="1" applyAlignment="1">
      <alignment horizontal="left" vertical="top"/>
    </xf>
    <xf numFmtId="0" fontId="18" fillId="0" borderId="39" xfId="0" applyFont="1" applyBorder="1" applyAlignment="1">
      <alignment horizontal="left" vertical="top"/>
    </xf>
    <xf numFmtId="0" fontId="18" fillId="0" borderId="41" xfId="0" applyFont="1" applyBorder="1" applyAlignment="1">
      <alignment horizontal="left" vertical="top"/>
    </xf>
    <xf numFmtId="0" fontId="18" fillId="34" borderId="12" xfId="0" quotePrefix="1" applyFont="1" applyFill="1" applyBorder="1" applyAlignment="1">
      <alignment horizontal="left" vertical="top"/>
    </xf>
    <xf numFmtId="0" fontId="18" fillId="33" borderId="11" xfId="0" quotePrefix="1" applyFont="1" applyFill="1" applyBorder="1" applyAlignment="1">
      <alignment horizontal="left" vertical="top"/>
    </xf>
    <xf numFmtId="0" fontId="20" fillId="0" borderId="38" xfId="0" applyFont="1" applyBorder="1" applyAlignment="1">
      <alignment horizontal="left" vertical="top" wrapText="1"/>
    </xf>
    <xf numFmtId="0" fontId="18" fillId="5" borderId="34" xfId="9" applyFont="1" applyBorder="1" applyAlignment="1">
      <alignment horizontal="left" vertical="top"/>
    </xf>
    <xf numFmtId="0" fontId="20" fillId="0" borderId="13" xfId="0" applyFont="1" applyBorder="1" applyAlignment="1"/>
    <xf numFmtId="0" fontId="18" fillId="0" borderId="44" xfId="0" applyFont="1" applyBorder="1" applyAlignment="1">
      <alignment horizontal="left" vertical="top"/>
    </xf>
    <xf numFmtId="0" fontId="18" fillId="33" borderId="13" xfId="0" quotePrefix="1" applyFont="1" applyFill="1" applyBorder="1" applyAlignment="1">
      <alignment horizontal="left" vertical="top"/>
    </xf>
    <xf numFmtId="0" fontId="18" fillId="5" borderId="27" xfId="9" applyFont="1" applyBorder="1" applyAlignment="1">
      <alignment horizontal="left" vertical="top"/>
    </xf>
    <xf numFmtId="0" fontId="18" fillId="33" borderId="14" xfId="0" quotePrefix="1" applyFont="1" applyFill="1" applyBorder="1" applyAlignment="1">
      <alignment horizontal="left" vertical="top"/>
    </xf>
    <xf numFmtId="0" fontId="18" fillId="0" borderId="45" xfId="0" applyFont="1" applyBorder="1" applyAlignment="1">
      <alignment horizontal="left" vertical="top"/>
    </xf>
    <xf numFmtId="0" fontId="28" fillId="0" borderId="22" xfId="0" applyFont="1" applyFill="1" applyBorder="1" applyAlignment="1">
      <alignment horizontal="left" vertical="top" wrapText="1"/>
    </xf>
    <xf numFmtId="0" fontId="24" fillId="0" borderId="22" xfId="0" applyFont="1" applyBorder="1" applyAlignment="1">
      <alignment vertical="top" wrapText="1"/>
    </xf>
    <xf numFmtId="0" fontId="31" fillId="38" borderId="27" xfId="9" applyFont="1" applyFill="1" applyBorder="1" applyAlignment="1">
      <alignment horizontal="left" vertical="top"/>
    </xf>
    <xf numFmtId="164" fontId="20" fillId="0" borderId="14" xfId="0" applyNumberFormat="1" applyFont="1" applyBorder="1" applyAlignment="1">
      <alignment horizontal="left" vertical="top" wrapText="1"/>
    </xf>
    <xf numFmtId="0" fontId="23" fillId="33" borderId="15" xfId="0" applyFont="1" applyFill="1" applyBorder="1" applyAlignment="1">
      <alignment horizontal="left" vertical="top"/>
    </xf>
    <xf numFmtId="0" fontId="28" fillId="0" borderId="16" xfId="0" applyFont="1" applyBorder="1" applyAlignment="1">
      <alignment horizontal="left" vertical="top" wrapText="1"/>
    </xf>
    <xf numFmtId="0" fontId="23" fillId="33" borderId="14" xfId="0" applyFont="1" applyFill="1" applyBorder="1" applyAlignment="1">
      <alignment horizontal="left" vertical="top"/>
    </xf>
    <xf numFmtId="0" fontId="23" fillId="33" borderId="13" xfId="0" applyFont="1" applyFill="1" applyBorder="1" applyAlignment="1">
      <alignment horizontal="left" vertical="top"/>
    </xf>
    <xf numFmtId="0" fontId="23" fillId="33" borderId="11" xfId="0" applyFont="1" applyFill="1" applyBorder="1" applyAlignment="1">
      <alignment horizontal="left" vertical="top"/>
    </xf>
    <xf numFmtId="0" fontId="18" fillId="0" borderId="15" xfId="0" applyFont="1" applyBorder="1" applyAlignment="1">
      <alignment horizontal="left" vertical="top" wrapText="1"/>
    </xf>
    <xf numFmtId="0" fontId="24" fillId="0" borderId="17" xfId="0" applyFont="1" applyBorder="1" applyAlignment="1">
      <alignment vertical="top" wrapText="1"/>
    </xf>
    <xf numFmtId="0" fontId="23" fillId="35" borderId="13" xfId="0" applyFont="1" applyFill="1" applyBorder="1" applyAlignment="1">
      <alignment horizontal="left" vertical="top"/>
    </xf>
    <xf numFmtId="0" fontId="24" fillId="35" borderId="13" xfId="0" applyFont="1" applyFill="1" applyBorder="1" applyAlignment="1">
      <alignment horizontal="left" vertical="top"/>
    </xf>
    <xf numFmtId="0" fontId="23" fillId="35" borderId="13" xfId="0" applyFont="1" applyFill="1" applyBorder="1" applyAlignment="1">
      <alignment horizontal="left" vertical="top" wrapText="1"/>
    </xf>
    <xf numFmtId="0" fontId="25" fillId="35" borderId="13" xfId="0" applyFont="1" applyFill="1" applyBorder="1" applyAlignment="1">
      <alignment horizontal="left" vertical="top" wrapText="1"/>
    </xf>
    <xf numFmtId="0" fontId="23" fillId="36" borderId="13" xfId="0" applyFont="1" applyFill="1" applyBorder="1" applyAlignment="1">
      <alignment horizontal="left" vertical="top"/>
    </xf>
    <xf numFmtId="0" fontId="24" fillId="36" borderId="13" xfId="0" applyFont="1" applyFill="1" applyBorder="1" applyAlignment="1">
      <alignment horizontal="left" vertical="top"/>
    </xf>
    <xf numFmtId="0" fontId="23" fillId="36" borderId="13" xfId="0" applyFont="1" applyFill="1" applyBorder="1" applyAlignment="1">
      <alignment horizontal="left" vertical="top" wrapText="1"/>
    </xf>
    <xf numFmtId="0" fontId="25" fillId="36" borderId="13" xfId="0" applyFont="1" applyFill="1" applyBorder="1" applyAlignment="1">
      <alignment horizontal="left" vertical="top" wrapText="1"/>
    </xf>
    <xf numFmtId="0" fontId="20" fillId="36" borderId="0" xfId="0" applyFont="1" applyFill="1" applyBorder="1" applyAlignment="1">
      <alignment horizontal="left" vertical="top"/>
    </xf>
    <xf numFmtId="0" fontId="22" fillId="35" borderId="0" xfId="0" applyFont="1" applyFill="1" applyBorder="1" applyAlignment="1">
      <alignment horizontal="left" vertical="top"/>
    </xf>
    <xf numFmtId="0" fontId="18" fillId="0" borderId="22" xfId="0" applyFont="1" applyBorder="1" applyAlignment="1">
      <alignment horizontal="left" vertical="top"/>
    </xf>
    <xf numFmtId="0" fontId="18" fillId="34" borderId="13" xfId="0" quotePrefix="1" applyFont="1" applyFill="1" applyBorder="1" applyAlignment="1">
      <alignment horizontal="left" vertical="top"/>
    </xf>
    <xf numFmtId="0" fontId="18" fillId="0" borderId="16" xfId="0" applyFont="1" applyBorder="1" applyAlignment="1">
      <alignment horizontal="left" vertical="top"/>
    </xf>
    <xf numFmtId="0" fontId="18" fillId="34" borderId="15" xfId="0" quotePrefix="1" applyFont="1" applyFill="1" applyBorder="1" applyAlignment="1">
      <alignment horizontal="left" vertical="top"/>
    </xf>
    <xf numFmtId="0" fontId="18" fillId="35" borderId="13" xfId="0" applyFont="1" applyFill="1" applyBorder="1" applyAlignment="1">
      <alignment horizontal="left" vertical="top"/>
    </xf>
    <xf numFmtId="0" fontId="18" fillId="36" borderId="13" xfId="0" applyFont="1" applyFill="1" applyBorder="1" applyAlignment="1">
      <alignment horizontal="left" vertical="top"/>
    </xf>
    <xf numFmtId="2" fontId="20" fillId="0" borderId="11" xfId="0" quotePrefix="1" applyNumberFormat="1" applyFont="1" applyFill="1" applyBorder="1" applyAlignment="1">
      <alignment horizontal="left" vertical="top"/>
    </xf>
    <xf numFmtId="0" fontId="20" fillId="0" borderId="18" xfId="0" applyFont="1" applyBorder="1" applyAlignment="1">
      <alignment horizontal="left" vertical="top" wrapText="1"/>
    </xf>
    <xf numFmtId="2" fontId="18" fillId="0" borderId="11" xfId="0" applyNumberFormat="1" applyFont="1" applyFill="1" applyBorder="1" applyAlignment="1">
      <alignment horizontal="left" vertical="top"/>
    </xf>
    <xf numFmtId="2" fontId="18" fillId="0" borderId="11" xfId="0" applyNumberFormat="1" applyFont="1" applyBorder="1" applyAlignment="1">
      <alignment horizontal="left" vertical="top" wrapText="1"/>
    </xf>
    <xf numFmtId="0" fontId="24" fillId="0" borderId="15" xfId="0" applyFont="1" applyBorder="1" applyAlignment="1">
      <alignment horizontal="left" vertical="top" wrapText="1"/>
    </xf>
    <xf numFmtId="2" fontId="18" fillId="0" borderId="14" xfId="0" applyNumberFormat="1" applyFont="1" applyBorder="1" applyAlignment="1">
      <alignment horizontal="left" vertical="top" wrapText="1"/>
    </xf>
    <xf numFmtId="0" fontId="24" fillId="35" borderId="13" xfId="0" applyFont="1" applyFill="1" applyBorder="1" applyAlignment="1">
      <alignment horizontal="left" vertical="top" wrapText="1"/>
    </xf>
    <xf numFmtId="0" fontId="27" fillId="0" borderId="22" xfId="0" applyFont="1" applyBorder="1" applyAlignment="1">
      <alignment horizontal="left" vertical="top"/>
    </xf>
    <xf numFmtId="0" fontId="24" fillId="0" borderId="16" xfId="0" applyFont="1" applyFill="1" applyBorder="1" applyAlignment="1">
      <alignment horizontal="left" vertical="top" wrapText="1"/>
    </xf>
    <xf numFmtId="0" fontId="27" fillId="0" borderId="16" xfId="0" applyFont="1" applyBorder="1" applyAlignment="1">
      <alignment horizontal="left" vertical="top"/>
    </xf>
    <xf numFmtId="0" fontId="31" fillId="5" borderId="46" xfId="9" applyFont="1" applyBorder="1" applyAlignment="1">
      <alignment horizontal="left" vertical="top"/>
    </xf>
    <xf numFmtId="0" fontId="31" fillId="5" borderId="47" xfId="9" applyFont="1" applyBorder="1" applyAlignment="1">
      <alignment horizontal="left" vertical="top"/>
    </xf>
    <xf numFmtId="0" fontId="24" fillId="36" borderId="13" xfId="0" applyFont="1" applyFill="1" applyBorder="1" applyAlignment="1">
      <alignment horizontal="left" vertical="top" wrapText="1"/>
    </xf>
    <xf numFmtId="0" fontId="24" fillId="0" borderId="17" xfId="0" applyFont="1" applyBorder="1" applyAlignment="1">
      <alignment horizontal="left" vertical="top"/>
    </xf>
    <xf numFmtId="0" fontId="18" fillId="0" borderId="15" xfId="0" applyFont="1" applyBorder="1" applyAlignment="1">
      <alignment horizontal="left" vertical="top"/>
    </xf>
    <xf numFmtId="0" fontId="32" fillId="5" borderId="25" xfId="9" applyFont="1" applyBorder="1" applyAlignment="1">
      <alignment horizontal="left" vertical="top"/>
    </xf>
    <xf numFmtId="0" fontId="22" fillId="0" borderId="0" xfId="0" applyFont="1" applyFill="1" applyBorder="1" applyAlignment="1">
      <alignment vertical="top" wrapText="1"/>
    </xf>
    <xf numFmtId="0" fontId="22" fillId="0" borderId="22" xfId="0" applyFont="1" applyBorder="1" applyAlignment="1">
      <alignment vertical="top"/>
    </xf>
    <xf numFmtId="0" fontId="23" fillId="0" borderId="18" xfId="0" applyFont="1" applyBorder="1" applyAlignment="1">
      <alignment vertical="top" wrapText="1"/>
    </xf>
    <xf numFmtId="0" fontId="23" fillId="0" borderId="12" xfId="0" applyFont="1" applyBorder="1" applyAlignment="1">
      <alignment horizontal="left" vertical="top" wrapText="1"/>
    </xf>
    <xf numFmtId="0" fontId="23" fillId="0" borderId="15" xfId="0" applyFont="1" applyBorder="1" applyAlignment="1">
      <alignment horizontal="left" vertical="top" wrapText="1"/>
    </xf>
    <xf numFmtId="0" fontId="23" fillId="0" borderId="13" xfId="0" applyFont="1" applyBorder="1" applyAlignment="1">
      <alignment horizontal="left" vertical="top" wrapText="1"/>
    </xf>
    <xf numFmtId="0" fontId="22" fillId="0" borderId="17" xfId="0" applyNumberFormat="1" applyFont="1" applyBorder="1" applyAlignment="1">
      <alignment vertical="top" wrapText="1"/>
    </xf>
    <xf numFmtId="0" fontId="23" fillId="0" borderId="19" xfId="0" applyFont="1" applyBorder="1" applyAlignment="1">
      <alignment vertical="top" wrapText="1"/>
    </xf>
    <xf numFmtId="0" fontId="23" fillId="33" borderId="15" xfId="0" quotePrefix="1" applyFont="1" applyFill="1" applyBorder="1" applyAlignment="1">
      <alignment horizontal="left" vertical="top"/>
    </xf>
    <xf numFmtId="0" fontId="32" fillId="5" borderId="24" xfId="9" applyFont="1" applyBorder="1" applyAlignment="1">
      <alignment horizontal="left" vertical="top"/>
    </xf>
    <xf numFmtId="0" fontId="32" fillId="33" borderId="12" xfId="0" quotePrefix="1" applyFont="1" applyFill="1" applyBorder="1" applyAlignment="1">
      <alignment horizontal="left" vertical="top"/>
    </xf>
    <xf numFmtId="0" fontId="32" fillId="33" borderId="11" xfId="0" quotePrefix="1" applyFont="1" applyFill="1" applyBorder="1" applyAlignment="1">
      <alignment horizontal="left" vertical="top"/>
    </xf>
    <xf numFmtId="0" fontId="32" fillId="33" borderId="15" xfId="0" quotePrefix="1" applyFont="1" applyFill="1" applyBorder="1" applyAlignment="1">
      <alignment horizontal="left" vertical="top"/>
    </xf>
    <xf numFmtId="0" fontId="32" fillId="33" borderId="14" xfId="0" quotePrefix="1" applyFont="1" applyFill="1" applyBorder="1" applyAlignment="1">
      <alignment horizontal="left" vertical="top"/>
    </xf>
    <xf numFmtId="0" fontId="18" fillId="33" borderId="12" xfId="0" quotePrefix="1" applyFont="1" applyFill="1" applyBorder="1" applyAlignment="1">
      <alignment horizontal="left" vertical="top"/>
    </xf>
    <xf numFmtId="0" fontId="18" fillId="33" borderId="15" xfId="0" quotePrefix="1" applyFont="1" applyFill="1" applyBorder="1" applyAlignment="1">
      <alignment horizontal="left" vertical="top"/>
    </xf>
    <xf numFmtId="0" fontId="32" fillId="5" borderId="27" xfId="9" applyFont="1" applyBorder="1" applyAlignment="1">
      <alignment horizontal="left" vertical="top"/>
    </xf>
    <xf numFmtId="0" fontId="23" fillId="0" borderId="23" xfId="0" applyFont="1" applyFill="1" applyBorder="1" applyAlignment="1">
      <alignment horizontal="left" vertical="top" wrapText="1"/>
    </xf>
    <xf numFmtId="0" fontId="23" fillId="33" borderId="4" xfId="9" applyFont="1" applyFill="1" applyBorder="1" applyAlignment="1">
      <alignment horizontal="left" vertical="top"/>
    </xf>
    <xf numFmtId="0" fontId="23" fillId="33" borderId="32" xfId="9" applyFont="1" applyFill="1" applyBorder="1" applyAlignment="1">
      <alignment horizontal="left" vertical="top"/>
    </xf>
    <xf numFmtId="0" fontId="23" fillId="33" borderId="33" xfId="9" applyFont="1" applyFill="1" applyBorder="1" applyAlignment="1">
      <alignment horizontal="left" vertical="top"/>
    </xf>
    <xf numFmtId="0" fontId="23" fillId="33" borderId="24" xfId="9" applyFont="1" applyFill="1" applyBorder="1" applyAlignment="1">
      <alignment horizontal="left" vertical="top"/>
    </xf>
    <xf numFmtId="0" fontId="23" fillId="33" borderId="27" xfId="9" applyFont="1" applyFill="1" applyBorder="1" applyAlignment="1">
      <alignment horizontal="left" vertical="top"/>
    </xf>
    <xf numFmtId="0" fontId="22" fillId="35" borderId="13" xfId="0" applyFont="1" applyFill="1" applyBorder="1" applyAlignment="1">
      <alignment horizontal="left" vertical="top" wrapText="1"/>
    </xf>
    <xf numFmtId="0" fontId="22" fillId="36" borderId="13" xfId="0" applyFont="1" applyFill="1" applyBorder="1" applyAlignment="1">
      <alignment horizontal="left" vertical="top"/>
    </xf>
    <xf numFmtId="0" fontId="23" fillId="0" borderId="23" xfId="0" applyFont="1" applyBorder="1" applyAlignment="1">
      <alignment horizontal="left" vertical="top" wrapText="1"/>
    </xf>
    <xf numFmtId="0" fontId="23" fillId="0" borderId="19" xfId="0" applyFont="1" applyBorder="1" applyAlignment="1">
      <alignment horizontal="left" vertical="top" wrapText="1"/>
    </xf>
    <xf numFmtId="0" fontId="20" fillId="33" borderId="0" xfId="0" applyFont="1" applyFill="1" applyBorder="1" applyAlignment="1">
      <alignment vertical="top"/>
    </xf>
    <xf numFmtId="0" fontId="20" fillId="33" borderId="12" xfId="0" applyFont="1" applyFill="1" applyBorder="1" applyAlignment="1">
      <alignment vertical="top"/>
    </xf>
    <xf numFmtId="0" fontId="20" fillId="33" borderId="15" xfId="0" applyFont="1" applyFill="1" applyBorder="1" applyAlignment="1">
      <alignment vertical="top"/>
    </xf>
    <xf numFmtId="0" fontId="20" fillId="33" borderId="13" xfId="0" applyFont="1" applyFill="1" applyBorder="1" applyAlignment="1">
      <alignment vertical="top"/>
    </xf>
    <xf numFmtId="0" fontId="31" fillId="5" borderId="40" xfId="9" applyFont="1" applyBorder="1" applyAlignment="1">
      <alignment horizontal="left" vertical="top"/>
    </xf>
    <xf numFmtId="0" fontId="20" fillId="0" borderId="42" xfId="0" applyFont="1" applyBorder="1" applyAlignment="1">
      <alignment horizontal="left" vertical="top" wrapText="1"/>
    </xf>
    <xf numFmtId="0" fontId="31" fillId="5" borderId="48" xfId="9" applyFont="1" applyBorder="1" applyAlignment="1">
      <alignment horizontal="left" vertical="top"/>
    </xf>
    <xf numFmtId="0" fontId="18" fillId="0" borderId="17" xfId="0" applyFont="1" applyBorder="1" applyAlignment="1">
      <alignment horizontal="left" vertical="top"/>
    </xf>
    <xf numFmtId="0" fontId="20" fillId="0" borderId="17" xfId="0" applyFont="1" applyBorder="1" applyAlignment="1">
      <alignment horizontal="left" vertical="top" wrapText="1"/>
    </xf>
    <xf numFmtId="0" fontId="25" fillId="0" borderId="23" xfId="0" applyFont="1" applyBorder="1"/>
    <xf numFmtId="0" fontId="25" fillId="0" borderId="19" xfId="0" applyFont="1" applyBorder="1"/>
    <xf numFmtId="0" fontId="20" fillId="0" borderId="15" xfId="0" applyFont="1" applyBorder="1" applyAlignment="1">
      <alignment horizontal="center" vertical="top" wrapText="1"/>
    </xf>
    <xf numFmtId="0" fontId="20" fillId="0" borderId="13" xfId="0" applyFont="1" applyBorder="1"/>
    <xf numFmtId="0" fontId="9" fillId="5" borderId="50" xfId="9" applyBorder="1" applyAlignment="1">
      <alignment horizontal="left" vertical="top"/>
    </xf>
    <xf numFmtId="0" fontId="31" fillId="5" borderId="50" xfId="9" applyFont="1" applyBorder="1" applyAlignment="1">
      <alignment horizontal="left" vertical="top"/>
    </xf>
    <xf numFmtId="0" fontId="18" fillId="0" borderId="45" xfId="0" applyFont="1" applyBorder="1" applyAlignment="1">
      <alignment horizontal="left" vertical="top" wrapText="1"/>
    </xf>
    <xf numFmtId="0" fontId="23" fillId="33" borderId="40" xfId="9" quotePrefix="1" applyFont="1" applyFill="1" applyBorder="1" applyAlignment="1">
      <alignment horizontal="left" vertical="top"/>
    </xf>
    <xf numFmtId="0" fontId="20" fillId="0" borderId="0" xfId="0" applyFont="1"/>
    <xf numFmtId="0" fontId="19" fillId="0" borderId="0" xfId="0" applyFont="1"/>
    <xf numFmtId="0" fontId="18" fillId="0" borderId="0" xfId="0" applyFont="1"/>
    <xf numFmtId="0" fontId="18" fillId="0" borderId="11" xfId="0" applyFont="1" applyFill="1" applyBorder="1" applyAlignment="1">
      <alignment horizontal="left" vertical="top" wrapText="1"/>
    </xf>
    <xf numFmtId="0" fontId="18" fillId="0" borderId="11" xfId="0" applyFont="1" applyFill="1" applyBorder="1" applyAlignment="1">
      <alignment horizontal="left" vertical="top"/>
    </xf>
    <xf numFmtId="0" fontId="18" fillId="0" borderId="11" xfId="0" applyFont="1" applyBorder="1" applyAlignment="1">
      <alignment horizontal="left" vertical="top" wrapText="1"/>
    </xf>
    <xf numFmtId="0" fontId="18" fillId="0" borderId="0" xfId="0" applyFont="1" applyFill="1" applyBorder="1" applyAlignment="1">
      <alignment horizontal="left" vertical="top" wrapText="1"/>
    </xf>
    <xf numFmtId="0" fontId="20" fillId="0" borderId="0" xfId="0" applyFont="1" applyBorder="1" applyAlignment="1">
      <alignment horizontal="left" vertical="top"/>
    </xf>
    <xf numFmtId="0" fontId="18" fillId="0" borderId="0" xfId="0" applyFont="1" applyFill="1" applyBorder="1" applyAlignment="1">
      <alignment horizontal="left" vertical="top"/>
    </xf>
    <xf numFmtId="0" fontId="18" fillId="0" borderId="0" xfId="0" applyFont="1" applyBorder="1" applyAlignment="1">
      <alignment horizontal="left" vertical="top" wrapText="1"/>
    </xf>
    <xf numFmtId="0" fontId="18" fillId="0" borderId="0" xfId="0" applyFont="1" applyBorder="1" applyAlignment="1">
      <alignment vertical="top" wrapText="1"/>
    </xf>
    <xf numFmtId="0" fontId="0" fillId="0" borderId="22" xfId="0" applyBorder="1"/>
    <xf numFmtId="0" fontId="16" fillId="0" borderId="0" xfId="0" applyFont="1"/>
    <xf numFmtId="0" fontId="0" fillId="0" borderId="18" xfId="0" applyBorder="1"/>
    <xf numFmtId="0" fontId="0" fillId="0" borderId="23" xfId="0" applyBorder="1"/>
    <xf numFmtId="0" fontId="0" fillId="0" borderId="19" xfId="0" applyBorder="1"/>
    <xf numFmtId="0" fontId="18" fillId="0" borderId="0" xfId="0" applyFont="1" applyBorder="1" applyAlignment="1">
      <alignment horizontal="left" vertical="top"/>
    </xf>
    <xf numFmtId="0" fontId="0" fillId="0" borderId="13" xfId="0" applyBorder="1"/>
    <xf numFmtId="0" fontId="23" fillId="33" borderId="12" xfId="0" applyFont="1" applyFill="1" applyBorder="1" applyAlignment="1">
      <alignment horizontal="left" vertical="top"/>
    </xf>
    <xf numFmtId="0" fontId="20" fillId="0" borderId="0" xfId="0" applyFont="1" applyBorder="1" applyAlignment="1">
      <alignment vertical="top"/>
    </xf>
    <xf numFmtId="0" fontId="22" fillId="35" borderId="0" xfId="0" applyFont="1" applyFill="1" applyBorder="1" applyAlignment="1">
      <alignment horizontal="left" vertical="top"/>
    </xf>
    <xf numFmtId="0" fontId="0" fillId="0" borderId="0" xfId="0" applyBorder="1" applyAlignment="1">
      <alignment horizontal="left" vertical="center"/>
    </xf>
    <xf numFmtId="0" fontId="20" fillId="0" borderId="0" xfId="0" applyFont="1" applyAlignment="1">
      <alignment horizontal="left" vertical="top" wrapText="1"/>
    </xf>
    <xf numFmtId="165" fontId="44" fillId="33" borderId="42" xfId="0" quotePrefix="1" applyNumberFormat="1" applyFont="1" applyFill="1" applyBorder="1" applyAlignment="1">
      <alignment horizontal="left" vertical="top"/>
    </xf>
    <xf numFmtId="165" fontId="44" fillId="33" borderId="11" xfId="0" quotePrefix="1" applyNumberFormat="1" applyFont="1" applyFill="1" applyBorder="1" applyAlignment="1">
      <alignment horizontal="left" vertical="top"/>
    </xf>
    <xf numFmtId="165" fontId="44" fillId="33" borderId="14" xfId="0" quotePrefix="1" applyNumberFormat="1" applyFont="1" applyFill="1" applyBorder="1" applyAlignment="1">
      <alignment horizontal="left" vertical="top"/>
    </xf>
    <xf numFmtId="165" fontId="20" fillId="0" borderId="0" xfId="0" applyNumberFormat="1" applyFont="1" applyBorder="1" applyAlignment="1">
      <alignment horizontal="left" vertical="top" wrapText="1"/>
    </xf>
    <xf numFmtId="0" fontId="24" fillId="0" borderId="22" xfId="0" applyFont="1" applyBorder="1" applyAlignment="1">
      <alignment vertical="top"/>
    </xf>
    <xf numFmtId="0" fontId="24" fillId="0" borderId="16" xfId="0" applyFont="1" applyBorder="1"/>
    <xf numFmtId="0" fontId="24" fillId="0" borderId="22" xfId="0" applyFont="1" applyBorder="1"/>
    <xf numFmtId="0" fontId="20" fillId="0" borderId="37" xfId="0" applyFont="1" applyBorder="1" applyAlignment="1">
      <alignment horizontal="left" vertical="top"/>
    </xf>
    <xf numFmtId="0" fontId="22" fillId="0" borderId="16" xfId="0" applyNumberFormat="1" applyFont="1" applyFill="1" applyBorder="1" applyAlignment="1">
      <alignment vertical="top" wrapText="1"/>
    </xf>
    <xf numFmtId="14" fontId="18" fillId="0" borderId="0" xfId="0" applyNumberFormat="1" applyFont="1" applyBorder="1" applyAlignment="1">
      <alignment horizontal="left" vertical="top" wrapText="1"/>
    </xf>
    <xf numFmtId="0" fontId="23" fillId="33" borderId="43" xfId="9" quotePrefix="1" applyFont="1" applyFill="1" applyBorder="1" applyAlignment="1">
      <alignment horizontal="left" vertical="top"/>
    </xf>
    <xf numFmtId="0" fontId="18" fillId="0" borderId="0" xfId="0" applyNumberFormat="1" applyFont="1" applyBorder="1" applyAlignment="1">
      <alignment horizontal="left" vertical="top" wrapText="1"/>
    </xf>
    <xf numFmtId="0" fontId="0" fillId="0" borderId="0" xfId="0"/>
    <xf numFmtId="0" fontId="36" fillId="0" borderId="0" xfId="0" applyFont="1" applyBorder="1" applyAlignment="1">
      <alignment horizontal="left" vertical="center" wrapText="1"/>
    </xf>
    <xf numFmtId="0" fontId="18" fillId="0" borderId="17" xfId="0" applyFont="1" applyFill="1" applyBorder="1" applyAlignment="1">
      <alignment horizontal="left" vertical="top"/>
    </xf>
    <xf numFmtId="0" fontId="18" fillId="0" borderId="37" xfId="0" applyFont="1" applyBorder="1" applyAlignment="1">
      <alignment horizontal="left" vertical="top"/>
    </xf>
    <xf numFmtId="0" fontId="20" fillId="0" borderId="0" xfId="0" applyFont="1" applyFill="1" applyBorder="1" applyAlignment="1">
      <alignment horizontal="left"/>
    </xf>
    <xf numFmtId="0" fontId="18" fillId="0" borderId="14" xfId="0" applyFont="1" applyFill="1" applyBorder="1" applyAlignment="1">
      <alignment horizontal="left" vertical="top"/>
    </xf>
    <xf numFmtId="0" fontId="21" fillId="0" borderId="0" xfId="0" applyFont="1" applyBorder="1" applyAlignment="1">
      <alignment horizontal="left" vertical="top"/>
    </xf>
    <xf numFmtId="14" fontId="21" fillId="0" borderId="0" xfId="0" applyNumberFormat="1" applyFont="1" applyBorder="1" applyAlignment="1">
      <alignment horizontal="left" vertical="top"/>
    </xf>
    <xf numFmtId="0" fontId="21" fillId="0" borderId="0" xfId="0" applyFont="1" applyBorder="1" applyAlignment="1">
      <alignment vertical="top" wrapText="1"/>
    </xf>
    <xf numFmtId="14" fontId="21" fillId="0" borderId="0" xfId="0" applyNumberFormat="1" applyFont="1" applyBorder="1" applyAlignment="1">
      <alignment vertical="top" wrapText="1"/>
    </xf>
    <xf numFmtId="0" fontId="21" fillId="0" borderId="0" xfId="0" applyFont="1" applyBorder="1" applyAlignment="1">
      <alignment horizontal="left" vertical="top" wrapText="1"/>
    </xf>
    <xf numFmtId="14" fontId="21" fillId="0" borderId="0" xfId="0" applyNumberFormat="1" applyFont="1" applyBorder="1" applyAlignment="1">
      <alignment horizontal="left" vertical="top" wrapText="1"/>
    </xf>
    <xf numFmtId="0" fontId="20" fillId="33" borderId="12" xfId="0" quotePrefix="1" applyFont="1" applyFill="1" applyBorder="1" applyAlignment="1">
      <alignment horizontal="left" vertical="top"/>
    </xf>
    <xf numFmtId="0" fontId="20" fillId="33" borderId="11" xfId="0" quotePrefix="1" applyFont="1" applyFill="1" applyBorder="1" applyAlignment="1">
      <alignment horizontal="left" vertical="top"/>
    </xf>
    <xf numFmtId="0" fontId="20" fillId="33" borderId="15" xfId="0" quotePrefix="1" applyFont="1" applyFill="1" applyBorder="1" applyAlignment="1">
      <alignment horizontal="left" vertical="top"/>
    </xf>
    <xf numFmtId="0" fontId="20" fillId="33" borderId="14" xfId="0" quotePrefix="1" applyFont="1" applyFill="1" applyBorder="1" applyAlignment="1">
      <alignment horizontal="left" vertical="top"/>
    </xf>
    <xf numFmtId="2" fontId="44" fillId="33" borderId="13" xfId="0" quotePrefix="1" applyNumberFormat="1" applyFont="1" applyFill="1" applyBorder="1" applyAlignment="1">
      <alignment horizontal="left" vertical="top"/>
    </xf>
    <xf numFmtId="2" fontId="44" fillId="33" borderId="11" xfId="0" applyNumberFormat="1" applyFont="1" applyFill="1" applyBorder="1" applyAlignment="1">
      <alignment horizontal="left" vertical="top"/>
    </xf>
    <xf numFmtId="2" fontId="44" fillId="33" borderId="14" xfId="0" applyNumberFormat="1" applyFont="1" applyFill="1" applyBorder="1" applyAlignment="1">
      <alignment horizontal="left" vertical="top"/>
    </xf>
    <xf numFmtId="0" fontId="45" fillId="5" borderId="25" xfId="9" applyFont="1" applyBorder="1" applyAlignment="1">
      <alignment horizontal="left" vertical="top"/>
    </xf>
    <xf numFmtId="0" fontId="45" fillId="5" borderId="27" xfId="9" applyFont="1" applyBorder="1" applyAlignment="1">
      <alignment horizontal="left" vertical="top"/>
    </xf>
    <xf numFmtId="0" fontId="45" fillId="5" borderId="24" xfId="9" applyFont="1" applyBorder="1" applyAlignment="1">
      <alignment horizontal="left" vertical="top"/>
    </xf>
    <xf numFmtId="0" fontId="45" fillId="5" borderId="34" xfId="9" applyFont="1" applyBorder="1" applyAlignment="1">
      <alignment horizontal="left" vertical="top"/>
    </xf>
    <xf numFmtId="0" fontId="45" fillId="5" borderId="40" xfId="9" applyFont="1" applyBorder="1" applyAlignment="1">
      <alignment horizontal="left" vertical="top"/>
    </xf>
    <xf numFmtId="0" fontId="45" fillId="5" borderId="31" xfId="9" applyFont="1" applyBorder="1" applyAlignment="1">
      <alignment horizontal="left" vertical="top"/>
    </xf>
    <xf numFmtId="0" fontId="45" fillId="5" borderId="30" xfId="9" applyFont="1" applyBorder="1" applyAlignment="1">
      <alignment horizontal="left" vertical="top"/>
    </xf>
    <xf numFmtId="0" fontId="45" fillId="5" borderId="26" xfId="9" applyFont="1" applyBorder="1" applyAlignment="1">
      <alignment horizontal="left" vertical="top"/>
    </xf>
    <xf numFmtId="0" fontId="45" fillId="5" borderId="32" xfId="9" applyFont="1" applyBorder="1" applyAlignment="1">
      <alignment horizontal="left" vertical="top"/>
    </xf>
    <xf numFmtId="0" fontId="45" fillId="5" borderId="35" xfId="9" applyFont="1" applyBorder="1" applyAlignment="1">
      <alignment horizontal="left" vertical="top"/>
    </xf>
    <xf numFmtId="0" fontId="45" fillId="5" borderId="33" xfId="9" applyFont="1" applyBorder="1" applyAlignment="1">
      <alignment horizontal="left" vertical="top"/>
    </xf>
    <xf numFmtId="164" fontId="44" fillId="0" borderId="13" xfId="0" applyNumberFormat="1" applyFont="1" applyFill="1" applyBorder="1" applyAlignment="1">
      <alignment horizontal="left" vertical="top" wrapText="1"/>
    </xf>
    <xf numFmtId="0" fontId="20" fillId="33" borderId="0" xfId="0" quotePrefix="1" applyFont="1" applyFill="1" applyBorder="1" applyAlignment="1">
      <alignment horizontal="left" vertical="top"/>
    </xf>
    <xf numFmtId="0" fontId="23" fillId="33" borderId="56" xfId="9" quotePrefix="1" applyFont="1" applyFill="1" applyBorder="1" applyAlignment="1">
      <alignment horizontal="left" vertical="top"/>
    </xf>
    <xf numFmtId="0" fontId="23" fillId="33" borderId="55" xfId="9" quotePrefix="1" applyFont="1" applyFill="1" applyBorder="1" applyAlignment="1">
      <alignment horizontal="left" vertical="top"/>
    </xf>
    <xf numFmtId="164" fontId="18" fillId="0" borderId="11" xfId="0" applyNumberFormat="1" applyFont="1" applyBorder="1" applyAlignment="1">
      <alignment horizontal="left" vertical="top"/>
    </xf>
    <xf numFmtId="0" fontId="20" fillId="33" borderId="13" xfId="0" quotePrefix="1" applyFont="1" applyFill="1" applyBorder="1" applyAlignment="1">
      <alignment horizontal="left" vertical="top"/>
    </xf>
    <xf numFmtId="164" fontId="18" fillId="0" borderId="14" xfId="0" applyNumberFormat="1" applyFont="1" applyBorder="1" applyAlignment="1">
      <alignment horizontal="left" vertical="top"/>
    </xf>
    <xf numFmtId="0" fontId="18" fillId="0" borderId="20" xfId="0" applyFont="1" applyBorder="1" applyAlignment="1">
      <alignment horizontal="left" vertical="top"/>
    </xf>
    <xf numFmtId="2" fontId="18" fillId="0" borderId="45" xfId="0" applyNumberFormat="1" applyFont="1" applyBorder="1" applyAlignment="1">
      <alignment horizontal="left" vertical="top"/>
    </xf>
    <xf numFmtId="165" fontId="23" fillId="0" borderId="0" xfId="0" applyNumberFormat="1" applyFont="1" applyBorder="1" applyAlignment="1">
      <alignment horizontal="left" vertical="top"/>
    </xf>
    <xf numFmtId="0" fontId="18" fillId="0" borderId="41" xfId="0" applyFont="1" applyBorder="1" applyAlignment="1">
      <alignment horizontal="left" vertical="top" wrapText="1"/>
    </xf>
    <xf numFmtId="0" fontId="18" fillId="0" borderId="20" xfId="0" applyFont="1" applyBorder="1" applyAlignment="1">
      <alignment horizontal="left" vertical="top" wrapText="1"/>
    </xf>
    <xf numFmtId="0" fontId="20" fillId="0" borderId="14" xfId="0" quotePrefix="1" applyFont="1" applyFill="1" applyBorder="1" applyAlignment="1">
      <alignment horizontal="left" vertical="top"/>
    </xf>
    <xf numFmtId="0" fontId="26" fillId="0" borderId="22" xfId="0" applyNumberFormat="1" applyFont="1" applyFill="1" applyBorder="1" applyAlignment="1">
      <alignment vertical="top" wrapText="1"/>
    </xf>
    <xf numFmtId="0" fontId="14" fillId="0" borderId="22" xfId="0" applyFont="1" applyFill="1" applyBorder="1"/>
    <xf numFmtId="0" fontId="26" fillId="0" borderId="16" xfId="0" applyFont="1" applyFill="1" applyBorder="1" applyAlignment="1">
      <alignment horizontal="left" vertical="top"/>
    </xf>
    <xf numFmtId="2" fontId="44" fillId="33" borderId="11" xfId="0" quotePrefix="1" applyNumberFormat="1" applyFont="1" applyFill="1" applyBorder="1" applyAlignment="1">
      <alignment horizontal="left" vertical="top"/>
    </xf>
    <xf numFmtId="2" fontId="44" fillId="33" borderId="38" xfId="0" quotePrefix="1" applyNumberFormat="1" applyFont="1" applyFill="1" applyBorder="1" applyAlignment="1">
      <alignment horizontal="left" vertical="top"/>
    </xf>
    <xf numFmtId="164" fontId="18" fillId="0" borderId="45" xfId="0" applyNumberFormat="1" applyFont="1" applyBorder="1" applyAlignment="1">
      <alignment horizontal="left" vertical="top"/>
    </xf>
    <xf numFmtId="165" fontId="18" fillId="0" borderId="13" xfId="0" applyNumberFormat="1" applyFont="1" applyBorder="1" applyAlignment="1">
      <alignment horizontal="left" vertical="top"/>
    </xf>
    <xf numFmtId="2" fontId="46" fillId="0" borderId="0" xfId="0" applyNumberFormat="1" applyFont="1"/>
    <xf numFmtId="0" fontId="25" fillId="0" borderId="0" xfId="0" applyFont="1" applyBorder="1"/>
    <xf numFmtId="0" fontId="22" fillId="0" borderId="0" xfId="0" applyFont="1" applyFill="1" applyBorder="1" applyAlignment="1">
      <alignment horizontal="left" vertical="top" wrapText="1"/>
    </xf>
    <xf numFmtId="1" fontId="18" fillId="0" borderId="0" xfId="42" applyNumberFormat="1" applyFont="1" applyFill="1" applyBorder="1" applyAlignment="1">
      <alignment horizontal="left" vertical="top"/>
    </xf>
    <xf numFmtId="0" fontId="18" fillId="0" borderId="42" xfId="0" applyFont="1" applyBorder="1" applyAlignment="1">
      <alignment horizontal="left" vertical="top"/>
    </xf>
    <xf numFmtId="1" fontId="18" fillId="0" borderId="13" xfId="42" applyNumberFormat="1" applyFont="1" applyFill="1" applyBorder="1" applyAlignment="1">
      <alignment horizontal="left" vertical="top"/>
    </xf>
    <xf numFmtId="0" fontId="44" fillId="0" borderId="11" xfId="0" applyFont="1" applyFill="1" applyBorder="1" applyAlignment="1">
      <alignment horizontal="left" vertical="top"/>
    </xf>
    <xf numFmtId="0" fontId="44" fillId="0" borderId="14" xfId="0" applyFont="1" applyFill="1" applyBorder="1" applyAlignment="1">
      <alignment horizontal="left" vertical="top"/>
    </xf>
    <xf numFmtId="0" fontId="20" fillId="0" borderId="22" xfId="0" applyFont="1" applyFill="1" applyBorder="1"/>
    <xf numFmtId="0" fontId="24" fillId="0" borderId="22" xfId="0" applyFont="1" applyFill="1" applyBorder="1" applyAlignment="1">
      <alignment horizontal="left" vertical="top" wrapText="1"/>
    </xf>
    <xf numFmtId="0" fontId="18" fillId="0" borderId="16" xfId="0" applyFont="1" applyBorder="1" applyAlignment="1">
      <alignment vertical="top"/>
    </xf>
    <xf numFmtId="0" fontId="18" fillId="0" borderId="36" xfId="0" applyFont="1" applyBorder="1" applyAlignment="1">
      <alignment horizontal="left" vertical="top"/>
    </xf>
    <xf numFmtId="2" fontId="44" fillId="0" borderId="0" xfId="0" applyNumberFormat="1" applyFont="1" applyBorder="1" applyAlignment="1">
      <alignment horizontal="left" vertical="top"/>
    </xf>
    <xf numFmtId="0" fontId="25" fillId="35" borderId="0" xfId="0" applyFont="1" applyFill="1" applyBorder="1" applyAlignment="1">
      <alignment horizontal="left" vertical="top" wrapText="1"/>
    </xf>
    <xf numFmtId="0" fontId="0" fillId="0" borderId="0" xfId="0" applyFill="1"/>
    <xf numFmtId="0" fontId="23" fillId="33" borderId="45" xfId="0" applyFont="1" applyFill="1" applyBorder="1" applyAlignment="1">
      <alignment horizontal="left" vertical="top"/>
    </xf>
    <xf numFmtId="165" fontId="18" fillId="0" borderId="0" xfId="0" applyNumberFormat="1" applyFont="1" applyFill="1" applyBorder="1" applyAlignment="1">
      <alignment horizontal="left" vertical="top" wrapText="1"/>
    </xf>
    <xf numFmtId="165" fontId="18" fillId="0" borderId="13" xfId="0" applyNumberFormat="1" applyFont="1" applyFill="1" applyBorder="1" applyAlignment="1">
      <alignment horizontal="left" vertical="top" wrapText="1"/>
    </xf>
    <xf numFmtId="0" fontId="23" fillId="33" borderId="58" xfId="9" quotePrefix="1" applyFont="1" applyFill="1" applyBorder="1" applyAlignment="1">
      <alignment horizontal="left" vertical="top"/>
    </xf>
    <xf numFmtId="0" fontId="23" fillId="33" borderId="34" xfId="9" applyFont="1" applyFill="1" applyBorder="1" applyAlignment="1">
      <alignment horizontal="left" vertical="top"/>
    </xf>
    <xf numFmtId="2" fontId="44" fillId="0" borderId="0" xfId="0" applyNumberFormat="1" applyFont="1" applyFill="1" applyBorder="1" applyAlignment="1">
      <alignment horizontal="left" vertical="top" wrapText="1"/>
    </xf>
    <xf numFmtId="164" fontId="44" fillId="0" borderId="0" xfId="0" applyNumberFormat="1" applyFont="1" applyFill="1" applyBorder="1" applyAlignment="1">
      <alignment horizontal="left" vertical="top" wrapText="1"/>
    </xf>
    <xf numFmtId="2" fontId="44" fillId="0" borderId="13" xfId="0" applyNumberFormat="1" applyFont="1" applyFill="1" applyBorder="1" applyAlignment="1">
      <alignment horizontal="left" vertical="top" wrapText="1"/>
    </xf>
    <xf numFmtId="0" fontId="20" fillId="33" borderId="11" xfId="0" quotePrefix="1" applyFont="1" applyFill="1" applyBorder="1" applyAlignment="1">
      <alignment horizontal="left" vertical="top" wrapText="1"/>
    </xf>
    <xf numFmtId="0" fontId="20" fillId="33" borderId="14" xfId="0" quotePrefix="1" applyFont="1" applyFill="1" applyBorder="1" applyAlignment="1">
      <alignment horizontal="left" vertical="top" wrapText="1"/>
    </xf>
    <xf numFmtId="0" fontId="20" fillId="33" borderId="0" xfId="0" quotePrefix="1" applyFont="1" applyFill="1" applyBorder="1" applyAlignment="1">
      <alignment horizontal="left" vertical="top" wrapText="1"/>
    </xf>
    <xf numFmtId="0" fontId="20" fillId="33" borderId="13" xfId="0" quotePrefix="1" applyFont="1" applyFill="1" applyBorder="1" applyAlignment="1">
      <alignment horizontal="left" vertical="top" wrapText="1"/>
    </xf>
    <xf numFmtId="0" fontId="18" fillId="0" borderId="0" xfId="0" applyFont="1" applyBorder="1"/>
    <xf numFmtId="0" fontId="18" fillId="0" borderId="13" xfId="0" applyFont="1" applyBorder="1"/>
    <xf numFmtId="0" fontId="18" fillId="0" borderId="13" xfId="0" applyFont="1" applyBorder="1" applyAlignment="1">
      <alignment vertical="top"/>
    </xf>
    <xf numFmtId="0" fontId="20" fillId="0" borderId="23" xfId="0" applyFont="1" applyBorder="1" applyAlignment="1"/>
    <xf numFmtId="0" fontId="20" fillId="33" borderId="36" xfId="0" quotePrefix="1" applyFont="1" applyFill="1" applyBorder="1" applyAlignment="1">
      <alignment horizontal="left" vertical="top"/>
    </xf>
    <xf numFmtId="0" fontId="23" fillId="33" borderId="59" xfId="9" quotePrefix="1" applyFont="1" applyFill="1" applyBorder="1" applyAlignment="1">
      <alignment horizontal="left" vertical="top"/>
    </xf>
    <xf numFmtId="0" fontId="20" fillId="33" borderId="20" xfId="0" quotePrefix="1" applyFont="1" applyFill="1" applyBorder="1" applyAlignment="1">
      <alignment horizontal="left" vertical="top"/>
    </xf>
    <xf numFmtId="0" fontId="20" fillId="33" borderId="42" xfId="0" quotePrefix="1" applyFont="1" applyFill="1" applyBorder="1" applyAlignment="1">
      <alignment horizontal="left" vertical="top"/>
    </xf>
    <xf numFmtId="0" fontId="20" fillId="33" borderId="51" xfId="0" quotePrefix="1" applyFont="1" applyFill="1" applyBorder="1" applyAlignment="1">
      <alignment horizontal="left" vertical="top"/>
    </xf>
    <xf numFmtId="165" fontId="44" fillId="33" borderId="38" xfId="0" quotePrefix="1" applyNumberFormat="1" applyFont="1" applyFill="1" applyBorder="1" applyAlignment="1">
      <alignment horizontal="left" vertical="top"/>
    </xf>
    <xf numFmtId="0" fontId="23" fillId="33" borderId="54" xfId="9" quotePrefix="1" applyFont="1" applyFill="1" applyBorder="1" applyAlignment="1">
      <alignment horizontal="left" vertical="top"/>
    </xf>
    <xf numFmtId="0" fontId="20" fillId="5" borderId="27" xfId="9" applyFont="1" applyBorder="1" applyAlignment="1">
      <alignment horizontal="left" vertical="top"/>
    </xf>
    <xf numFmtId="0" fontId="20" fillId="0" borderId="23" xfId="0" applyFont="1" applyBorder="1" applyAlignment="1">
      <alignment vertical="top"/>
    </xf>
    <xf numFmtId="0" fontId="18" fillId="0" borderId="61" xfId="0" applyFont="1" applyBorder="1" applyAlignment="1">
      <alignment horizontal="left" vertical="top"/>
    </xf>
    <xf numFmtId="0" fontId="22" fillId="0" borderId="61" xfId="0" applyFont="1" applyBorder="1" applyAlignment="1">
      <alignment horizontal="left" vertical="top"/>
    </xf>
    <xf numFmtId="165" fontId="18" fillId="0" borderId="0" xfId="0" applyNumberFormat="1" applyFont="1" applyBorder="1" applyAlignment="1">
      <alignment horizontal="left" vertical="top"/>
    </xf>
    <xf numFmtId="0" fontId="23" fillId="33" borderId="62" xfId="9" quotePrefix="1" applyFont="1" applyFill="1" applyBorder="1" applyAlignment="1">
      <alignment horizontal="left" vertical="top"/>
    </xf>
    <xf numFmtId="0" fontId="23" fillId="33" borderId="63" xfId="9" quotePrefix="1" applyFont="1" applyFill="1" applyBorder="1" applyAlignment="1">
      <alignment horizontal="left" vertical="top"/>
    </xf>
    <xf numFmtId="2" fontId="44" fillId="33" borderId="14" xfId="0" quotePrefix="1" applyNumberFormat="1" applyFont="1" applyFill="1" applyBorder="1" applyAlignment="1">
      <alignment horizontal="left" vertical="top"/>
    </xf>
    <xf numFmtId="0" fontId="18" fillId="0" borderId="37" xfId="0" applyFont="1" applyBorder="1" applyAlignment="1">
      <alignment horizontal="left" vertical="top" wrapText="1"/>
    </xf>
    <xf numFmtId="0" fontId="20" fillId="33" borderId="61" xfId="0" quotePrefix="1" applyFont="1" applyFill="1" applyBorder="1" applyAlignment="1">
      <alignment horizontal="left" vertical="top"/>
    </xf>
    <xf numFmtId="0" fontId="20" fillId="33" borderId="13" xfId="0" applyFont="1" applyFill="1" applyBorder="1" applyAlignment="1">
      <alignment horizontal="left" vertical="top" wrapText="1"/>
    </xf>
    <xf numFmtId="2" fontId="23" fillId="33" borderId="0" xfId="0" quotePrefix="1" applyNumberFormat="1" applyFont="1" applyFill="1" applyBorder="1" applyAlignment="1">
      <alignment horizontal="left" vertical="top"/>
    </xf>
    <xf numFmtId="0" fontId="23" fillId="33" borderId="64" xfId="9" quotePrefix="1" applyFont="1" applyFill="1" applyBorder="1" applyAlignment="1">
      <alignment horizontal="left" vertical="top"/>
    </xf>
    <xf numFmtId="2" fontId="44" fillId="0" borderId="11" xfId="0" applyNumberFormat="1" applyFont="1" applyBorder="1" applyAlignment="1">
      <alignment horizontal="left" vertical="top"/>
    </xf>
    <xf numFmtId="0" fontId="31" fillId="5" borderId="65" xfId="9" applyFont="1" applyBorder="1" applyAlignment="1">
      <alignment horizontal="left" vertical="top"/>
    </xf>
    <xf numFmtId="0" fontId="26" fillId="0" borderId="22" xfId="0" applyFont="1" applyBorder="1" applyAlignment="1">
      <alignment horizontal="left" vertical="top"/>
    </xf>
    <xf numFmtId="0" fontId="21" fillId="0" borderId="23" xfId="0" applyFont="1" applyBorder="1" applyAlignment="1">
      <alignment horizontal="left" vertical="top"/>
    </xf>
    <xf numFmtId="0" fontId="21" fillId="0" borderId="13" xfId="0" applyFont="1" applyBorder="1" applyAlignment="1">
      <alignment horizontal="left" vertical="top"/>
    </xf>
    <xf numFmtId="0" fontId="18" fillId="0" borderId="23" xfId="0" applyFont="1" applyBorder="1" applyAlignment="1">
      <alignment horizontal="left" vertical="top" wrapText="1"/>
    </xf>
    <xf numFmtId="165" fontId="0" fillId="0" borderId="0" xfId="0" applyNumberFormat="1"/>
    <xf numFmtId="2" fontId="23" fillId="33" borderId="11" xfId="0" quotePrefix="1" applyNumberFormat="1" applyFont="1" applyFill="1" applyBorder="1" applyAlignment="1">
      <alignment horizontal="left" vertical="top"/>
    </xf>
    <xf numFmtId="0" fontId="26" fillId="35" borderId="13" xfId="0" applyFont="1" applyFill="1" applyBorder="1" applyAlignment="1">
      <alignment horizontal="left" vertical="top" wrapText="1"/>
    </xf>
    <xf numFmtId="2" fontId="23" fillId="33" borderId="14" xfId="0" quotePrefix="1" applyNumberFormat="1" applyFont="1" applyFill="1" applyBorder="1" applyAlignment="1">
      <alignment horizontal="left" vertical="top"/>
    </xf>
    <xf numFmtId="0" fontId="45" fillId="5" borderId="50" xfId="9" applyFont="1" applyBorder="1" applyAlignment="1">
      <alignment horizontal="left" vertical="top"/>
    </xf>
    <xf numFmtId="0" fontId="18" fillId="0" borderId="36" xfId="0" applyFont="1" applyBorder="1" applyAlignment="1">
      <alignment horizontal="left" vertical="top" wrapText="1"/>
    </xf>
    <xf numFmtId="0" fontId="23" fillId="33" borderId="66" xfId="9" quotePrefix="1" applyFont="1" applyFill="1" applyBorder="1" applyAlignment="1">
      <alignment horizontal="left" vertical="top"/>
    </xf>
    <xf numFmtId="2" fontId="23" fillId="33" borderId="13" xfId="0" quotePrefix="1" applyNumberFormat="1" applyFont="1" applyFill="1" applyBorder="1" applyAlignment="1">
      <alignment horizontal="left" vertical="top"/>
    </xf>
    <xf numFmtId="0" fontId="25" fillId="0" borderId="0" xfId="0" applyFont="1" applyBorder="1" applyAlignment="1">
      <alignment horizontal="right" vertical="top"/>
    </xf>
    <xf numFmtId="0" fontId="25" fillId="0" borderId="0" xfId="0" applyFont="1" applyBorder="1" applyAlignment="1">
      <alignment horizontal="right"/>
    </xf>
    <xf numFmtId="0" fontId="48" fillId="0" borderId="0" xfId="0" applyFont="1" applyBorder="1" applyAlignment="1">
      <alignment horizontal="right"/>
    </xf>
    <xf numFmtId="0" fontId="25" fillId="0" borderId="0" xfId="0" quotePrefix="1" applyFont="1" applyBorder="1" applyAlignment="1">
      <alignment horizontal="right"/>
    </xf>
    <xf numFmtId="0" fontId="48" fillId="0" borderId="0" xfId="0" quotePrefix="1" applyFont="1" applyBorder="1" applyAlignment="1">
      <alignment horizontal="right"/>
    </xf>
    <xf numFmtId="9" fontId="20" fillId="0" borderId="0" xfId="43" applyFont="1" applyBorder="1" applyAlignment="1">
      <alignment horizontal="left" vertical="top" wrapText="1"/>
    </xf>
    <xf numFmtId="10" fontId="20" fillId="0" borderId="0" xfId="43" applyNumberFormat="1" applyFont="1" applyBorder="1" applyAlignment="1">
      <alignment horizontal="left" vertical="top" wrapText="1"/>
    </xf>
    <xf numFmtId="0" fontId="49" fillId="0" borderId="19" xfId="0" applyFont="1" applyBorder="1" applyAlignment="1">
      <alignment horizontal="left" vertical="top" wrapText="1"/>
    </xf>
    <xf numFmtId="0" fontId="20" fillId="34" borderId="20" xfId="0" quotePrefix="1" applyFont="1" applyFill="1" applyBorder="1" applyAlignment="1">
      <alignment horizontal="left" vertical="top"/>
    </xf>
    <xf numFmtId="2" fontId="26" fillId="0" borderId="0" xfId="0" applyNumberFormat="1" applyFont="1" applyBorder="1" applyAlignment="1">
      <alignment horizontal="left" vertical="top" wrapText="1"/>
    </xf>
    <xf numFmtId="0" fontId="18" fillId="0" borderId="67" xfId="0" applyFont="1" applyFill="1" applyBorder="1" applyAlignment="1">
      <alignment horizontal="left" vertical="top" wrapText="1"/>
    </xf>
    <xf numFmtId="0" fontId="49" fillId="0" borderId="19" xfId="0" applyFont="1" applyFill="1" applyBorder="1" applyAlignment="1">
      <alignment horizontal="left" vertical="top"/>
    </xf>
    <xf numFmtId="0" fontId="49" fillId="0" borderId="23" xfId="0" applyFont="1" applyFill="1" applyBorder="1" applyAlignment="1">
      <alignment horizontal="left" vertical="top"/>
    </xf>
    <xf numFmtId="2" fontId="18" fillId="0" borderId="11" xfId="0" quotePrefix="1" applyNumberFormat="1" applyFont="1" applyFill="1" applyBorder="1" applyAlignment="1">
      <alignment horizontal="left" vertical="top"/>
    </xf>
    <xf numFmtId="165" fontId="18" fillId="0" borderId="11" xfId="0" quotePrefix="1" applyNumberFormat="1" applyFont="1" applyFill="1" applyBorder="1" applyAlignment="1">
      <alignment horizontal="left" vertical="top"/>
    </xf>
    <xf numFmtId="2" fontId="44" fillId="0" borderId="11" xfId="0" applyNumberFormat="1" applyFont="1" applyFill="1" applyBorder="1" applyAlignment="1">
      <alignment horizontal="left" vertical="top" wrapText="1"/>
    </xf>
    <xf numFmtId="2" fontId="18" fillId="0" borderId="0" xfId="0" applyNumberFormat="1" applyFont="1"/>
    <xf numFmtId="2" fontId="44" fillId="33" borderId="42" xfId="0" quotePrefix="1" applyNumberFormat="1" applyFont="1" applyFill="1" applyBorder="1" applyAlignment="1">
      <alignment horizontal="left" vertical="top"/>
    </xf>
    <xf numFmtId="1" fontId="18" fillId="0" borderId="14" xfId="0" applyNumberFormat="1" applyFont="1" applyBorder="1" applyAlignment="1">
      <alignment horizontal="left" vertical="top"/>
    </xf>
    <xf numFmtId="0" fontId="25" fillId="0" borderId="61" xfId="0" applyFont="1" applyBorder="1" applyAlignment="1">
      <alignment horizontal="left" vertical="top" wrapText="1"/>
    </xf>
    <xf numFmtId="0" fontId="23" fillId="33" borderId="20" xfId="0" applyFont="1" applyFill="1" applyBorder="1" applyAlignment="1">
      <alignment horizontal="left" vertical="top"/>
    </xf>
    <xf numFmtId="0" fontId="23" fillId="33" borderId="42" xfId="0" applyFont="1" applyFill="1" applyBorder="1" applyAlignment="1">
      <alignment horizontal="left" vertical="top"/>
    </xf>
    <xf numFmtId="0" fontId="23" fillId="33" borderId="40" xfId="9" applyFont="1" applyFill="1" applyBorder="1" applyAlignment="1">
      <alignment horizontal="left" vertical="top"/>
    </xf>
    <xf numFmtId="2" fontId="18" fillId="0" borderId="45" xfId="0" applyNumberFormat="1" applyFont="1" applyBorder="1" applyAlignment="1">
      <alignment horizontal="left" vertical="top" wrapText="1"/>
    </xf>
    <xf numFmtId="1" fontId="20" fillId="0" borderId="0" xfId="0" applyNumberFormat="1" applyFont="1" applyBorder="1" applyAlignment="1">
      <alignment horizontal="left" vertical="top" wrapText="1"/>
    </xf>
    <xf numFmtId="1" fontId="20" fillId="0" borderId="0" xfId="0" applyNumberFormat="1" applyFont="1" applyBorder="1" applyAlignment="1">
      <alignment horizontal="left" wrapText="1"/>
    </xf>
    <xf numFmtId="0" fontId="22" fillId="0" borderId="22" xfId="0" applyNumberFormat="1" applyFont="1" applyBorder="1" applyAlignment="1">
      <alignment vertical="top" wrapText="1"/>
    </xf>
    <xf numFmtId="164" fontId="18" fillId="0" borderId="0" xfId="0" applyNumberFormat="1" applyFont="1" applyFill="1" applyBorder="1" applyAlignment="1">
      <alignment horizontal="left" vertical="top"/>
    </xf>
    <xf numFmtId="0" fontId="18" fillId="0" borderId="17" xfId="0" applyFont="1" applyBorder="1" applyAlignment="1">
      <alignment horizontal="left" vertical="top" wrapText="1"/>
    </xf>
    <xf numFmtId="164" fontId="18" fillId="0" borderId="0" xfId="0" applyNumberFormat="1" applyFont="1" applyBorder="1" applyAlignment="1">
      <alignment horizontal="left" vertical="top"/>
    </xf>
    <xf numFmtId="167" fontId="18" fillId="0" borderId="0" xfId="0" applyNumberFormat="1" applyFont="1" applyFill="1" applyBorder="1" applyAlignment="1">
      <alignment horizontal="left" vertical="top"/>
    </xf>
    <xf numFmtId="167" fontId="9" fillId="0" borderId="0" xfId="9" applyNumberFormat="1" applyFill="1" applyBorder="1" applyAlignment="1">
      <alignment horizontal="left" vertical="top"/>
    </xf>
    <xf numFmtId="0" fontId="0" fillId="0" borderId="0"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37" fillId="0" borderId="10"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0" xfId="0" applyFont="1" applyBorder="1" applyAlignment="1">
      <alignment horizontal="left" vertical="center" wrapText="1" readingOrder="1"/>
    </xf>
    <xf numFmtId="49" fontId="38" fillId="0" borderId="10" xfId="0" applyNumberFormat="1" applyFont="1" applyBorder="1" applyAlignment="1">
      <alignment horizontal="left" vertical="center" wrapText="1"/>
    </xf>
    <xf numFmtId="0" fontId="38" fillId="0" borderId="0" xfId="0" applyFont="1" applyBorder="1" applyAlignment="1">
      <alignment vertical="center" wrapText="1"/>
    </xf>
    <xf numFmtId="0" fontId="39" fillId="0" borderId="10" xfId="0" applyFont="1" applyBorder="1" applyAlignment="1">
      <alignment horizontal="left" vertical="center" wrapText="1" readingOrder="1"/>
    </xf>
    <xf numFmtId="0" fontId="50" fillId="0" borderId="10" xfId="0" applyFont="1" applyBorder="1" applyAlignment="1">
      <alignment horizontal="left" vertical="center" wrapText="1" readingOrder="1"/>
    </xf>
    <xf numFmtId="0" fontId="40" fillId="0" borderId="0" xfId="0" applyFont="1" applyBorder="1" applyAlignment="1">
      <alignment vertical="center" wrapText="1"/>
    </xf>
    <xf numFmtId="0" fontId="42" fillId="0" borderId="10" xfId="0" applyFont="1" applyBorder="1" applyAlignment="1">
      <alignment horizontal="center" vertical="center" wrapText="1"/>
    </xf>
    <xf numFmtId="0" fontId="40" fillId="37" borderId="10" xfId="0" applyFont="1" applyFill="1" applyBorder="1" applyAlignment="1">
      <alignment horizontal="left" vertical="center" wrapText="1" readingOrder="1"/>
    </xf>
    <xf numFmtId="0" fontId="40" fillId="37" borderId="10" xfId="0" applyFont="1" applyFill="1" applyBorder="1" applyAlignment="1">
      <alignment horizontal="center" vertical="center" wrapText="1"/>
    </xf>
    <xf numFmtId="49" fontId="40" fillId="37" borderId="10" xfId="0" applyNumberFormat="1" applyFont="1" applyFill="1" applyBorder="1" applyAlignment="1">
      <alignment horizontal="left" vertical="center" wrapText="1"/>
    </xf>
    <xf numFmtId="0" fontId="38" fillId="39" borderId="10" xfId="0" applyFont="1" applyFill="1" applyBorder="1" applyAlignment="1">
      <alignment horizontal="left" vertical="center" wrapText="1" readingOrder="1"/>
    </xf>
    <xf numFmtId="0" fontId="43" fillId="0" borderId="10" xfId="0" applyFont="1" applyBorder="1" applyAlignment="1">
      <alignment horizontal="left" vertical="center" wrapText="1" readingOrder="1"/>
    </xf>
    <xf numFmtId="0" fontId="37" fillId="0" borderId="0" xfId="0" applyFont="1" applyBorder="1" applyAlignment="1">
      <alignment horizontal="center" vertical="center" wrapText="1"/>
    </xf>
    <xf numFmtId="0" fontId="37" fillId="0" borderId="0" xfId="0" applyFont="1" applyBorder="1" applyAlignment="1">
      <alignment horizontal="left" vertical="center" wrapText="1"/>
    </xf>
    <xf numFmtId="0" fontId="38" fillId="0" borderId="0" xfId="0" applyFont="1" applyBorder="1" applyAlignment="1">
      <alignment horizontal="center" vertical="center" wrapText="1"/>
    </xf>
    <xf numFmtId="0" fontId="38" fillId="0" borderId="0" xfId="0" applyFont="1" applyBorder="1" applyAlignment="1">
      <alignment horizontal="left" vertical="center" wrapText="1" readingOrder="1"/>
    </xf>
    <xf numFmtId="1" fontId="18" fillId="0" borderId="17" xfId="0" applyNumberFormat="1" applyFont="1" applyBorder="1" applyAlignment="1">
      <alignment horizontal="left" vertical="top"/>
    </xf>
    <xf numFmtId="2" fontId="44" fillId="33" borderId="13" xfId="0" applyNumberFormat="1" applyFont="1" applyFill="1" applyBorder="1" applyAlignment="1">
      <alignment horizontal="left" vertical="top" wrapText="1"/>
    </xf>
    <xf numFmtId="0" fontId="51" fillId="0" borderId="0" xfId="0" applyFont="1" applyBorder="1" applyAlignment="1">
      <alignment horizontal="left" vertical="top"/>
    </xf>
    <xf numFmtId="0" fontId="51" fillId="0" borderId="0" xfId="0" applyFont="1" applyBorder="1" applyAlignment="1">
      <alignment horizontal="left" vertical="top" wrapText="1"/>
    </xf>
    <xf numFmtId="0" fontId="31" fillId="38" borderId="34" xfId="9" applyFont="1" applyFill="1" applyBorder="1" applyAlignment="1">
      <alignment horizontal="left" vertical="top"/>
    </xf>
    <xf numFmtId="0" fontId="32" fillId="0" borderId="10" xfId="0" applyFont="1" applyBorder="1" applyAlignment="1">
      <alignment horizontal="left" vertical="top"/>
    </xf>
    <xf numFmtId="0" fontId="23" fillId="33" borderId="10" xfId="0" applyFont="1" applyFill="1" applyBorder="1" applyAlignment="1">
      <alignment horizontal="left" vertical="top"/>
    </xf>
    <xf numFmtId="1" fontId="44" fillId="0" borderId="10" xfId="0" applyNumberFormat="1" applyFont="1" applyFill="1" applyBorder="1" applyAlignment="1">
      <alignment horizontal="left" vertical="top" wrapText="1"/>
    </xf>
    <xf numFmtId="1" fontId="44" fillId="33" borderId="10" xfId="0" applyNumberFormat="1" applyFont="1" applyFill="1" applyBorder="1" applyAlignment="1">
      <alignment horizontal="left" vertical="top"/>
    </xf>
    <xf numFmtId="0" fontId="52" fillId="0" borderId="0" xfId="0" applyFont="1" applyBorder="1" applyAlignment="1">
      <alignment horizontal="left" vertical="top"/>
    </xf>
    <xf numFmtId="0" fontId="53" fillId="0" borderId="0" xfId="0" applyFont="1" applyBorder="1" applyAlignment="1">
      <alignment horizontal="left" vertical="top"/>
    </xf>
    <xf numFmtId="0" fontId="54" fillId="33" borderId="10" xfId="0" applyFont="1" applyFill="1" applyBorder="1" applyAlignment="1">
      <alignment horizontal="left" vertical="center" wrapText="1" readingOrder="1"/>
    </xf>
    <xf numFmtId="164" fontId="18" fillId="0" borderId="11" xfId="0" applyNumberFormat="1" applyFont="1" applyFill="1" applyBorder="1" applyAlignment="1">
      <alignment horizontal="left" vertical="top"/>
    </xf>
    <xf numFmtId="0" fontId="9" fillId="5" borderId="4" xfId="9" applyAlignment="1">
      <alignment horizontal="left" vertical="top" wrapText="1"/>
    </xf>
    <xf numFmtId="2" fontId="44" fillId="0" borderId="38" xfId="0" applyNumberFormat="1" applyFont="1" applyFill="1" applyBorder="1" applyAlignment="1">
      <alignment horizontal="left" vertical="top" wrapText="1"/>
    </xf>
    <xf numFmtId="0" fontId="23" fillId="33" borderId="11" xfId="0" applyFont="1" applyFill="1" applyBorder="1" applyAlignment="1">
      <alignment horizontal="left" vertical="top" wrapText="1"/>
    </xf>
    <xf numFmtId="0" fontId="23" fillId="33" borderId="25" xfId="9" applyFont="1" applyFill="1" applyBorder="1" applyAlignment="1">
      <alignment horizontal="left" vertical="top"/>
    </xf>
    <xf numFmtId="1" fontId="30" fillId="0" borderId="10" xfId="0" applyNumberFormat="1" applyFont="1" applyFill="1" applyBorder="1" applyAlignment="1">
      <alignment horizontal="left" vertical="top" wrapText="1"/>
    </xf>
    <xf numFmtId="1" fontId="30" fillId="33" borderId="10" xfId="0" applyNumberFormat="1" applyFont="1" applyFill="1" applyBorder="1" applyAlignment="1">
      <alignment horizontal="left" vertical="top"/>
    </xf>
    <xf numFmtId="0" fontId="23" fillId="33" borderId="42" xfId="0" quotePrefix="1" applyFont="1" applyFill="1" applyBorder="1" applyAlignment="1">
      <alignment horizontal="left" vertical="top"/>
    </xf>
    <xf numFmtId="0" fontId="44" fillId="33" borderId="42" xfId="0" quotePrefix="1" applyFont="1" applyFill="1" applyBorder="1" applyAlignment="1">
      <alignment horizontal="left" vertical="top"/>
    </xf>
    <xf numFmtId="0" fontId="44" fillId="0" borderId="0" xfId="0" applyFont="1" applyFill="1" applyBorder="1" applyAlignment="1">
      <alignment horizontal="left" vertical="top"/>
    </xf>
    <xf numFmtId="0" fontId="44" fillId="33" borderId="0" xfId="0" quotePrefix="1" applyFont="1" applyFill="1" applyBorder="1" applyAlignment="1">
      <alignment horizontal="left" vertical="top"/>
    </xf>
    <xf numFmtId="2" fontId="44" fillId="0" borderId="11" xfId="0" applyNumberFormat="1" applyFont="1" applyFill="1" applyBorder="1" applyAlignment="1">
      <alignment horizontal="left" vertical="top"/>
    </xf>
    <xf numFmtId="0" fontId="44" fillId="33" borderId="57" xfId="0" quotePrefix="1" applyFont="1" applyFill="1" applyBorder="1" applyAlignment="1">
      <alignment horizontal="left" vertical="top"/>
    </xf>
    <xf numFmtId="0" fontId="44" fillId="0" borderId="38" xfId="0" applyFont="1" applyFill="1" applyBorder="1" applyAlignment="1">
      <alignment horizontal="left" vertical="top"/>
    </xf>
    <xf numFmtId="2" fontId="44" fillId="0" borderId="14" xfId="0" applyNumberFormat="1" applyFont="1" applyFill="1" applyBorder="1" applyAlignment="1">
      <alignment horizontal="left" vertical="top"/>
    </xf>
    <xf numFmtId="2" fontId="23" fillId="0" borderId="0" xfId="0" applyNumberFormat="1" applyFont="1" applyFill="1" applyBorder="1" applyAlignment="1">
      <alignment horizontal="left" vertical="top"/>
    </xf>
    <xf numFmtId="0" fontId="44" fillId="0" borderId="13" xfId="0" applyFont="1" applyFill="1" applyBorder="1" applyAlignment="1">
      <alignment horizontal="left" vertical="top"/>
    </xf>
    <xf numFmtId="3" fontId="23" fillId="0" borderId="0" xfId="0" applyNumberFormat="1" applyFont="1" applyFill="1" applyBorder="1" applyAlignment="1">
      <alignment horizontal="left" vertical="top"/>
    </xf>
    <xf numFmtId="0" fontId="44" fillId="33" borderId="0" xfId="0" applyFont="1" applyFill="1" applyBorder="1" applyAlignment="1">
      <alignment horizontal="left" vertical="top" wrapText="1"/>
    </xf>
    <xf numFmtId="0" fontId="44" fillId="33" borderId="0" xfId="0" applyFont="1" applyFill="1" applyBorder="1" applyAlignment="1">
      <alignment horizontal="left" vertical="top"/>
    </xf>
    <xf numFmtId="0" fontId="44" fillId="33" borderId="13" xfId="0" applyFont="1" applyFill="1" applyBorder="1" applyAlignment="1">
      <alignment horizontal="left" vertical="top"/>
    </xf>
    <xf numFmtId="0" fontId="47" fillId="33" borderId="31" xfId="9" applyFont="1" applyFill="1" applyBorder="1" applyAlignment="1">
      <alignment horizontal="left" vertical="top"/>
    </xf>
    <xf numFmtId="2" fontId="47" fillId="33" borderId="13" xfId="0" applyNumberFormat="1" applyFont="1" applyFill="1" applyBorder="1" applyAlignment="1">
      <alignment horizontal="left" vertical="top"/>
    </xf>
    <xf numFmtId="2" fontId="47" fillId="33" borderId="11" xfId="0" applyNumberFormat="1" applyFont="1" applyFill="1" applyBorder="1" applyAlignment="1">
      <alignment horizontal="left" vertical="top"/>
    </xf>
    <xf numFmtId="1" fontId="20" fillId="33" borderId="14" xfId="0" quotePrefix="1" applyNumberFormat="1" applyFont="1" applyFill="1" applyBorder="1" applyAlignment="1">
      <alignment horizontal="left" vertical="top"/>
    </xf>
    <xf numFmtId="0" fontId="31" fillId="5" borderId="25" xfId="9" applyFont="1" applyBorder="1" applyAlignment="1">
      <alignment horizontal="left" vertical="top" wrapText="1"/>
    </xf>
    <xf numFmtId="0" fontId="47" fillId="33" borderId="25" xfId="9" applyFont="1" applyFill="1" applyBorder="1" applyAlignment="1">
      <alignment horizontal="left" vertical="top"/>
    </xf>
    <xf numFmtId="0" fontId="31" fillId="5" borderId="24" xfId="9" applyFont="1" applyBorder="1" applyAlignment="1">
      <alignment horizontal="left" vertical="top" wrapText="1"/>
    </xf>
    <xf numFmtId="0" fontId="31" fillId="5" borderId="4" xfId="9" applyFont="1"/>
    <xf numFmtId="0" fontId="24" fillId="0" borderId="0" xfId="0" applyFont="1"/>
    <xf numFmtId="0" fontId="23" fillId="0" borderId="0" xfId="0" applyFont="1"/>
    <xf numFmtId="165" fontId="47" fillId="33" borderId="11" xfId="0" applyNumberFormat="1" applyFont="1" applyFill="1" applyBorder="1" applyAlignment="1">
      <alignment horizontal="left" vertical="top"/>
    </xf>
    <xf numFmtId="0" fontId="18" fillId="0" borderId="42" xfId="0" applyFont="1" applyFill="1" applyBorder="1" applyAlignment="1">
      <alignment horizontal="left" vertical="top"/>
    </xf>
    <xf numFmtId="2" fontId="20" fillId="0" borderId="0" xfId="0" applyNumberFormat="1" applyFont="1" applyBorder="1" applyAlignment="1">
      <alignment horizontal="left" vertical="top"/>
    </xf>
    <xf numFmtId="0" fontId="20" fillId="0" borderId="69" xfId="0" applyFont="1" applyBorder="1" applyAlignment="1">
      <alignment horizontal="left" vertical="top"/>
    </xf>
    <xf numFmtId="0" fontId="31" fillId="5" borderId="70" xfId="9" applyFont="1" applyBorder="1" applyAlignment="1">
      <alignment horizontal="left" vertical="top"/>
    </xf>
    <xf numFmtId="0" fontId="20" fillId="34" borderId="36" xfId="0" quotePrefix="1" applyFont="1" applyFill="1" applyBorder="1" applyAlignment="1">
      <alignment horizontal="left" vertical="top"/>
    </xf>
    <xf numFmtId="0" fontId="20" fillId="34" borderId="61" xfId="0" quotePrefix="1" applyFont="1" applyFill="1" applyBorder="1" applyAlignment="1">
      <alignment horizontal="left" vertical="top"/>
    </xf>
    <xf numFmtId="0" fontId="20" fillId="0" borderId="61" xfId="0" applyFont="1" applyBorder="1" applyAlignment="1">
      <alignment horizontal="left" vertical="top"/>
    </xf>
    <xf numFmtId="0" fontId="20" fillId="34" borderId="36" xfId="0" quotePrefix="1" applyFont="1" applyFill="1" applyBorder="1" applyAlignment="1">
      <alignment horizontal="left" vertical="top" wrapText="1"/>
    </xf>
    <xf numFmtId="0" fontId="20" fillId="34" borderId="37" xfId="0" quotePrefix="1" applyFont="1" applyFill="1" applyBorder="1" applyAlignment="1">
      <alignment horizontal="left" vertical="top" wrapText="1"/>
    </xf>
    <xf numFmtId="0" fontId="20" fillId="34" borderId="37" xfId="0" quotePrefix="1" applyFont="1" applyFill="1" applyBorder="1" applyAlignment="1">
      <alignment horizontal="left" vertical="top"/>
    </xf>
    <xf numFmtId="0" fontId="18" fillId="0" borderId="16" xfId="0" applyFont="1" applyFill="1" applyBorder="1" applyAlignment="1">
      <alignment horizontal="left" vertical="top"/>
    </xf>
    <xf numFmtId="0" fontId="26" fillId="0" borderId="0" xfId="0" applyFont="1" applyBorder="1" applyAlignment="1">
      <alignment horizontal="left" vertical="top" wrapText="1"/>
    </xf>
    <xf numFmtId="0" fontId="14" fillId="0" borderId="0" xfId="0" applyFont="1"/>
    <xf numFmtId="0" fontId="18" fillId="0" borderId="22" xfId="0" applyFont="1" applyFill="1" applyBorder="1" applyAlignment="1">
      <alignment horizontal="left" vertical="top"/>
    </xf>
    <xf numFmtId="0" fontId="22" fillId="0" borderId="16" xfId="0" applyFont="1" applyFill="1" applyBorder="1" applyAlignment="1">
      <alignment horizontal="left" vertical="top"/>
    </xf>
    <xf numFmtId="0" fontId="19" fillId="0" borderId="22" xfId="0" applyFont="1" applyFill="1" applyBorder="1"/>
    <xf numFmtId="0" fontId="18" fillId="0" borderId="0" xfId="0" quotePrefix="1" applyFont="1" applyFill="1" applyBorder="1" applyAlignment="1">
      <alignment horizontal="left" vertical="top" wrapText="1"/>
    </xf>
    <xf numFmtId="0" fontId="18" fillId="0" borderId="11" xfId="0" quotePrefix="1" applyFont="1" applyFill="1" applyBorder="1" applyAlignment="1">
      <alignment horizontal="left" vertical="top" wrapText="1"/>
    </xf>
    <xf numFmtId="0" fontId="21" fillId="0" borderId="0" xfId="0" applyFont="1"/>
    <xf numFmtId="0" fontId="18" fillId="0" borderId="38" xfId="0" quotePrefix="1" applyFont="1" applyFill="1" applyBorder="1" applyAlignment="1">
      <alignment horizontal="left" vertical="top" wrapText="1"/>
    </xf>
    <xf numFmtId="0" fontId="18" fillId="0" borderId="13" xfId="0" quotePrefix="1" applyFont="1" applyFill="1" applyBorder="1" applyAlignment="1">
      <alignment horizontal="left" vertical="top" wrapText="1"/>
    </xf>
    <xf numFmtId="0" fontId="18" fillId="0" borderId="14" xfId="0" quotePrefix="1" applyFont="1" applyFill="1" applyBorder="1" applyAlignment="1">
      <alignment horizontal="left" vertical="top" wrapText="1"/>
    </xf>
    <xf numFmtId="0" fontId="28" fillId="0" borderId="18" xfId="0" applyFont="1" applyBorder="1" applyAlignment="1">
      <alignment horizontal="left" vertical="top"/>
    </xf>
    <xf numFmtId="0" fontId="28" fillId="0" borderId="23" xfId="0" applyFont="1" applyBorder="1" applyAlignment="1">
      <alignment horizontal="left" vertical="top"/>
    </xf>
    <xf numFmtId="0" fontId="18" fillId="5" borderId="33" xfId="9" applyFont="1" applyBorder="1" applyAlignment="1">
      <alignment horizontal="left" vertical="top"/>
    </xf>
    <xf numFmtId="0" fontId="21" fillId="0" borderId="0" xfId="0" applyFont="1" applyAlignment="1">
      <alignment horizontal="left" vertical="top" wrapText="1"/>
    </xf>
    <xf numFmtId="0" fontId="56" fillId="0" borderId="0" xfId="0" applyFont="1"/>
    <xf numFmtId="164" fontId="18" fillId="0" borderId="39" xfId="0" applyNumberFormat="1" applyFont="1" applyBorder="1" applyAlignment="1">
      <alignment horizontal="left" vertical="top"/>
    </xf>
    <xf numFmtId="166" fontId="19" fillId="0" borderId="0" xfId="0" applyNumberFormat="1" applyFont="1"/>
    <xf numFmtId="164" fontId="18" fillId="0" borderId="38" xfId="0" applyNumberFormat="1" applyFont="1" applyBorder="1" applyAlignment="1">
      <alignment horizontal="left" vertical="top"/>
    </xf>
    <xf numFmtId="0" fontId="45" fillId="0" borderId="0" xfId="0" applyFont="1" applyBorder="1" applyAlignment="1">
      <alignment horizontal="left" vertical="top"/>
    </xf>
    <xf numFmtId="0" fontId="45" fillId="0" borderId="0" xfId="0" quotePrefix="1" applyFont="1"/>
    <xf numFmtId="0" fontId="14" fillId="0" borderId="0" xfId="0" quotePrefix="1" applyFont="1"/>
    <xf numFmtId="0" fontId="19" fillId="0" borderId="0" xfId="0" quotePrefix="1" applyFont="1"/>
    <xf numFmtId="0" fontId="23" fillId="0" borderId="18" xfId="0" applyFont="1" applyFill="1" applyBorder="1" applyAlignment="1">
      <alignment horizontal="left" vertical="top"/>
    </xf>
    <xf numFmtId="0" fontId="56" fillId="0" borderId="0" xfId="0" quotePrefix="1" applyFont="1"/>
    <xf numFmtId="0" fontId="18" fillId="0" borderId="0" xfId="0" quotePrefix="1" applyFont="1"/>
    <xf numFmtId="0" fontId="24" fillId="0" borderId="71" xfId="0" applyFont="1" applyBorder="1" applyAlignment="1">
      <alignment horizontal="left" vertical="top" wrapText="1"/>
    </xf>
    <xf numFmtId="0" fontId="57" fillId="0" borderId="16" xfId="0" applyFont="1" applyBorder="1" applyAlignment="1">
      <alignment vertical="top" wrapText="1"/>
    </xf>
    <xf numFmtId="0" fontId="56" fillId="0" borderId="23" xfId="0" applyFont="1" applyBorder="1"/>
    <xf numFmtId="0" fontId="56" fillId="0" borderId="72" xfId="0" applyFont="1" applyBorder="1"/>
    <xf numFmtId="0" fontId="56" fillId="0" borderId="18" xfId="0" applyFont="1" applyBorder="1"/>
    <xf numFmtId="0" fontId="45" fillId="0" borderId="18" xfId="0" applyFont="1" applyBorder="1" applyAlignment="1">
      <alignment horizontal="left" vertical="top" wrapText="1"/>
    </xf>
    <xf numFmtId="0" fontId="18" fillId="0" borderId="41" xfId="0" applyFont="1" applyBorder="1" applyAlignment="1">
      <alignment vertical="top"/>
    </xf>
    <xf numFmtId="0" fontId="44" fillId="0" borderId="45" xfId="0" applyFont="1" applyBorder="1" applyAlignment="1">
      <alignment horizontal="left" vertical="top"/>
    </xf>
    <xf numFmtId="0" fontId="18" fillId="0" borderId="38" xfId="0" applyFont="1" applyBorder="1" applyAlignment="1">
      <alignment horizontal="left" vertical="top" wrapText="1"/>
    </xf>
    <xf numFmtId="0" fontId="21" fillId="0" borderId="0" xfId="0" applyFont="1" applyFill="1" applyBorder="1" applyAlignment="1">
      <alignment horizontal="left" vertical="top" wrapText="1"/>
    </xf>
    <xf numFmtId="0" fontId="18" fillId="0" borderId="39" xfId="0" applyFont="1" applyBorder="1" applyAlignment="1">
      <alignment horizontal="left" vertical="top" wrapText="1"/>
    </xf>
    <xf numFmtId="0" fontId="21" fillId="0" borderId="0" xfId="0" quotePrefix="1" applyFont="1"/>
    <xf numFmtId="0" fontId="23" fillId="33" borderId="74" xfId="9" quotePrefix="1" applyFont="1" applyFill="1" applyBorder="1" applyAlignment="1">
      <alignment horizontal="left" vertical="top"/>
    </xf>
    <xf numFmtId="0" fontId="23" fillId="33" borderId="36" xfId="0" quotePrefix="1" applyFont="1" applyFill="1" applyBorder="1" applyAlignment="1">
      <alignment horizontal="left" vertical="top"/>
    </xf>
    <xf numFmtId="0" fontId="21" fillId="35" borderId="0" xfId="0" applyFont="1" applyFill="1" applyBorder="1" applyAlignment="1">
      <alignment horizontal="left" vertical="top"/>
    </xf>
    <xf numFmtId="0" fontId="23" fillId="0" borderId="0" xfId="0" applyFont="1" applyBorder="1"/>
    <xf numFmtId="0" fontId="45" fillId="33" borderId="36" xfId="0" quotePrefix="1" applyFont="1" applyFill="1" applyBorder="1" applyAlignment="1">
      <alignment horizontal="left" vertical="top"/>
    </xf>
    <xf numFmtId="0" fontId="44" fillId="0" borderId="13" xfId="0" applyFont="1" applyBorder="1" applyAlignment="1">
      <alignment horizontal="left" vertical="top"/>
    </xf>
    <xf numFmtId="0" fontId="23" fillId="0" borderId="19" xfId="0" applyFont="1" applyBorder="1"/>
    <xf numFmtId="0" fontId="44" fillId="0" borderId="0" xfId="0" applyFont="1" applyBorder="1" applyAlignment="1">
      <alignment horizontal="left" vertical="top" wrapText="1"/>
    </xf>
    <xf numFmtId="165" fontId="21" fillId="0" borderId="0" xfId="0" applyNumberFormat="1" applyFont="1" applyFill="1" applyBorder="1" applyAlignment="1">
      <alignment horizontal="left" vertical="top"/>
    </xf>
    <xf numFmtId="0" fontId="23" fillId="0" borderId="23" xfId="0" applyFont="1" applyBorder="1"/>
    <xf numFmtId="0" fontId="20" fillId="0" borderId="45" xfId="0" applyFont="1" applyBorder="1" applyAlignment="1">
      <alignment horizontal="left" vertical="top" wrapText="1"/>
    </xf>
    <xf numFmtId="0" fontId="31" fillId="5" borderId="40" xfId="9" applyFont="1" applyBorder="1" applyAlignment="1">
      <alignment horizontal="left" vertical="top" wrapText="1"/>
    </xf>
    <xf numFmtId="2" fontId="21" fillId="0" borderId="0" xfId="0" applyNumberFormat="1" applyFont="1" applyBorder="1" applyAlignment="1">
      <alignment horizontal="left" vertical="top"/>
    </xf>
    <xf numFmtId="0" fontId="21" fillId="0" borderId="0" xfId="0" applyNumberFormat="1" applyFont="1" applyBorder="1" applyAlignment="1">
      <alignment horizontal="left" vertical="top"/>
    </xf>
    <xf numFmtId="165" fontId="20" fillId="0" borderId="0" xfId="0" applyNumberFormat="1" applyFont="1" applyBorder="1" applyAlignment="1">
      <alignment horizontal="left" vertical="top"/>
    </xf>
    <xf numFmtId="165" fontId="18" fillId="0" borderId="39" xfId="0" applyNumberFormat="1" applyFont="1" applyBorder="1" applyAlignment="1">
      <alignment horizontal="left" vertical="top"/>
    </xf>
    <xf numFmtId="11" fontId="18" fillId="0" borderId="0" xfId="0" applyNumberFormat="1" applyFont="1" applyBorder="1" applyAlignment="1">
      <alignment horizontal="left" vertical="top"/>
    </xf>
    <xf numFmtId="0" fontId="44" fillId="0" borderId="38" xfId="0" applyFont="1" applyBorder="1" applyAlignment="1">
      <alignment horizontal="left" vertical="top"/>
    </xf>
    <xf numFmtId="165" fontId="23" fillId="0" borderId="0" xfId="0" applyNumberFormat="1" applyFont="1" applyFill="1" applyBorder="1" applyAlignment="1">
      <alignment horizontal="left" vertical="top"/>
    </xf>
    <xf numFmtId="0" fontId="44" fillId="0" borderId="0" xfId="0" applyFont="1" applyBorder="1" applyAlignment="1">
      <alignment horizontal="left" vertical="top"/>
    </xf>
    <xf numFmtId="0" fontId="18" fillId="33" borderId="20" xfId="0" quotePrefix="1" applyFont="1" applyFill="1" applyBorder="1" applyAlignment="1">
      <alignment horizontal="left" vertical="top"/>
    </xf>
    <xf numFmtId="0" fontId="31" fillId="33" borderId="40" xfId="9" applyFont="1" applyFill="1" applyBorder="1" applyAlignment="1">
      <alignment horizontal="left" vertical="top"/>
    </xf>
    <xf numFmtId="0" fontId="31" fillId="33" borderId="25" xfId="9" applyFont="1" applyFill="1" applyBorder="1" applyAlignment="1">
      <alignment horizontal="left" vertical="top"/>
    </xf>
    <xf numFmtId="2" fontId="9" fillId="0" borderId="0" xfId="9" applyNumberFormat="1" applyFill="1" applyBorder="1" applyAlignment="1">
      <alignment horizontal="left" vertical="top"/>
    </xf>
    <xf numFmtId="165" fontId="9" fillId="0" borderId="0" xfId="9" applyNumberFormat="1" applyFill="1" applyBorder="1" applyAlignment="1">
      <alignment horizontal="left" vertical="top"/>
    </xf>
    <xf numFmtId="168" fontId="9" fillId="0" borderId="0" xfId="9" applyNumberFormat="1" applyFill="1" applyBorder="1" applyAlignment="1">
      <alignment horizontal="left" vertical="top"/>
    </xf>
    <xf numFmtId="166" fontId="47" fillId="33" borderId="11" xfId="0" applyNumberFormat="1" applyFont="1" applyFill="1" applyBorder="1" applyAlignment="1">
      <alignment horizontal="left" vertical="top"/>
    </xf>
    <xf numFmtId="164" fontId="25" fillId="0" borderId="0" xfId="0" applyNumberFormat="1" applyFont="1" applyBorder="1" applyAlignment="1">
      <alignment horizontal="left" vertical="top"/>
    </xf>
    <xf numFmtId="0" fontId="47" fillId="0" borderId="11" xfId="0" applyFont="1" applyBorder="1" applyAlignment="1">
      <alignment horizontal="left" vertical="top"/>
    </xf>
    <xf numFmtId="0" fontId="47" fillId="0" borderId="38" xfId="0" applyFont="1" applyBorder="1" applyAlignment="1">
      <alignment horizontal="left" vertical="top"/>
    </xf>
    <xf numFmtId="2" fontId="44" fillId="33" borderId="0" xfId="0" applyNumberFormat="1" applyFont="1" applyFill="1" applyBorder="1" applyAlignment="1">
      <alignment horizontal="left" vertical="top"/>
    </xf>
    <xf numFmtId="2" fontId="44" fillId="0" borderId="38" xfId="0" applyNumberFormat="1" applyFont="1" applyBorder="1" applyAlignment="1">
      <alignment horizontal="left" vertical="top"/>
    </xf>
    <xf numFmtId="0" fontId="45" fillId="5" borderId="24" xfId="9" applyFont="1" applyBorder="1" applyAlignment="1">
      <alignment horizontal="left" vertical="top" wrapText="1"/>
    </xf>
    <xf numFmtId="0" fontId="45" fillId="5" borderId="34" xfId="9" applyFont="1" applyBorder="1" applyAlignment="1">
      <alignment horizontal="left" vertical="top" wrapText="1"/>
    </xf>
    <xf numFmtId="0" fontId="31" fillId="5" borderId="27" xfId="9" applyFont="1" applyBorder="1" applyAlignment="1">
      <alignment horizontal="left" vertical="top" wrapText="1"/>
    </xf>
    <xf numFmtId="2" fontId="30" fillId="33" borderId="11" xfId="0" quotePrefix="1" applyNumberFormat="1" applyFont="1" applyFill="1" applyBorder="1" applyAlignment="1">
      <alignment horizontal="left" vertical="top"/>
    </xf>
    <xf numFmtId="165" fontId="23" fillId="33" borderId="11" xfId="0" quotePrefix="1" applyNumberFormat="1" applyFont="1" applyFill="1" applyBorder="1" applyAlignment="1">
      <alignment horizontal="left" vertical="top"/>
    </xf>
    <xf numFmtId="2" fontId="30" fillId="33" borderId="60" xfId="0" quotePrefix="1" applyNumberFormat="1" applyFont="1" applyFill="1" applyBorder="1" applyAlignment="1">
      <alignment horizontal="left" vertical="top"/>
    </xf>
    <xf numFmtId="2" fontId="30" fillId="33" borderId="57" xfId="0" quotePrefix="1" applyNumberFormat="1" applyFont="1" applyFill="1" applyBorder="1" applyAlignment="1">
      <alignment horizontal="left" vertical="top"/>
    </xf>
    <xf numFmtId="165" fontId="23" fillId="33" borderId="0" xfId="0" quotePrefix="1" applyNumberFormat="1" applyFont="1" applyFill="1" applyBorder="1" applyAlignment="1">
      <alignment horizontal="left" vertical="top"/>
    </xf>
    <xf numFmtId="0" fontId="44" fillId="0" borderId="41" xfId="0" applyFont="1" applyBorder="1" applyAlignment="1">
      <alignment horizontal="left" vertical="top"/>
    </xf>
    <xf numFmtId="2" fontId="18" fillId="0" borderId="41" xfId="0" applyNumberFormat="1" applyFont="1" applyBorder="1" applyAlignment="1">
      <alignment horizontal="left" vertical="top"/>
    </xf>
    <xf numFmtId="0" fontId="58" fillId="33" borderId="0" xfId="0" quotePrefix="1" applyFont="1" applyFill="1" applyBorder="1" applyAlignment="1">
      <alignment horizontal="left" vertical="top"/>
    </xf>
    <xf numFmtId="0" fontId="58" fillId="33" borderId="57" xfId="0" quotePrefix="1" applyFont="1" applyFill="1" applyBorder="1" applyAlignment="1">
      <alignment horizontal="left" vertical="top"/>
    </xf>
    <xf numFmtId="165" fontId="23" fillId="33" borderId="13" xfId="0" quotePrefix="1" applyNumberFormat="1" applyFont="1" applyFill="1" applyBorder="1" applyAlignment="1">
      <alignment horizontal="left" vertical="top"/>
    </xf>
    <xf numFmtId="2" fontId="44" fillId="33" borderId="57" xfId="0" quotePrefix="1" applyNumberFormat="1" applyFont="1" applyFill="1" applyBorder="1" applyAlignment="1">
      <alignment horizontal="left" vertical="top"/>
    </xf>
    <xf numFmtId="0" fontId="23" fillId="33" borderId="31" xfId="9" applyFont="1" applyFill="1" applyBorder="1" applyAlignment="1">
      <alignment horizontal="left" vertical="top"/>
    </xf>
    <xf numFmtId="0" fontId="58" fillId="33" borderId="0" xfId="0" applyFont="1" applyFill="1" applyBorder="1" applyAlignment="1">
      <alignment horizontal="left" vertical="top"/>
    </xf>
    <xf numFmtId="0" fontId="58" fillId="33" borderId="13" xfId="0" applyFont="1" applyFill="1" applyBorder="1" applyAlignment="1">
      <alignment horizontal="left" vertical="top"/>
    </xf>
    <xf numFmtId="0" fontId="23" fillId="33" borderId="50" xfId="9" quotePrefix="1" applyFont="1" applyFill="1" applyBorder="1" applyAlignment="1">
      <alignment horizontal="left" vertical="top"/>
    </xf>
    <xf numFmtId="0" fontId="44" fillId="33" borderId="36" xfId="0" quotePrefix="1" applyFont="1" applyFill="1" applyBorder="1" applyAlignment="1">
      <alignment horizontal="left" vertical="top"/>
    </xf>
    <xf numFmtId="0" fontId="44" fillId="0" borderId="37" xfId="0" applyFont="1" applyBorder="1" applyAlignment="1">
      <alignment horizontal="left" vertical="top" wrapText="1"/>
    </xf>
    <xf numFmtId="2" fontId="44" fillId="0" borderId="36" xfId="0" applyNumberFormat="1" applyFont="1" applyBorder="1" applyAlignment="1">
      <alignment horizontal="left" vertical="top" wrapText="1"/>
    </xf>
    <xf numFmtId="166" fontId="23" fillId="0" borderId="0" xfId="0" applyNumberFormat="1" applyFont="1" applyFill="1" applyBorder="1" applyAlignment="1">
      <alignment horizontal="left" vertical="top"/>
    </xf>
    <xf numFmtId="2" fontId="44" fillId="33" borderId="36" xfId="0" quotePrefix="1" applyNumberFormat="1" applyFont="1" applyFill="1" applyBorder="1" applyAlignment="1">
      <alignment horizontal="left" vertical="top"/>
    </xf>
    <xf numFmtId="166" fontId="20" fillId="0" borderId="0" xfId="0" applyNumberFormat="1" applyFont="1" applyBorder="1" applyAlignment="1">
      <alignment horizontal="left" vertical="top" wrapText="1"/>
    </xf>
    <xf numFmtId="164" fontId="18" fillId="0" borderId="0" xfId="0" applyNumberFormat="1" applyFont="1" applyFill="1" applyBorder="1" applyAlignment="1">
      <alignment horizontal="left" vertical="top" wrapText="1"/>
    </xf>
    <xf numFmtId="0" fontId="31" fillId="38" borderId="10" xfId="9" applyFont="1" applyFill="1" applyBorder="1" applyAlignment="1">
      <alignment horizontal="left" vertical="top"/>
    </xf>
    <xf numFmtId="0" fontId="18" fillId="0" borderId="14" xfId="0" quotePrefix="1" applyFont="1" applyFill="1" applyBorder="1" applyAlignment="1">
      <alignment horizontal="left" vertical="top"/>
    </xf>
    <xf numFmtId="2" fontId="32" fillId="0" borderId="11" xfId="0" applyNumberFormat="1" applyFont="1" applyBorder="1" applyAlignment="1">
      <alignment horizontal="left" vertical="top"/>
    </xf>
    <xf numFmtId="2" fontId="60" fillId="0" borderId="0" xfId="0" applyNumberFormat="1" applyFont="1" applyBorder="1" applyAlignment="1">
      <alignment horizontal="left" vertical="top"/>
    </xf>
    <xf numFmtId="0" fontId="60" fillId="0" borderId="0" xfId="0" applyFont="1" applyBorder="1" applyAlignment="1">
      <alignment horizontal="left" vertical="top"/>
    </xf>
    <xf numFmtId="0" fontId="60" fillId="0" borderId="0" xfId="0" applyFont="1"/>
    <xf numFmtId="0" fontId="60" fillId="0" borderId="0" xfId="0" applyNumberFormat="1" applyFont="1" applyBorder="1" applyAlignment="1">
      <alignment horizontal="left" vertical="top"/>
    </xf>
    <xf numFmtId="164" fontId="20" fillId="0" borderId="0" xfId="0" applyNumberFormat="1" applyFont="1" applyBorder="1" applyAlignment="1">
      <alignment vertical="top" wrapText="1"/>
    </xf>
    <xf numFmtId="0" fontId="44" fillId="33" borderId="14" xfId="0" quotePrefix="1" applyFont="1" applyFill="1" applyBorder="1" applyAlignment="1">
      <alignment horizontal="left" vertical="top"/>
    </xf>
    <xf numFmtId="0" fontId="44" fillId="0" borderId="13" xfId="0" applyFont="1" applyBorder="1" applyAlignment="1">
      <alignment horizontal="left" vertical="top" wrapText="1"/>
    </xf>
    <xf numFmtId="0" fontId="44" fillId="33" borderId="13" xfId="0" quotePrefix="1" applyFont="1" applyFill="1" applyBorder="1" applyAlignment="1">
      <alignment horizontal="left" vertical="top"/>
    </xf>
    <xf numFmtId="165" fontId="20" fillId="0" borderId="13" xfId="0" applyNumberFormat="1" applyFont="1" applyBorder="1" applyAlignment="1">
      <alignment horizontal="left" vertical="top" wrapText="1"/>
    </xf>
    <xf numFmtId="0" fontId="44" fillId="33" borderId="37" xfId="0" quotePrefix="1" applyFont="1" applyFill="1" applyBorder="1" applyAlignment="1">
      <alignment horizontal="left" vertical="top"/>
    </xf>
    <xf numFmtId="0" fontId="31" fillId="5" borderId="76" xfId="9" applyFont="1" applyBorder="1" applyAlignment="1">
      <alignment horizontal="left" vertical="top"/>
    </xf>
    <xf numFmtId="0" fontId="31" fillId="5" borderId="77" xfId="9" applyFont="1" applyBorder="1" applyAlignment="1">
      <alignment horizontal="left" vertical="top"/>
    </xf>
    <xf numFmtId="0" fontId="44" fillId="0" borderId="14" xfId="0" applyFont="1" applyBorder="1" applyAlignment="1">
      <alignment horizontal="left" vertical="top" wrapText="1"/>
    </xf>
    <xf numFmtId="165" fontId="44" fillId="33" borderId="37" xfId="0" quotePrefix="1" applyNumberFormat="1" applyFont="1" applyFill="1" applyBorder="1" applyAlignment="1">
      <alignment horizontal="left" vertical="top"/>
    </xf>
    <xf numFmtId="2" fontId="44" fillId="33" borderId="45" xfId="0" quotePrefix="1" applyNumberFormat="1" applyFont="1" applyFill="1" applyBorder="1" applyAlignment="1">
      <alignment horizontal="left" vertical="top"/>
    </xf>
    <xf numFmtId="0" fontId="18" fillId="33" borderId="42" xfId="0" quotePrefix="1" applyFont="1" applyFill="1" applyBorder="1" applyAlignment="1">
      <alignment horizontal="left" vertical="top"/>
    </xf>
    <xf numFmtId="0" fontId="18" fillId="33" borderId="11" xfId="0" quotePrefix="1" applyFont="1" applyFill="1" applyBorder="1" applyAlignment="1">
      <alignment horizontal="left" vertical="top" wrapText="1"/>
    </xf>
    <xf numFmtId="0" fontId="18" fillId="33" borderId="12" xfId="0" applyFont="1" applyFill="1" applyBorder="1" applyAlignment="1">
      <alignment horizontal="left" vertical="top"/>
    </xf>
    <xf numFmtId="0" fontId="18" fillId="33" borderId="11" xfId="0" applyFont="1" applyFill="1" applyBorder="1" applyAlignment="1">
      <alignment horizontal="left" vertical="top"/>
    </xf>
    <xf numFmtId="0" fontId="18" fillId="33" borderId="15" xfId="0" applyFont="1" applyFill="1" applyBorder="1" applyAlignment="1">
      <alignment horizontal="left" vertical="top"/>
    </xf>
    <xf numFmtId="0" fontId="18" fillId="33" borderId="14" xfId="0" applyFont="1" applyFill="1" applyBorder="1" applyAlignment="1">
      <alignment horizontal="left" vertical="top"/>
    </xf>
    <xf numFmtId="0" fontId="45" fillId="33" borderId="76" xfId="9" applyFont="1" applyFill="1" applyBorder="1" applyAlignment="1">
      <alignment horizontal="left" vertical="top"/>
    </xf>
    <xf numFmtId="165" fontId="45" fillId="33" borderId="73" xfId="0" applyNumberFormat="1" applyFont="1" applyFill="1" applyBorder="1" applyAlignment="1">
      <alignment horizontal="left" vertical="top"/>
    </xf>
    <xf numFmtId="0" fontId="45" fillId="33" borderId="40" xfId="9" applyFont="1" applyFill="1" applyBorder="1" applyAlignment="1">
      <alignment horizontal="left" vertical="top"/>
    </xf>
    <xf numFmtId="165" fontId="44" fillId="33" borderId="41" xfId="0" applyNumberFormat="1" applyFont="1" applyFill="1" applyBorder="1" applyAlignment="1">
      <alignment horizontal="left" vertical="top"/>
    </xf>
    <xf numFmtId="0" fontId="45" fillId="33" borderId="78" xfId="9" applyFont="1" applyFill="1" applyBorder="1" applyAlignment="1">
      <alignment horizontal="left" vertical="top"/>
    </xf>
    <xf numFmtId="165" fontId="45" fillId="33" borderId="52" xfId="0" applyNumberFormat="1" applyFont="1" applyFill="1" applyBorder="1" applyAlignment="1">
      <alignment horizontal="left" vertical="top"/>
    </xf>
    <xf numFmtId="0" fontId="45" fillId="33" borderId="34" xfId="9" applyFont="1" applyFill="1" applyBorder="1" applyAlignment="1">
      <alignment horizontal="left" vertical="top"/>
    </xf>
    <xf numFmtId="165" fontId="44" fillId="33" borderId="0" xfId="0" applyNumberFormat="1" applyFont="1" applyFill="1" applyBorder="1" applyAlignment="1">
      <alignment horizontal="left" vertical="top"/>
    </xf>
    <xf numFmtId="0" fontId="45" fillId="33" borderId="79" xfId="9" applyFont="1" applyFill="1" applyBorder="1" applyAlignment="1">
      <alignment horizontal="left" vertical="top"/>
    </xf>
    <xf numFmtId="165" fontId="45" fillId="33" borderId="49" xfId="0" applyNumberFormat="1" applyFont="1" applyFill="1" applyBorder="1" applyAlignment="1">
      <alignment horizontal="left" vertical="top"/>
    </xf>
    <xf numFmtId="0" fontId="45" fillId="33" borderId="27" xfId="9" applyFont="1" applyFill="1" applyBorder="1" applyAlignment="1">
      <alignment horizontal="left" vertical="top"/>
    </xf>
    <xf numFmtId="165" fontId="44" fillId="33" borderId="13" xfId="0" applyNumberFormat="1" applyFont="1" applyFill="1" applyBorder="1" applyAlignment="1">
      <alignment horizontal="left" vertical="top"/>
    </xf>
    <xf numFmtId="0" fontId="22" fillId="0" borderId="16" xfId="0" applyNumberFormat="1" applyFont="1" applyBorder="1" applyAlignment="1">
      <alignment vertical="top" wrapText="1"/>
    </xf>
    <xf numFmtId="0" fontId="18" fillId="0" borderId="20" xfId="0" applyFont="1" applyBorder="1" applyAlignment="1">
      <alignment vertical="top"/>
    </xf>
    <xf numFmtId="0" fontId="18" fillId="0" borderId="12" xfId="0" applyFont="1" applyBorder="1" applyAlignment="1">
      <alignment vertical="top"/>
    </xf>
    <xf numFmtId="0" fontId="45" fillId="33" borderId="73" xfId="9" applyFont="1" applyFill="1" applyBorder="1" applyAlignment="1">
      <alignment horizontal="left" vertical="top"/>
    </xf>
    <xf numFmtId="165" fontId="45" fillId="33" borderId="12" xfId="0" applyNumberFormat="1" applyFont="1" applyFill="1" applyBorder="1" applyAlignment="1">
      <alignment horizontal="left" vertical="top"/>
    </xf>
    <xf numFmtId="0" fontId="18" fillId="0" borderId="15" xfId="0" applyFont="1" applyBorder="1" applyAlignment="1">
      <alignment vertical="top"/>
    </xf>
    <xf numFmtId="165" fontId="45" fillId="33" borderId="15" xfId="0" applyNumberFormat="1" applyFont="1" applyFill="1" applyBorder="1" applyAlignment="1">
      <alignment horizontal="left" vertical="top"/>
    </xf>
    <xf numFmtId="0" fontId="45" fillId="33" borderId="62" xfId="9" quotePrefix="1" applyFont="1" applyFill="1" applyBorder="1" applyAlignment="1">
      <alignment horizontal="left" vertical="top"/>
    </xf>
    <xf numFmtId="0" fontId="45" fillId="33" borderId="56" xfId="9" quotePrefix="1" applyFont="1" applyFill="1" applyBorder="1" applyAlignment="1">
      <alignment horizontal="left" vertical="top"/>
    </xf>
    <xf numFmtId="2" fontId="44" fillId="33" borderId="0" xfId="0" quotePrefix="1" applyNumberFormat="1" applyFont="1" applyFill="1" applyBorder="1" applyAlignment="1">
      <alignment horizontal="left" vertical="top"/>
    </xf>
    <xf numFmtId="0" fontId="45" fillId="33" borderId="63" xfId="9" quotePrefix="1" applyFont="1" applyFill="1" applyBorder="1" applyAlignment="1">
      <alignment horizontal="left" vertical="top"/>
    </xf>
    <xf numFmtId="0" fontId="44" fillId="33" borderId="11" xfId="0" quotePrefix="1" applyFont="1" applyFill="1" applyBorder="1" applyAlignment="1">
      <alignment horizontal="left" vertical="top"/>
    </xf>
    <xf numFmtId="0" fontId="45" fillId="33" borderId="55" xfId="9" quotePrefix="1" applyFont="1" applyFill="1" applyBorder="1" applyAlignment="1">
      <alignment horizontal="left" vertical="top"/>
    </xf>
    <xf numFmtId="0" fontId="45" fillId="33" borderId="58" xfId="9" quotePrefix="1" applyFont="1" applyFill="1" applyBorder="1" applyAlignment="1">
      <alignment horizontal="left" vertical="top"/>
    </xf>
    <xf numFmtId="0" fontId="45" fillId="33" borderId="14" xfId="0" quotePrefix="1" applyFont="1" applyFill="1" applyBorder="1" applyAlignment="1">
      <alignment horizontal="left" vertical="top"/>
    </xf>
    <xf numFmtId="0" fontId="31" fillId="33" borderId="31" xfId="9" applyFont="1" applyFill="1" applyBorder="1" applyAlignment="1">
      <alignment horizontal="left" vertical="top"/>
    </xf>
    <xf numFmtId="0" fontId="58" fillId="33" borderId="75" xfId="0" applyFont="1" applyFill="1" applyBorder="1" applyAlignment="1">
      <alignment horizontal="left" vertical="top"/>
    </xf>
    <xf numFmtId="0" fontId="23" fillId="33" borderId="50" xfId="9" applyFont="1" applyFill="1" applyBorder="1" applyAlignment="1">
      <alignment horizontal="left" vertical="top"/>
    </xf>
    <xf numFmtId="0" fontId="58" fillId="33" borderId="36" xfId="0" applyFont="1" applyFill="1" applyBorder="1" applyAlignment="1">
      <alignment horizontal="left" vertical="top"/>
    </xf>
    <xf numFmtId="2" fontId="44" fillId="33" borderId="0" xfId="0" applyNumberFormat="1" applyFont="1" applyFill="1" applyBorder="1" applyAlignment="1">
      <alignment horizontal="left" vertical="top" wrapText="1"/>
    </xf>
    <xf numFmtId="0" fontId="58" fillId="33" borderId="0" xfId="0" applyFont="1" applyFill="1" applyBorder="1" applyAlignment="1">
      <alignment horizontal="left" vertical="top" wrapText="1"/>
    </xf>
    <xf numFmtId="0" fontId="45" fillId="33" borderId="24" xfId="9" applyFont="1" applyFill="1" applyBorder="1" applyAlignment="1">
      <alignment horizontal="left" vertical="top"/>
    </xf>
    <xf numFmtId="0" fontId="20" fillId="33" borderId="11" xfId="0" applyFont="1" applyFill="1" applyBorder="1" applyAlignment="1">
      <alignment horizontal="left" vertical="top" wrapText="1"/>
    </xf>
    <xf numFmtId="2" fontId="44" fillId="33" borderId="14" xfId="0" applyNumberFormat="1" applyFont="1" applyFill="1" applyBorder="1" applyAlignment="1">
      <alignment horizontal="left" vertical="top" wrapText="1"/>
    </xf>
    <xf numFmtId="0" fontId="44" fillId="33" borderId="14" xfId="0" applyFont="1" applyFill="1" applyBorder="1" applyAlignment="1">
      <alignment horizontal="left" vertical="top" wrapText="1"/>
    </xf>
    <xf numFmtId="0" fontId="58" fillId="33" borderId="14" xfId="0" applyFont="1" applyFill="1" applyBorder="1" applyAlignment="1">
      <alignment horizontal="left" vertical="top" wrapText="1"/>
    </xf>
    <xf numFmtId="2" fontId="44" fillId="33" borderId="44" xfId="0" applyNumberFormat="1" applyFont="1" applyFill="1" applyBorder="1" applyAlignment="1">
      <alignment horizontal="left" vertical="top" wrapText="1"/>
    </xf>
    <xf numFmtId="0" fontId="47" fillId="33" borderId="36" xfId="0" applyFont="1" applyFill="1" applyBorder="1" applyAlignment="1">
      <alignment horizontal="left" vertical="top"/>
    </xf>
    <xf numFmtId="2" fontId="44" fillId="0" borderId="45" xfId="0" applyNumberFormat="1" applyFont="1" applyFill="1" applyBorder="1" applyAlignment="1">
      <alignment horizontal="left" vertical="top" wrapText="1"/>
    </xf>
    <xf numFmtId="2" fontId="21" fillId="0" borderId="0" xfId="0" applyNumberFormat="1" applyFont="1"/>
    <xf numFmtId="165" fontId="45" fillId="33" borderId="20" xfId="0" applyNumberFormat="1" applyFont="1" applyFill="1" applyBorder="1" applyAlignment="1">
      <alignment horizontal="left" vertical="top"/>
    </xf>
    <xf numFmtId="1" fontId="23" fillId="0" borderId="0" xfId="0" applyNumberFormat="1" applyFont="1" applyBorder="1" applyAlignment="1">
      <alignment horizontal="left" vertical="top"/>
    </xf>
    <xf numFmtId="167" fontId="23" fillId="0" borderId="0" xfId="0" applyNumberFormat="1" applyFont="1" applyFill="1" applyBorder="1" applyAlignment="1">
      <alignment horizontal="left" vertical="top"/>
    </xf>
    <xf numFmtId="165" fontId="56" fillId="0" borderId="0" xfId="0" applyNumberFormat="1" applyFont="1"/>
    <xf numFmtId="1" fontId="45" fillId="33" borderId="12" xfId="0" applyNumberFormat="1" applyFont="1" applyFill="1" applyBorder="1" applyAlignment="1">
      <alignment horizontal="left" vertical="top"/>
    </xf>
    <xf numFmtId="165" fontId="44" fillId="0" borderId="0" xfId="0" applyNumberFormat="1" applyFont="1" applyBorder="1" applyAlignment="1">
      <alignment horizontal="left" vertical="top"/>
    </xf>
    <xf numFmtId="0" fontId="44" fillId="0" borderId="11" xfId="0" applyFont="1" applyBorder="1" applyAlignment="1">
      <alignment horizontal="left" vertical="top" wrapText="1"/>
    </xf>
    <xf numFmtId="2" fontId="44" fillId="0" borderId="13" xfId="0" applyNumberFormat="1" applyFont="1" applyBorder="1" applyAlignment="1">
      <alignment horizontal="left" vertical="top"/>
    </xf>
    <xf numFmtId="0" fontId="58" fillId="33" borderId="36" xfId="0" quotePrefix="1" applyFont="1" applyFill="1" applyBorder="1" applyAlignment="1">
      <alignment horizontal="left" vertical="top"/>
    </xf>
    <xf numFmtId="2" fontId="44" fillId="0" borderId="13" xfId="0" applyNumberFormat="1" applyFont="1" applyFill="1" applyBorder="1" applyAlignment="1">
      <alignment horizontal="left" vertical="top"/>
    </xf>
    <xf numFmtId="1" fontId="44" fillId="0" borderId="0" xfId="0" applyNumberFormat="1" applyFont="1" applyBorder="1" applyAlignment="1">
      <alignment horizontal="left" vertical="top"/>
    </xf>
    <xf numFmtId="1" fontId="44" fillId="0" borderId="38" xfId="0" applyNumberFormat="1" applyFont="1" applyBorder="1" applyAlignment="1">
      <alignment horizontal="left" vertical="top"/>
    </xf>
    <xf numFmtId="3" fontId="23" fillId="33" borderId="13" xfId="0" quotePrefix="1" applyNumberFormat="1" applyFont="1" applyFill="1" applyBorder="1" applyAlignment="1">
      <alignment horizontal="left" vertical="top"/>
    </xf>
    <xf numFmtId="0" fontId="20" fillId="34" borderId="51" xfId="0" quotePrefix="1" applyFont="1" applyFill="1" applyBorder="1" applyAlignment="1">
      <alignment horizontal="left" vertical="top"/>
    </xf>
    <xf numFmtId="0" fontId="36" fillId="0" borderId="0" xfId="0" applyFont="1" applyBorder="1" applyAlignment="1">
      <alignment vertical="center" wrapText="1"/>
    </xf>
    <xf numFmtId="1" fontId="61" fillId="0" borderId="10" xfId="0" applyNumberFormat="1" applyFont="1" applyFill="1" applyBorder="1" applyAlignment="1">
      <alignment horizontal="left" vertical="top"/>
    </xf>
    <xf numFmtId="2" fontId="44" fillId="0" borderId="45" xfId="0" applyNumberFormat="1" applyFont="1" applyBorder="1" applyAlignment="1">
      <alignment horizontal="left" vertical="top"/>
    </xf>
    <xf numFmtId="164" fontId="18" fillId="0" borderId="13" xfId="0" applyNumberFormat="1" applyFont="1" applyBorder="1" applyAlignment="1">
      <alignment horizontal="left" vertical="top"/>
    </xf>
    <xf numFmtId="1" fontId="45" fillId="33" borderId="52" xfId="0" applyNumberFormat="1" applyFont="1" applyFill="1" applyBorder="1" applyAlignment="1">
      <alignment horizontal="left" vertical="top"/>
    </xf>
    <xf numFmtId="1" fontId="45" fillId="33" borderId="49" xfId="0" applyNumberFormat="1" applyFont="1" applyFill="1" applyBorder="1" applyAlignment="1">
      <alignment horizontal="left" vertical="top"/>
    </xf>
    <xf numFmtId="2" fontId="18" fillId="0" borderId="14" xfId="0" applyNumberFormat="1" applyFont="1" applyFill="1" applyBorder="1" applyAlignment="1">
      <alignment horizontal="left" vertical="top"/>
    </xf>
    <xf numFmtId="2" fontId="61" fillId="0" borderId="0" xfId="0" applyNumberFormat="1" applyFont="1" applyBorder="1" applyAlignment="1">
      <alignment horizontal="left" vertical="top"/>
    </xf>
    <xf numFmtId="165" fontId="61" fillId="0" borderId="39" xfId="0" applyNumberFormat="1" applyFont="1" applyBorder="1" applyAlignment="1">
      <alignment horizontal="left" vertical="top"/>
    </xf>
    <xf numFmtId="0" fontId="61" fillId="0" borderId="39" xfId="0" applyFont="1" applyBorder="1" applyAlignment="1">
      <alignment horizontal="left" vertical="top"/>
    </xf>
    <xf numFmtId="165" fontId="61" fillId="0" borderId="0" xfId="0" applyNumberFormat="1" applyFont="1" applyBorder="1" applyAlignment="1">
      <alignment horizontal="left" vertical="top"/>
    </xf>
    <xf numFmtId="0" fontId="61" fillId="0" borderId="11" xfId="0" applyFont="1" applyBorder="1" applyAlignment="1">
      <alignment horizontal="left" vertical="top"/>
    </xf>
    <xf numFmtId="0" fontId="61" fillId="0" borderId="0" xfId="0" applyFont="1" applyBorder="1" applyAlignment="1">
      <alignment horizontal="left" vertical="top"/>
    </xf>
    <xf numFmtId="0" fontId="61" fillId="0" borderId="13" xfId="0" applyFont="1" applyBorder="1" applyAlignment="1">
      <alignment horizontal="left" vertical="top"/>
    </xf>
    <xf numFmtId="165" fontId="18" fillId="0" borderId="41" xfId="0" applyNumberFormat="1" applyFont="1" applyBorder="1" applyAlignment="1">
      <alignment horizontal="left" vertical="top"/>
    </xf>
    <xf numFmtId="2" fontId="18" fillId="0" borderId="17" xfId="0" applyNumberFormat="1" applyFont="1" applyBorder="1" applyAlignment="1">
      <alignment horizontal="left" vertical="top"/>
    </xf>
    <xf numFmtId="165" fontId="18" fillId="0" borderId="17" xfId="0" applyNumberFormat="1" applyFont="1" applyFill="1" applyBorder="1" applyAlignment="1">
      <alignment horizontal="left" vertical="top"/>
    </xf>
    <xf numFmtId="165" fontId="18" fillId="0" borderId="11" xfId="0" applyNumberFormat="1" applyFont="1" applyFill="1" applyBorder="1" applyAlignment="1">
      <alignment horizontal="left" vertical="top"/>
    </xf>
    <xf numFmtId="1" fontId="18" fillId="0" borderId="11" xfId="0" applyNumberFormat="1" applyFont="1" applyBorder="1" applyAlignment="1">
      <alignment horizontal="left" vertical="top"/>
    </xf>
    <xf numFmtId="2" fontId="20" fillId="33" borderId="14" xfId="0" quotePrefix="1" applyNumberFormat="1" applyFont="1" applyFill="1" applyBorder="1" applyAlignment="1">
      <alignment horizontal="left" vertical="top"/>
    </xf>
    <xf numFmtId="165" fontId="20" fillId="33" borderId="14" xfId="0" quotePrefix="1" applyNumberFormat="1" applyFont="1" applyFill="1" applyBorder="1" applyAlignment="1">
      <alignment horizontal="left" vertical="top"/>
    </xf>
    <xf numFmtId="164" fontId="20" fillId="33" borderId="14" xfId="0" quotePrefix="1" applyNumberFormat="1" applyFont="1" applyFill="1" applyBorder="1" applyAlignment="1">
      <alignment horizontal="left" vertical="top"/>
    </xf>
    <xf numFmtId="2" fontId="18" fillId="0" borderId="17" xfId="0" applyNumberFormat="1" applyFont="1" applyFill="1" applyBorder="1" applyAlignment="1">
      <alignment horizontal="left" vertical="top"/>
    </xf>
    <xf numFmtId="0" fontId="18" fillId="33" borderId="80" xfId="0" quotePrefix="1" applyFont="1" applyFill="1" applyBorder="1" applyAlignment="1">
      <alignment horizontal="left" vertical="top"/>
    </xf>
    <xf numFmtId="2" fontId="20" fillId="33" borderId="13" xfId="0" quotePrefix="1" applyNumberFormat="1" applyFont="1" applyFill="1" applyBorder="1" applyAlignment="1">
      <alignment horizontal="left" vertical="top"/>
    </xf>
    <xf numFmtId="164" fontId="20" fillId="33" borderId="13" xfId="0" quotePrefix="1" applyNumberFormat="1" applyFont="1" applyFill="1" applyBorder="1" applyAlignment="1">
      <alignment horizontal="left" vertical="top"/>
    </xf>
    <xf numFmtId="2" fontId="18" fillId="33" borderId="0" xfId="0" quotePrefix="1" applyNumberFormat="1" applyFont="1" applyFill="1" applyBorder="1" applyAlignment="1">
      <alignment horizontal="left" vertical="top"/>
    </xf>
    <xf numFmtId="2" fontId="18" fillId="33" borderId="13" xfId="0" quotePrefix="1" applyNumberFormat="1" applyFont="1" applyFill="1" applyBorder="1" applyAlignment="1">
      <alignment horizontal="left" vertical="top"/>
    </xf>
    <xf numFmtId="0" fontId="47" fillId="5" borderId="24" xfId="9" applyFont="1" applyBorder="1" applyAlignment="1">
      <alignment horizontal="left" vertical="top"/>
    </xf>
    <xf numFmtId="0" fontId="23" fillId="33" borderId="26" xfId="9" applyFont="1" applyFill="1" applyBorder="1" applyAlignment="1">
      <alignment horizontal="left" vertical="top"/>
    </xf>
    <xf numFmtId="165" fontId="23" fillId="33" borderId="0" xfId="0" applyNumberFormat="1" applyFont="1" applyFill="1" applyBorder="1" applyAlignment="1">
      <alignment horizontal="left" vertical="top"/>
    </xf>
    <xf numFmtId="165" fontId="23" fillId="33" borderId="13" xfId="0" applyNumberFormat="1" applyFont="1" applyFill="1" applyBorder="1" applyAlignment="1">
      <alignment horizontal="left" vertical="top"/>
    </xf>
    <xf numFmtId="2" fontId="23" fillId="33" borderId="42" xfId="0" applyNumberFormat="1" applyFont="1" applyFill="1" applyBorder="1" applyAlignment="1">
      <alignment horizontal="left" vertical="top"/>
    </xf>
    <xf numFmtId="2" fontId="18" fillId="0" borderId="42" xfId="0" applyNumberFormat="1" applyFont="1" applyBorder="1" applyAlignment="1">
      <alignment horizontal="left" vertical="top"/>
    </xf>
    <xf numFmtId="2" fontId="23" fillId="33" borderId="11" xfId="0" applyNumberFormat="1" applyFont="1" applyFill="1" applyBorder="1" applyAlignment="1">
      <alignment horizontal="left" vertical="top"/>
    </xf>
    <xf numFmtId="2" fontId="23" fillId="33" borderId="14" xfId="0" applyNumberFormat="1" applyFont="1" applyFill="1" applyBorder="1" applyAlignment="1">
      <alignment horizontal="left" vertical="top"/>
    </xf>
    <xf numFmtId="165" fontId="18" fillId="0" borderId="11" xfId="0" applyNumberFormat="1" applyFont="1" applyBorder="1" applyAlignment="1">
      <alignment horizontal="left" vertical="top" wrapText="1"/>
    </xf>
    <xf numFmtId="165" fontId="20" fillId="33" borderId="11" xfId="0" quotePrefix="1" applyNumberFormat="1" applyFont="1" applyFill="1" applyBorder="1" applyAlignment="1">
      <alignment horizontal="left" vertical="top"/>
    </xf>
    <xf numFmtId="2" fontId="18" fillId="0" borderId="38" xfId="0" applyNumberFormat="1" applyFont="1" applyBorder="1" applyAlignment="1">
      <alignment horizontal="left" vertical="top"/>
    </xf>
    <xf numFmtId="165" fontId="18" fillId="0" borderId="45" xfId="0" applyNumberFormat="1" applyFont="1" applyBorder="1" applyAlignment="1">
      <alignment horizontal="left" vertical="top"/>
    </xf>
    <xf numFmtId="164" fontId="61" fillId="0" borderId="39" xfId="0" applyNumberFormat="1" applyFont="1" applyBorder="1" applyAlignment="1">
      <alignment horizontal="left" vertical="top"/>
    </xf>
    <xf numFmtId="164" fontId="61" fillId="0" borderId="0" xfId="0" applyNumberFormat="1" applyFont="1" applyBorder="1" applyAlignment="1">
      <alignment horizontal="left" vertical="top"/>
    </xf>
    <xf numFmtId="164" fontId="61" fillId="0" borderId="11" xfId="0" applyNumberFormat="1" applyFont="1" applyBorder="1" applyAlignment="1">
      <alignment horizontal="left" vertical="top"/>
    </xf>
    <xf numFmtId="165" fontId="61" fillId="0" borderId="13" xfId="0" applyNumberFormat="1" applyFont="1" applyBorder="1" applyAlignment="1">
      <alignment horizontal="left" vertical="top"/>
    </xf>
    <xf numFmtId="164" fontId="61" fillId="0" borderId="14" xfId="0" applyNumberFormat="1" applyFont="1" applyBorder="1" applyAlignment="1">
      <alignment horizontal="left" vertical="top"/>
    </xf>
    <xf numFmtId="1" fontId="62" fillId="0" borderId="10" xfId="0" applyNumberFormat="1" applyFont="1" applyFill="1" applyBorder="1" applyAlignment="1">
      <alignment horizontal="left" vertical="top"/>
    </xf>
    <xf numFmtId="164" fontId="18" fillId="0" borderId="11" xfId="0" applyNumberFormat="1" applyFont="1" applyBorder="1" applyAlignment="1">
      <alignment horizontal="left" vertical="top" wrapText="1"/>
    </xf>
    <xf numFmtId="164" fontId="18" fillId="0" borderId="14" xfId="0" applyNumberFormat="1" applyFont="1" applyFill="1" applyBorder="1" applyAlignment="1">
      <alignment horizontal="left" vertical="top"/>
    </xf>
    <xf numFmtId="0" fontId="61" fillId="0" borderId="14" xfId="0" applyFont="1" applyBorder="1" applyAlignment="1">
      <alignment horizontal="left" vertical="top"/>
    </xf>
    <xf numFmtId="164" fontId="18" fillId="0" borderId="13" xfId="0" applyNumberFormat="1" applyFont="1" applyFill="1" applyBorder="1" applyAlignment="1">
      <alignment horizontal="left" vertical="top" wrapText="1"/>
    </xf>
    <xf numFmtId="165" fontId="18" fillId="0" borderId="11" xfId="0" applyNumberFormat="1" applyFont="1" applyFill="1" applyBorder="1" applyAlignment="1">
      <alignment horizontal="left" vertical="top" wrapText="1"/>
    </xf>
    <xf numFmtId="165" fontId="18" fillId="0" borderId="14" xfId="0" applyNumberFormat="1" applyFont="1" applyFill="1" applyBorder="1" applyAlignment="1">
      <alignment horizontal="left" vertical="top" wrapText="1"/>
    </xf>
    <xf numFmtId="2" fontId="61" fillId="0" borderId="11" xfId="0" applyNumberFormat="1" applyFont="1" applyFill="1" applyBorder="1" applyAlignment="1">
      <alignment horizontal="left" vertical="top" wrapText="1"/>
    </xf>
    <xf numFmtId="0" fontId="61" fillId="0" borderId="11" xfId="0" applyFont="1" applyFill="1" applyBorder="1" applyAlignment="1">
      <alignment horizontal="left" vertical="top" wrapText="1"/>
    </xf>
    <xf numFmtId="0" fontId="44" fillId="0" borderId="13" xfId="0" applyFont="1" applyFill="1" applyBorder="1" applyAlignment="1">
      <alignment horizontal="left" vertical="top" wrapText="1"/>
    </xf>
    <xf numFmtId="0" fontId="61" fillId="0" borderId="14" xfId="0" applyFont="1" applyFill="1" applyBorder="1" applyAlignment="1">
      <alignment horizontal="left" vertical="top" wrapText="1"/>
    </xf>
    <xf numFmtId="2" fontId="20" fillId="33" borderId="11" xfId="0" quotePrefix="1" applyNumberFormat="1" applyFont="1" applyFill="1" applyBorder="1" applyAlignment="1">
      <alignment horizontal="left" vertical="top"/>
    </xf>
    <xf numFmtId="2" fontId="61" fillId="0" borderId="39" xfId="0" applyNumberFormat="1" applyFont="1" applyBorder="1" applyAlignment="1">
      <alignment horizontal="left" vertical="top"/>
    </xf>
    <xf numFmtId="164" fontId="23" fillId="33" borderId="0" xfId="0" quotePrefix="1" applyNumberFormat="1" applyFont="1" applyFill="1" applyBorder="1" applyAlignment="1">
      <alignment horizontal="left" vertical="top"/>
    </xf>
    <xf numFmtId="2" fontId="61" fillId="0" borderId="11" xfId="0" applyNumberFormat="1" applyFont="1" applyBorder="1" applyAlignment="1">
      <alignment horizontal="left" vertical="top"/>
    </xf>
    <xf numFmtId="2" fontId="61" fillId="0" borderId="13" xfId="0" applyNumberFormat="1" applyFont="1" applyBorder="1" applyAlignment="1">
      <alignment horizontal="left" vertical="top"/>
    </xf>
    <xf numFmtId="164" fontId="23" fillId="33" borderId="11" xfId="0" quotePrefix="1" applyNumberFormat="1" applyFont="1" applyFill="1" applyBorder="1" applyAlignment="1">
      <alignment horizontal="left" vertical="top"/>
    </xf>
    <xf numFmtId="0" fontId="61" fillId="0" borderId="13" xfId="0" applyFont="1" applyBorder="1" applyAlignment="1">
      <alignment horizontal="left" vertical="top" wrapText="1"/>
    </xf>
    <xf numFmtId="0" fontId="61" fillId="0" borderId="14" xfId="0" applyFont="1" applyBorder="1" applyAlignment="1">
      <alignment horizontal="left" vertical="top" wrapText="1"/>
    </xf>
    <xf numFmtId="2" fontId="32" fillId="0" borderId="14" xfId="0" applyNumberFormat="1" applyFont="1" applyBorder="1" applyAlignment="1">
      <alignment horizontal="left" vertical="top"/>
    </xf>
    <xf numFmtId="2" fontId="61" fillId="0" borderId="0" xfId="0" applyNumberFormat="1" applyFont="1" applyBorder="1" applyAlignment="1">
      <alignment horizontal="left" vertical="top" wrapText="1"/>
    </xf>
    <xf numFmtId="0" fontId="61" fillId="0" borderId="11" xfId="0" applyFont="1" applyBorder="1" applyAlignment="1">
      <alignment horizontal="left" vertical="top" wrapText="1"/>
    </xf>
    <xf numFmtId="2" fontId="44" fillId="0" borderId="13" xfId="0" applyNumberFormat="1" applyFont="1" applyBorder="1" applyAlignment="1">
      <alignment horizontal="left" vertical="top" wrapText="1"/>
    </xf>
    <xf numFmtId="0" fontId="20" fillId="0" borderId="39" xfId="0" applyFont="1" applyBorder="1" applyAlignment="1">
      <alignment horizontal="left" vertical="top"/>
    </xf>
    <xf numFmtId="2" fontId="18" fillId="0" borderId="52" xfId="0" applyNumberFormat="1" applyFont="1" applyBorder="1" applyAlignment="1">
      <alignment horizontal="left" vertical="top"/>
    </xf>
    <xf numFmtId="2" fontId="18" fillId="0" borderId="49" xfId="0" applyNumberFormat="1" applyFont="1" applyBorder="1" applyAlignment="1">
      <alignment horizontal="left" vertical="top"/>
    </xf>
    <xf numFmtId="0" fontId="63" fillId="0" borderId="0" xfId="0" applyFont="1" applyBorder="1" applyAlignment="1">
      <alignment horizontal="left" vertical="top"/>
    </xf>
    <xf numFmtId="0" fontId="37" fillId="0" borderId="53" xfId="0" applyFont="1" applyBorder="1" applyAlignment="1">
      <alignment vertical="center" readingOrder="1"/>
    </xf>
    <xf numFmtId="0" fontId="37" fillId="0" borderId="68" xfId="0" applyFont="1" applyBorder="1" applyAlignment="1">
      <alignment vertical="center" wrapText="1" readingOrder="1"/>
    </xf>
    <xf numFmtId="0" fontId="37" fillId="0" borderId="69" xfId="0" applyFont="1" applyBorder="1" applyAlignment="1">
      <alignment vertical="center" wrapText="1" readingOrder="1"/>
    </xf>
    <xf numFmtId="0" fontId="37" fillId="0" borderId="10" xfId="0" applyFont="1" applyBorder="1" applyAlignment="1">
      <alignment horizontal="left" vertical="center" wrapText="1" readingOrder="1"/>
    </xf>
    <xf numFmtId="0" fontId="36" fillId="0" borderId="10" xfId="0" applyFont="1" applyBorder="1" applyAlignment="1">
      <alignment horizontal="left" vertical="center" wrapText="1" readingOrder="1"/>
    </xf>
    <xf numFmtId="0" fontId="64" fillId="0" borderId="10" xfId="0" applyFont="1" applyBorder="1" applyAlignment="1">
      <alignment horizontal="center" vertical="center" wrapText="1"/>
    </xf>
    <xf numFmtId="49" fontId="50" fillId="0" borderId="10" xfId="0" applyNumberFormat="1" applyFont="1" applyBorder="1" applyAlignment="1">
      <alignment horizontal="left" vertical="center" wrapText="1"/>
    </xf>
    <xf numFmtId="0" fontId="50" fillId="0" borderId="10" xfId="0" applyFont="1" applyBorder="1" applyAlignment="1">
      <alignment horizontal="center" vertical="center" wrapText="1"/>
    </xf>
    <xf numFmtId="0" fontId="38" fillId="0" borderId="10" xfId="0" quotePrefix="1" applyFont="1" applyBorder="1" applyAlignment="1">
      <alignment horizontal="left" vertical="center" wrapText="1" readingOrder="1"/>
    </xf>
    <xf numFmtId="0" fontId="41" fillId="0" borderId="10" xfId="0" applyFont="1" applyBorder="1" applyAlignment="1">
      <alignment horizontal="center" vertical="center" wrapText="1"/>
    </xf>
    <xf numFmtId="0" fontId="65" fillId="0" borderId="10" xfId="0" applyFont="1" applyBorder="1" applyAlignment="1">
      <alignment horizontal="center" vertical="center" wrapText="1"/>
    </xf>
    <xf numFmtId="0" fontId="66" fillId="0" borderId="10" xfId="0" quotePrefix="1" applyFont="1" applyBorder="1" applyAlignment="1">
      <alignment horizontal="left" vertical="center" wrapText="1" readingOrder="1"/>
    </xf>
    <xf numFmtId="0" fontId="43" fillId="0" borderId="10" xfId="0" applyFont="1" applyBorder="1" applyAlignment="1">
      <alignment horizontal="center" vertical="center" wrapText="1"/>
    </xf>
    <xf numFmtId="49" fontId="43" fillId="0" borderId="10" xfId="0" quotePrefix="1" applyNumberFormat="1" applyFont="1" applyBorder="1" applyAlignment="1">
      <alignment horizontal="left" vertical="center" wrapText="1" readingOrder="1"/>
    </xf>
    <xf numFmtId="0" fontId="66" fillId="0" borderId="10" xfId="0" applyFont="1" applyBorder="1" applyAlignment="1">
      <alignment horizontal="center" vertical="center" wrapText="1"/>
    </xf>
    <xf numFmtId="0" fontId="41" fillId="0" borderId="10" xfId="0" quotePrefix="1" applyFont="1" applyBorder="1" applyAlignment="1">
      <alignment horizontal="left" vertical="center" wrapText="1" readingOrder="1"/>
    </xf>
    <xf numFmtId="0" fontId="0" fillId="0" borderId="10" xfId="0" applyBorder="1" applyAlignment="1">
      <alignment vertical="center"/>
    </xf>
    <xf numFmtId="0" fontId="0" fillId="0" borderId="10" xfId="0" applyBorder="1" applyAlignment="1">
      <alignment horizontal="center" vertical="center"/>
    </xf>
    <xf numFmtId="0" fontId="0" fillId="0" borderId="10" xfId="0" applyBorder="1" applyAlignment="1">
      <alignment vertical="center" wrapText="1"/>
    </xf>
    <xf numFmtId="0" fontId="21" fillId="5" borderId="27" xfId="9" applyFont="1" applyBorder="1" applyAlignment="1">
      <alignment horizontal="left" vertical="top"/>
    </xf>
    <xf numFmtId="0" fontId="31" fillId="5" borderId="4" xfId="44" applyFont="1" applyAlignment="1">
      <alignment horizontal="left" vertical="top" wrapText="1"/>
    </xf>
    <xf numFmtId="0" fontId="31" fillId="5" borderId="24" xfId="44" applyFont="1" applyBorder="1" applyAlignment="1">
      <alignment horizontal="left" vertical="top"/>
    </xf>
    <xf numFmtId="0" fontId="31" fillId="38" borderId="34" xfId="44" applyFont="1" applyFill="1" applyBorder="1" applyAlignment="1">
      <alignment horizontal="left" vertical="top"/>
    </xf>
    <xf numFmtId="0" fontId="31" fillId="5" borderId="40" xfId="44" applyFont="1" applyBorder="1" applyAlignment="1">
      <alignment horizontal="left" vertical="top"/>
    </xf>
    <xf numFmtId="0" fontId="31" fillId="5" borderId="27" xfId="44" applyFont="1" applyBorder="1" applyAlignment="1">
      <alignment horizontal="left" vertical="top"/>
    </xf>
    <xf numFmtId="0" fontId="31" fillId="5" borderId="31" xfId="44" applyFont="1" applyBorder="1" applyAlignment="1">
      <alignment horizontal="left" vertical="top"/>
    </xf>
    <xf numFmtId="0" fontId="31" fillId="5" borderId="4" xfId="44" applyFont="1" applyAlignment="1">
      <alignment horizontal="left" vertical="top"/>
    </xf>
    <xf numFmtId="0" fontId="18" fillId="5" borderId="24" xfId="44" applyFont="1" applyBorder="1" applyAlignment="1">
      <alignment horizontal="left" vertical="top"/>
    </xf>
    <xf numFmtId="0" fontId="45" fillId="5" borderId="27" xfId="44" applyFont="1" applyBorder="1" applyAlignment="1">
      <alignment horizontal="left" vertical="top"/>
    </xf>
    <xf numFmtId="0" fontId="45" fillId="5" borderId="40" xfId="44" applyFont="1" applyBorder="1" applyAlignment="1">
      <alignment horizontal="left" vertical="top"/>
    </xf>
    <xf numFmtId="0" fontId="45" fillId="5" borderId="25" xfId="44" applyFont="1" applyBorder="1" applyAlignment="1">
      <alignment horizontal="left" vertical="top"/>
    </xf>
    <xf numFmtId="0" fontId="47" fillId="5" borderId="25" xfId="44" applyFont="1" applyBorder="1" applyAlignment="1">
      <alignment horizontal="left" vertical="top"/>
    </xf>
    <xf numFmtId="0" fontId="45" fillId="5" borderId="24" xfId="44" applyFont="1" applyBorder="1" applyAlignment="1">
      <alignment horizontal="left" vertical="top"/>
    </xf>
    <xf numFmtId="0" fontId="31" fillId="5" borderId="33" xfId="44" applyFont="1" applyBorder="1" applyAlignment="1">
      <alignment horizontal="left" vertical="top"/>
    </xf>
    <xf numFmtId="0" fontId="23" fillId="33" borderId="62" xfId="44" quotePrefix="1" applyFont="1" applyFill="1" applyBorder="1" applyAlignment="1">
      <alignment horizontal="left" vertical="top"/>
    </xf>
    <xf numFmtId="0" fontId="45" fillId="5" borderId="34" xfId="44" applyFont="1" applyBorder="1" applyAlignment="1">
      <alignment horizontal="left" vertical="top"/>
    </xf>
    <xf numFmtId="0" fontId="23" fillId="33" borderId="63" xfId="44" quotePrefix="1" applyFont="1" applyFill="1" applyBorder="1" applyAlignment="1">
      <alignment horizontal="left" vertical="top"/>
    </xf>
    <xf numFmtId="0" fontId="47" fillId="33" borderId="63" xfId="44" quotePrefix="1" applyFont="1" applyFill="1" applyBorder="1" applyAlignment="1">
      <alignment horizontal="left" vertical="top"/>
    </xf>
    <xf numFmtId="0" fontId="18" fillId="5" borderId="34" xfId="44" applyFont="1" applyBorder="1" applyAlignment="1">
      <alignment horizontal="left" vertical="top"/>
    </xf>
    <xf numFmtId="0" fontId="23" fillId="33" borderId="58" xfId="44" quotePrefix="1" applyFont="1" applyFill="1" applyBorder="1" applyAlignment="1">
      <alignment horizontal="left" vertical="top"/>
    </xf>
    <xf numFmtId="0" fontId="45" fillId="33" borderId="78" xfId="44" applyFont="1" applyFill="1" applyBorder="1" applyAlignment="1">
      <alignment horizontal="left" vertical="top"/>
    </xf>
    <xf numFmtId="0" fontId="45" fillId="33" borderId="40" xfId="44" applyFont="1" applyFill="1" applyBorder="1" applyAlignment="1">
      <alignment horizontal="left" vertical="top"/>
    </xf>
    <xf numFmtId="0" fontId="45" fillId="33" borderId="34" xfId="44" applyFont="1" applyFill="1" applyBorder="1" applyAlignment="1">
      <alignment horizontal="left" vertical="top"/>
    </xf>
    <xf numFmtId="0" fontId="45" fillId="33" borderId="79" xfId="44" applyFont="1" applyFill="1" applyBorder="1" applyAlignment="1">
      <alignment horizontal="left" vertical="top"/>
    </xf>
    <xf numFmtId="0" fontId="45" fillId="33" borderId="27" xfId="44" applyFont="1" applyFill="1" applyBorder="1" applyAlignment="1">
      <alignment horizontal="left" vertical="top"/>
    </xf>
    <xf numFmtId="0" fontId="45" fillId="33" borderId="73" xfId="44" applyFont="1" applyFill="1" applyBorder="1" applyAlignment="1">
      <alignment horizontal="left" vertical="top"/>
    </xf>
    <xf numFmtId="0" fontId="45" fillId="33" borderId="63" xfId="44" quotePrefix="1" applyFont="1" applyFill="1" applyBorder="1" applyAlignment="1">
      <alignment horizontal="left" vertical="top"/>
    </xf>
    <xf numFmtId="165" fontId="44" fillId="0" borderId="13" xfId="0" applyNumberFormat="1" applyFont="1" applyBorder="1" applyAlignment="1">
      <alignment horizontal="left" vertical="top"/>
    </xf>
    <xf numFmtId="0" fontId="44" fillId="0" borderId="38" xfId="0" applyFont="1" applyBorder="1" applyAlignment="1">
      <alignment horizontal="left" vertical="top" wrapText="1"/>
    </xf>
    <xf numFmtId="0" fontId="31" fillId="5" borderId="50" xfId="44" applyFont="1" applyBorder="1" applyAlignment="1">
      <alignment horizontal="left" vertical="top"/>
    </xf>
    <xf numFmtId="0" fontId="31" fillId="5" borderId="30" xfId="44" applyFont="1" applyBorder="1" applyAlignment="1">
      <alignment horizontal="left" vertical="top"/>
    </xf>
    <xf numFmtId="0" fontId="58" fillId="33" borderId="74" xfId="44" quotePrefix="1" applyFont="1" applyFill="1" applyBorder="1" applyAlignment="1">
      <alignment horizontal="left" vertical="top"/>
    </xf>
    <xf numFmtId="0" fontId="18" fillId="5" borderId="27" xfId="44" applyFont="1" applyBorder="1" applyAlignment="1">
      <alignment horizontal="left" vertical="top"/>
    </xf>
    <xf numFmtId="0" fontId="23" fillId="33" borderId="56" xfId="44" quotePrefix="1" applyFont="1" applyFill="1" applyBorder="1" applyAlignment="1">
      <alignment horizontal="left" vertical="top"/>
    </xf>
    <xf numFmtId="0" fontId="23" fillId="33" borderId="55" xfId="44" quotePrefix="1" applyFont="1" applyFill="1" applyBorder="1" applyAlignment="1">
      <alignment horizontal="left" vertical="top"/>
    </xf>
    <xf numFmtId="0" fontId="31" fillId="5" borderId="40" xfId="44" applyFont="1" applyBorder="1" applyAlignment="1">
      <alignment horizontal="left" vertical="top" wrapText="1"/>
    </xf>
    <xf numFmtId="0" fontId="31" fillId="5" borderId="24" xfId="44" applyFont="1" applyBorder="1" applyAlignment="1">
      <alignment horizontal="left" vertical="top" wrapText="1"/>
    </xf>
    <xf numFmtId="0" fontId="23" fillId="33" borderId="64" xfId="44" quotePrefix="1" applyFont="1" applyFill="1" applyBorder="1" applyAlignment="1">
      <alignment horizontal="left" vertical="top"/>
    </xf>
    <xf numFmtId="2" fontId="23" fillId="0" borderId="0" xfId="0" applyNumberFormat="1" applyFont="1" applyBorder="1" applyAlignment="1">
      <alignment horizontal="left" vertical="top"/>
    </xf>
    <xf numFmtId="0" fontId="23" fillId="33" borderId="50" xfId="44" applyFont="1" applyFill="1" applyBorder="1" applyAlignment="1">
      <alignment horizontal="left" vertical="top"/>
    </xf>
    <xf numFmtId="0" fontId="23" fillId="33" borderId="25" xfId="44" applyFont="1" applyFill="1" applyBorder="1" applyAlignment="1">
      <alignment horizontal="left" vertical="top"/>
    </xf>
    <xf numFmtId="0" fontId="23" fillId="33" borderId="27" xfId="44" applyFont="1" applyFill="1" applyBorder="1" applyAlignment="1">
      <alignment horizontal="left" vertical="top"/>
    </xf>
    <xf numFmtId="2" fontId="18" fillId="0" borderId="38" xfId="0" applyNumberFormat="1" applyFont="1" applyBorder="1" applyAlignment="1">
      <alignment horizontal="left" vertical="top" wrapText="1"/>
    </xf>
    <xf numFmtId="0" fontId="18" fillId="0" borderId="0" xfId="0" applyFont="1" applyBorder="1" applyAlignment="1">
      <alignment wrapText="1"/>
    </xf>
    <xf numFmtId="0" fontId="31" fillId="5" borderId="25" xfId="44" applyFont="1" applyBorder="1" applyAlignment="1">
      <alignment horizontal="left" vertical="top"/>
    </xf>
    <xf numFmtId="0" fontId="37" fillId="0" borderId="10" xfId="0" applyFont="1" applyBorder="1" applyAlignment="1">
      <alignment horizontal="left" vertical="center" wrapText="1"/>
    </xf>
    <xf numFmtId="0" fontId="0" fillId="0" borderId="69" xfId="0" applyBorder="1" applyAlignment="1">
      <alignment vertical="center" wrapText="1"/>
    </xf>
    <xf numFmtId="0" fontId="21" fillId="0" borderId="18" xfId="0" applyFont="1" applyBorder="1"/>
    <xf numFmtId="0" fontId="21" fillId="0" borderId="19" xfId="0" applyFont="1" applyBorder="1" applyAlignment="1">
      <alignment horizontal="left" vertical="top"/>
    </xf>
    <xf numFmtId="0" fontId="18" fillId="0" borderId="81" xfId="0" applyFont="1" applyBorder="1" applyAlignment="1">
      <alignment horizontal="left" vertical="top" wrapText="1"/>
    </xf>
    <xf numFmtId="0" fontId="18" fillId="0" borderId="82" xfId="0" applyFont="1" applyBorder="1" applyAlignment="1">
      <alignment horizontal="left" vertical="top" wrapText="1"/>
    </xf>
    <xf numFmtId="0" fontId="18" fillId="0" borderId="82" xfId="0" applyFont="1" applyBorder="1" applyAlignment="1">
      <alignment horizontal="left" vertical="top"/>
    </xf>
    <xf numFmtId="0" fontId="18" fillId="0" borderId="84" xfId="0" applyFont="1" applyBorder="1" applyAlignment="1">
      <alignment horizontal="left" vertical="top"/>
    </xf>
    <xf numFmtId="165" fontId="23" fillId="33" borderId="11" xfId="0" applyNumberFormat="1" applyFont="1" applyFill="1" applyBorder="1" applyAlignment="1">
      <alignment horizontal="left" vertical="top"/>
    </xf>
    <xf numFmtId="0" fontId="23" fillId="33" borderId="12" xfId="0" quotePrefix="1" applyFont="1" applyFill="1" applyBorder="1" applyAlignment="1">
      <alignment horizontal="left" vertical="top"/>
    </xf>
    <xf numFmtId="0" fontId="31" fillId="5" borderId="4" xfId="44" applyAlignment="1">
      <alignment horizontal="left" vertical="top" wrapText="1"/>
    </xf>
    <xf numFmtId="14" fontId="31" fillId="5" borderId="4" xfId="44" applyNumberFormat="1" applyAlignment="1">
      <alignment horizontal="left" vertical="top" wrapText="1"/>
    </xf>
    <xf numFmtId="0" fontId="21" fillId="0" borderId="36" xfId="0" applyFont="1" applyBorder="1" applyAlignment="1">
      <alignment horizontal="left" vertical="top" wrapText="1"/>
    </xf>
    <xf numFmtId="0" fontId="6" fillId="2" borderId="0" xfId="6" applyBorder="1" applyAlignment="1">
      <alignment horizontal="left" vertical="top"/>
    </xf>
    <xf numFmtId="0" fontId="6" fillId="2" borderId="0" xfId="6" applyBorder="1" applyAlignment="1">
      <alignment horizontal="right" vertical="top"/>
    </xf>
    <xf numFmtId="0" fontId="7" fillId="3" borderId="0" xfId="7" applyBorder="1" applyAlignment="1">
      <alignment horizontal="left" vertical="top"/>
    </xf>
    <xf numFmtId="0" fontId="7" fillId="3" borderId="0" xfId="7" applyBorder="1" applyAlignment="1">
      <alignment horizontal="right" vertical="top"/>
    </xf>
    <xf numFmtId="0" fontId="23" fillId="33" borderId="85" xfId="44" quotePrefix="1" applyFont="1" applyFill="1" applyBorder="1" applyAlignment="1">
      <alignment horizontal="left" vertical="top"/>
    </xf>
    <xf numFmtId="165" fontId="23" fillId="33" borderId="14" xfId="0" applyNumberFormat="1" applyFont="1" applyFill="1" applyBorder="1" applyAlignment="1">
      <alignment horizontal="left" vertical="top"/>
    </xf>
    <xf numFmtId="0" fontId="18" fillId="40" borderId="82" xfId="0" applyFont="1" applyFill="1" applyBorder="1" applyAlignment="1">
      <alignment horizontal="left" vertical="top"/>
    </xf>
    <xf numFmtId="0" fontId="20" fillId="40" borderId="13" xfId="0" applyFont="1" applyFill="1" applyBorder="1" applyAlignment="1">
      <alignment horizontal="left" vertical="top" wrapText="1"/>
    </xf>
    <xf numFmtId="2" fontId="18" fillId="0" borderId="0" xfId="0" applyNumberFormat="1" applyFont="1" applyAlignment="1">
      <alignment horizontal="left" vertical="top"/>
    </xf>
    <xf numFmtId="0" fontId="24" fillId="0" borderId="0" xfId="0" applyFont="1" applyAlignment="1">
      <alignment horizontal="left" vertical="top" wrapText="1"/>
    </xf>
    <xf numFmtId="0" fontId="23" fillId="0" borderId="0" xfId="0" applyFont="1" applyAlignment="1">
      <alignment horizontal="left" vertical="top"/>
    </xf>
    <xf numFmtId="0" fontId="22" fillId="0" borderId="0" xfId="0" applyFont="1" applyAlignment="1">
      <alignment horizontal="left" vertical="top"/>
    </xf>
    <xf numFmtId="0" fontId="49" fillId="0" borderId="19" xfId="0" applyFont="1" applyBorder="1" applyAlignment="1">
      <alignment horizontal="left" vertical="top"/>
    </xf>
    <xf numFmtId="0" fontId="31" fillId="5" borderId="26" xfId="44" applyBorder="1" applyAlignment="1">
      <alignment horizontal="left" vertical="top"/>
    </xf>
    <xf numFmtId="0" fontId="31" fillId="5" borderId="40" xfId="44" applyBorder="1" applyAlignment="1">
      <alignment horizontal="left" vertical="top"/>
    </xf>
    <xf numFmtId="0" fontId="20" fillId="0" borderId="0" xfId="0" applyFont="1" applyAlignment="1">
      <alignment wrapText="1"/>
    </xf>
    <xf numFmtId="0" fontId="32" fillId="33" borderId="0" xfId="0" quotePrefix="1" applyFont="1" applyFill="1" applyAlignment="1">
      <alignment horizontal="left" vertical="top"/>
    </xf>
    <xf numFmtId="0" fontId="31" fillId="5" borderId="24" xfId="44" applyBorder="1" applyAlignment="1">
      <alignment horizontal="left" vertical="top"/>
    </xf>
    <xf numFmtId="0" fontId="18" fillId="0" borderId="0" xfId="0" applyFont="1" applyAlignment="1">
      <alignment wrapText="1"/>
    </xf>
    <xf numFmtId="0" fontId="20" fillId="0" borderId="0" xfId="0" applyFont="1" applyAlignment="1">
      <alignment horizontal="left" vertical="top"/>
    </xf>
    <xf numFmtId="2" fontId="32" fillId="33" borderId="0" xfId="0" quotePrefix="1" applyNumberFormat="1" applyFont="1" applyFill="1" applyAlignment="1">
      <alignment horizontal="left" vertical="top"/>
    </xf>
    <xf numFmtId="0" fontId="18" fillId="0" borderId="0" xfId="0" applyFont="1" applyAlignment="1">
      <alignment horizontal="left" vertical="top"/>
    </xf>
    <xf numFmtId="0" fontId="31" fillId="5" borderId="25" xfId="44" applyBorder="1" applyAlignment="1">
      <alignment horizontal="left" vertical="top"/>
    </xf>
    <xf numFmtId="0" fontId="23" fillId="33" borderId="80" xfId="0" quotePrefix="1" applyFont="1" applyFill="1" applyBorder="1" applyAlignment="1">
      <alignment horizontal="left" vertical="top"/>
    </xf>
    <xf numFmtId="0" fontId="22" fillId="40" borderId="22" xfId="0" applyFont="1" applyFill="1" applyBorder="1" applyAlignment="1">
      <alignment horizontal="left" vertical="top" wrapText="1"/>
    </xf>
    <xf numFmtId="0" fontId="23" fillId="40" borderId="23" xfId="0" applyFont="1" applyFill="1" applyBorder="1" applyAlignment="1">
      <alignment horizontal="left" vertical="top"/>
    </xf>
    <xf numFmtId="0" fontId="31" fillId="5" borderId="83" xfId="44" applyBorder="1" applyAlignment="1">
      <alignment horizontal="left" vertical="top"/>
    </xf>
    <xf numFmtId="0" fontId="20" fillId="40" borderId="0" xfId="0" applyFont="1" applyFill="1" applyAlignment="1">
      <alignment horizontal="left" vertical="top" wrapText="1"/>
    </xf>
    <xf numFmtId="0" fontId="31" fillId="5" borderId="34" xfId="44" applyBorder="1" applyAlignment="1">
      <alignment horizontal="left" vertical="top"/>
    </xf>
    <xf numFmtId="0" fontId="31" fillId="5" borderId="27" xfId="44" applyBorder="1" applyAlignment="1">
      <alignment horizontal="left" vertical="top"/>
    </xf>
    <xf numFmtId="0" fontId="26" fillId="0" borderId="0" xfId="0" applyFont="1" applyAlignment="1">
      <alignment horizontal="left" vertical="top"/>
    </xf>
    <xf numFmtId="0" fontId="26" fillId="0" borderId="0" xfId="0" applyFont="1" applyAlignment="1">
      <alignment vertical="top" wrapText="1"/>
    </xf>
    <xf numFmtId="0" fontId="51" fillId="0" borderId="0" xfId="0" applyFont="1" applyAlignment="1">
      <alignment horizontal="left" vertical="top"/>
    </xf>
    <xf numFmtId="0" fontId="52" fillId="0" borderId="0" xfId="0" applyFont="1" applyAlignment="1">
      <alignment horizontal="left" vertical="top"/>
    </xf>
    <xf numFmtId="0" fontId="25" fillId="0" borderId="0" xfId="0" applyFont="1" applyAlignment="1">
      <alignment horizontal="left" vertical="top"/>
    </xf>
    <xf numFmtId="0" fontId="51" fillId="0" borderId="0" xfId="0" applyFont="1" applyAlignment="1">
      <alignment horizontal="left" vertical="top" wrapText="1"/>
    </xf>
    <xf numFmtId="0" fontId="20" fillId="0" borderId="0" xfId="0" applyFont="1" applyAlignment="1">
      <alignment vertical="top" wrapText="1"/>
    </xf>
    <xf numFmtId="0" fontId="31" fillId="5" borderId="4" xfId="44" applyAlignment="1">
      <alignment horizontal="left" vertical="top"/>
    </xf>
    <xf numFmtId="2" fontId="44" fillId="0" borderId="0" xfId="0" applyNumberFormat="1" applyFont="1" applyAlignment="1">
      <alignment horizontal="left" vertical="top" wrapText="1"/>
    </xf>
    <xf numFmtId="0" fontId="31" fillId="38" borderId="34" xfId="44" applyFill="1" applyBorder="1" applyAlignment="1">
      <alignment horizontal="left" vertical="top"/>
    </xf>
    <xf numFmtId="14" fontId="20" fillId="0" borderId="0" xfId="0" applyNumberFormat="1" applyFont="1" applyAlignment="1">
      <alignment horizontal="left" vertical="top"/>
    </xf>
    <xf numFmtId="1" fontId="30" fillId="0" borderId="10" xfId="0" applyNumberFormat="1" applyFont="1" applyBorder="1" applyAlignment="1">
      <alignment horizontal="left" vertical="top" wrapText="1"/>
    </xf>
    <xf numFmtId="0" fontId="20" fillId="0" borderId="0" xfId="0" applyFont="1" applyAlignment="1">
      <alignment vertical="top"/>
    </xf>
    <xf numFmtId="1" fontId="61" fillId="0" borderId="10" xfId="0" applyNumberFormat="1" applyFont="1" applyBorder="1" applyAlignment="1">
      <alignment horizontal="left" vertical="top"/>
    </xf>
    <xf numFmtId="0" fontId="23" fillId="0" borderId="0" xfId="0" applyFont="1" applyAlignment="1">
      <alignment horizontal="left" vertical="top" wrapText="1"/>
    </xf>
    <xf numFmtId="0" fontId="23" fillId="35" borderId="0" xfId="0" applyFont="1" applyFill="1" applyAlignment="1">
      <alignment horizontal="left" vertical="top" wrapText="1"/>
    </xf>
    <xf numFmtId="0" fontId="22" fillId="35" borderId="0" xfId="0" applyFont="1" applyFill="1" applyAlignment="1">
      <alignment horizontal="left" vertical="top" wrapText="1"/>
    </xf>
    <xf numFmtId="0" fontId="24" fillId="0" borderId="0" xfId="0" applyFont="1" applyAlignment="1">
      <alignment horizontal="left" vertical="top"/>
    </xf>
    <xf numFmtId="0" fontId="22" fillId="0" borderId="0" xfId="0" applyFont="1" applyAlignment="1">
      <alignment horizontal="left" vertical="top" wrapText="1"/>
    </xf>
    <xf numFmtId="0" fontId="18" fillId="0" borderId="0" xfId="0" applyFont="1" applyAlignment="1">
      <alignment horizontal="left" vertical="top" wrapText="1"/>
    </xf>
    <xf numFmtId="0" fontId="31" fillId="33" borderId="27" xfId="44" quotePrefix="1" applyFill="1" applyBorder="1" applyAlignment="1">
      <alignment horizontal="left" vertical="top"/>
    </xf>
    <xf numFmtId="0" fontId="25" fillId="0" borderId="0" xfId="0" applyFont="1" applyAlignment="1">
      <alignment horizontal="left" vertical="top" wrapText="1"/>
    </xf>
    <xf numFmtId="0" fontId="21" fillId="0" borderId="0" xfId="0" applyFont="1" applyAlignment="1">
      <alignment horizontal="left" vertical="top"/>
    </xf>
    <xf numFmtId="0" fontId="20" fillId="0" borderId="86" xfId="0" applyFont="1" applyBorder="1" applyAlignment="1">
      <alignment horizontal="left" vertical="top"/>
    </xf>
    <xf numFmtId="0" fontId="20" fillId="0" borderId="87" xfId="0" applyFont="1" applyBorder="1" applyAlignment="1">
      <alignment horizontal="left" vertical="top"/>
    </xf>
    <xf numFmtId="0" fontId="26" fillId="0" borderId="0" xfId="0" applyFont="1" applyAlignment="1">
      <alignment horizontal="left" vertical="top" wrapText="1"/>
    </xf>
    <xf numFmtId="0" fontId="26" fillId="0" borderId="16" xfId="0" applyFont="1" applyBorder="1" applyAlignment="1">
      <alignment horizontal="left" vertical="top"/>
    </xf>
    <xf numFmtId="0" fontId="14" fillId="0" borderId="22" xfId="0" applyFont="1" applyBorder="1"/>
    <xf numFmtId="0" fontId="23" fillId="33" borderId="88" xfId="44" quotePrefix="1" applyFont="1" applyFill="1" applyBorder="1" applyAlignment="1">
      <alignment horizontal="left" vertical="top"/>
    </xf>
    <xf numFmtId="0" fontId="21" fillId="0" borderId="13" xfId="0" applyFont="1" applyBorder="1" applyAlignment="1">
      <alignment horizontal="left" vertical="top" wrapText="1"/>
    </xf>
    <xf numFmtId="166" fontId="44" fillId="0" borderId="0" xfId="0" applyNumberFormat="1" applyFont="1" applyAlignment="1">
      <alignment horizontal="left" vertical="top" wrapText="1"/>
    </xf>
    <xf numFmtId="0" fontId="23" fillId="33" borderId="89" xfId="44" quotePrefix="1" applyFont="1" applyFill="1" applyBorder="1" applyAlignment="1">
      <alignment horizontal="left" vertical="top"/>
    </xf>
    <xf numFmtId="0" fontId="31" fillId="34" borderId="0" xfId="44" applyFill="1" applyBorder="1" applyAlignment="1">
      <alignment horizontal="left" vertical="top"/>
    </xf>
    <xf numFmtId="166" fontId="44" fillId="34" borderId="0" xfId="0" applyNumberFormat="1" applyFont="1" applyFill="1" applyAlignment="1">
      <alignment horizontal="left" vertical="top" wrapText="1"/>
    </xf>
    <xf numFmtId="0" fontId="20" fillId="34" borderId="11" xfId="0" applyFont="1" applyFill="1" applyBorder="1" applyAlignment="1">
      <alignment horizontal="left" vertical="top" wrapText="1"/>
    </xf>
    <xf numFmtId="0" fontId="18" fillId="0" borderId="0" xfId="0" applyFont="1" applyAlignment="1">
      <alignment vertical="top" wrapText="1"/>
    </xf>
    <xf numFmtId="0" fontId="23" fillId="36" borderId="0" xfId="0" applyFont="1" applyFill="1" applyAlignment="1">
      <alignment horizontal="left" vertical="top" wrapText="1"/>
    </xf>
    <xf numFmtId="0" fontId="22" fillId="36" borderId="0" xfId="0" applyFont="1" applyFill="1" applyAlignment="1">
      <alignment horizontal="left" vertical="top" wrapText="1"/>
    </xf>
    <xf numFmtId="0" fontId="31" fillId="33" borderId="24" xfId="44" quotePrefix="1" applyFill="1" applyBorder="1" applyAlignment="1">
      <alignment horizontal="left" vertical="top"/>
    </xf>
    <xf numFmtId="165" fontId="18" fillId="0" borderId="0" xfId="0" applyNumberFormat="1" applyFont="1" applyAlignment="1">
      <alignment horizontal="left" vertical="top" wrapText="1"/>
    </xf>
    <xf numFmtId="165" fontId="18" fillId="0" borderId="13" xfId="0" applyNumberFormat="1" applyFont="1" applyBorder="1" applyAlignment="1">
      <alignment horizontal="left" vertical="top" wrapText="1"/>
    </xf>
    <xf numFmtId="166" fontId="44" fillId="0" borderId="13" xfId="0" applyNumberFormat="1" applyFont="1" applyBorder="1" applyAlignment="1">
      <alignment horizontal="left" vertical="top" wrapText="1"/>
    </xf>
    <xf numFmtId="0" fontId="31" fillId="33" borderId="25" xfId="44" applyFill="1" applyBorder="1" applyAlignment="1">
      <alignment horizontal="left" vertical="top"/>
    </xf>
    <xf numFmtId="0" fontId="31" fillId="33" borderId="24" xfId="44" applyFill="1" applyBorder="1" applyAlignment="1">
      <alignment horizontal="left" vertical="top"/>
    </xf>
    <xf numFmtId="2" fontId="61" fillId="0" borderId="0" xfId="0" applyNumberFormat="1" applyFont="1" applyAlignment="1">
      <alignment horizontal="left" vertical="top"/>
    </xf>
    <xf numFmtId="0" fontId="31" fillId="33" borderId="27" xfId="44" applyFill="1" applyBorder="1" applyAlignment="1">
      <alignment horizontal="left" vertical="top"/>
    </xf>
    <xf numFmtId="0" fontId="22" fillId="0" borderId="0" xfId="0" applyFont="1" applyAlignment="1">
      <alignment vertical="top" wrapText="1"/>
    </xf>
    <xf numFmtId="0" fontId="6" fillId="2" borderId="10" xfId="6" applyBorder="1" applyAlignment="1">
      <alignment horizontal="left" vertical="center" wrapText="1" readingOrder="1"/>
    </xf>
    <xf numFmtId="0" fontId="67" fillId="0" borderId="10" xfId="0" applyFont="1" applyBorder="1" applyAlignment="1">
      <alignment horizontal="left" vertical="center" wrapText="1" readingOrder="1"/>
    </xf>
    <xf numFmtId="0" fontId="23" fillId="33" borderId="24" xfId="44" applyFont="1" applyFill="1" applyBorder="1" applyAlignment="1">
      <alignment horizontal="left" vertical="top"/>
    </xf>
    <xf numFmtId="0" fontId="16" fillId="0" borderId="1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68" xfId="0" applyFont="1" applyBorder="1" applyAlignment="1">
      <alignment horizontal="center" vertical="center" wrapText="1"/>
    </xf>
    <xf numFmtId="0" fontId="20" fillId="0" borderId="53" xfId="0" applyFont="1" applyBorder="1" applyAlignment="1">
      <alignment horizontal="left" vertical="top" wrapText="1"/>
    </xf>
    <xf numFmtId="0" fontId="20" fillId="0" borderId="69" xfId="0" applyFont="1" applyBorder="1" applyAlignment="1">
      <alignment horizontal="left" vertical="top"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Input 2" xfId="44"/>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C000"/>
        </patternFill>
      </fill>
    </dxf>
  </dxfs>
  <tableStyles count="0" defaultTableStyle="TableStyleMedium2" defaultPivotStyle="PivotStyleLight16"/>
  <colors>
    <mruColors>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
  <sheetViews>
    <sheetView workbookViewId="0">
      <selection activeCell="J10" sqref="J10"/>
    </sheetView>
  </sheetViews>
  <sheetFormatPr defaultRowHeight="14.4" x14ac:dyDescent="0.3"/>
  <cols>
    <col min="2" max="2" width="14.33203125" bestFit="1" customWidth="1"/>
    <col min="3" max="3" width="22.6640625" bestFit="1" customWidth="1"/>
    <col min="4" max="5" width="2.6640625" customWidth="1"/>
    <col min="6" max="6" width="19.88671875" bestFit="1" customWidth="1"/>
    <col min="9" max="9" width="23.44140625" customWidth="1"/>
  </cols>
  <sheetData>
    <row r="1" spans="1:24" s="17" customFormat="1" ht="13.8" x14ac:dyDescent="0.3">
      <c r="A1" s="54"/>
      <c r="B1" s="54" t="s">
        <v>5</v>
      </c>
      <c r="C1" s="55"/>
      <c r="D1" s="54"/>
      <c r="E1" s="53"/>
      <c r="F1" s="55" t="s">
        <v>6</v>
      </c>
      <c r="G1" s="54"/>
      <c r="H1" s="54"/>
      <c r="I1" s="29"/>
      <c r="J1" s="54"/>
      <c r="K1" s="54"/>
      <c r="L1" s="55"/>
      <c r="M1" s="54"/>
      <c r="N1" s="54"/>
      <c r="O1" s="55"/>
      <c r="P1" s="54"/>
      <c r="Q1" s="54"/>
      <c r="R1" s="55"/>
      <c r="S1" s="54"/>
      <c r="T1" s="54"/>
      <c r="U1" s="55"/>
      <c r="V1" s="54"/>
      <c r="W1" s="54"/>
      <c r="X1" s="55"/>
    </row>
    <row r="2" spans="1:24" s="17" customFormat="1" ht="13.8" x14ac:dyDescent="0.3">
      <c r="A2" s="54"/>
      <c r="B2" s="54" t="s">
        <v>0</v>
      </c>
      <c r="C2" s="55"/>
      <c r="D2" s="54"/>
      <c r="E2" s="54"/>
      <c r="F2" s="55" t="s">
        <v>8</v>
      </c>
      <c r="G2" s="54"/>
      <c r="H2" s="54"/>
      <c r="I2" s="942" t="s">
        <v>1462</v>
      </c>
      <c r="J2" s="54"/>
      <c r="K2" s="54"/>
      <c r="L2" s="55"/>
      <c r="M2" s="54"/>
      <c r="N2" s="54"/>
      <c r="O2" s="55"/>
      <c r="P2" s="54"/>
      <c r="Q2" s="54"/>
      <c r="R2" s="55"/>
      <c r="S2" s="54"/>
      <c r="T2" s="54"/>
      <c r="U2" s="55"/>
      <c r="V2" s="54"/>
      <c r="W2" s="54"/>
      <c r="X2" s="55"/>
    </row>
    <row r="3" spans="1:24" s="17" customFormat="1" ht="27.6" x14ac:dyDescent="0.3">
      <c r="A3" s="54"/>
      <c r="B3" s="54" t="s">
        <v>1</v>
      </c>
      <c r="C3" s="55"/>
      <c r="D3" s="54"/>
      <c r="E3" s="53"/>
      <c r="F3" s="55" t="s">
        <v>110</v>
      </c>
      <c r="G3" s="54"/>
      <c r="H3" s="54"/>
      <c r="I3" s="942" t="s">
        <v>1541</v>
      </c>
      <c r="J3" s="54"/>
      <c r="K3" s="54"/>
      <c r="L3" s="55"/>
      <c r="M3" s="54"/>
      <c r="N3" s="54"/>
      <c r="O3" s="55"/>
      <c r="P3" s="54"/>
      <c r="Q3" s="54"/>
      <c r="R3" s="55"/>
      <c r="S3" s="54"/>
      <c r="T3" s="54"/>
      <c r="U3" s="55"/>
      <c r="V3" s="54"/>
      <c r="W3" s="54"/>
      <c r="X3" s="55"/>
    </row>
    <row r="4" spans="1:24" s="17" customFormat="1" ht="13.8" x14ac:dyDescent="0.3">
      <c r="A4" s="54"/>
      <c r="B4" s="54" t="s">
        <v>54</v>
      </c>
      <c r="C4" s="55"/>
      <c r="D4" s="54"/>
      <c r="E4" s="53"/>
      <c r="F4" s="55" t="s">
        <v>7</v>
      </c>
      <c r="G4" s="54"/>
      <c r="H4" s="53"/>
      <c r="I4" s="942" t="s">
        <v>1542</v>
      </c>
      <c r="J4" s="54"/>
      <c r="K4" s="5"/>
      <c r="L4" s="55"/>
      <c r="M4" s="54"/>
      <c r="N4" s="54"/>
      <c r="O4" s="55"/>
      <c r="P4" s="54"/>
      <c r="Q4" s="54"/>
      <c r="R4" s="55"/>
      <c r="S4" s="54"/>
      <c r="T4" s="54"/>
      <c r="U4" s="9"/>
      <c r="V4" s="54"/>
      <c r="W4" s="54"/>
      <c r="X4" s="9"/>
    </row>
    <row r="5" spans="1:24" s="17" customFormat="1" ht="13.8" x14ac:dyDescent="0.3">
      <c r="A5" s="54"/>
      <c r="B5" s="54"/>
      <c r="C5" s="55"/>
      <c r="D5" s="54"/>
      <c r="E5" s="53"/>
      <c r="F5" s="55" t="s">
        <v>2</v>
      </c>
      <c r="G5" s="54"/>
      <c r="H5" s="53"/>
      <c r="I5" s="943">
        <v>43754</v>
      </c>
      <c r="J5" s="54"/>
      <c r="K5" s="54"/>
      <c r="L5" s="55"/>
      <c r="M5" s="54"/>
      <c r="N5" s="54"/>
      <c r="O5" s="55"/>
      <c r="P5" s="54"/>
      <c r="Q5" s="54"/>
      <c r="R5" s="55"/>
      <c r="S5" s="54"/>
      <c r="T5" s="54"/>
      <c r="U5" s="55"/>
      <c r="V5" s="54"/>
      <c r="W5" s="54"/>
      <c r="X5" s="55"/>
    </row>
    <row r="6" spans="1:24" s="17" customFormat="1" ht="13.8" x14ac:dyDescent="0.3">
      <c r="A6" s="54"/>
      <c r="B6" s="54"/>
      <c r="C6" s="55"/>
      <c r="D6" s="54"/>
      <c r="E6" s="53"/>
      <c r="F6" s="55" t="s">
        <v>3</v>
      </c>
      <c r="G6" s="54"/>
      <c r="H6" s="53"/>
      <c r="I6" s="942" t="s">
        <v>1543</v>
      </c>
      <c r="J6" s="54"/>
      <c r="K6" s="54"/>
      <c r="L6" s="55"/>
      <c r="M6" s="54"/>
      <c r="N6" s="54"/>
      <c r="O6" s="55"/>
      <c r="P6" s="54"/>
      <c r="Q6" s="54"/>
      <c r="R6" s="55"/>
      <c r="S6" s="54"/>
      <c r="T6" s="54"/>
      <c r="U6" s="55"/>
      <c r="V6" s="54"/>
      <c r="W6" s="54"/>
      <c r="X6" s="5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2:K30"/>
  <sheetViews>
    <sheetView zoomScale="85" zoomScaleNormal="85" workbookViewId="0"/>
  </sheetViews>
  <sheetFormatPr defaultColWidth="9.109375" defaultRowHeight="13.8" x14ac:dyDescent="0.3"/>
  <cols>
    <col min="1" max="1" width="3.6640625" style="369" customWidth="1"/>
    <col min="2" max="2" width="20.6640625" style="85" customWidth="1"/>
    <col min="3" max="3" width="32" style="85" customWidth="1"/>
    <col min="4" max="4" width="2.6640625" style="369" customWidth="1"/>
    <col min="5" max="5" width="28.109375" style="371" bestFit="1" customWidth="1"/>
    <col min="6" max="6" width="2.6640625" style="378" customWidth="1"/>
    <col min="7" max="7" width="27.109375" style="371" customWidth="1"/>
    <col min="8" max="8" width="2.6640625" style="378" customWidth="1"/>
    <col min="9" max="9" width="20.6640625" style="371" customWidth="1"/>
    <col min="10" max="10" width="2.109375" style="378" bestFit="1" customWidth="1"/>
    <col min="11" max="11" width="20.5546875" style="378" customWidth="1"/>
    <col min="12" max="12" width="2.109375" style="378" bestFit="1" customWidth="1"/>
    <col min="13" max="13" width="22" style="378" customWidth="1"/>
    <col min="14" max="14" width="2.109375" style="378" bestFit="1" customWidth="1"/>
    <col min="15" max="15" width="24.88671875" style="378" bestFit="1" customWidth="1"/>
    <col min="16" max="16384" width="9.109375" style="378"/>
  </cols>
  <sheetData>
    <row r="2" spans="1:11" s="369" customFormat="1" x14ac:dyDescent="0.3">
      <c r="B2" s="567" t="s">
        <v>5</v>
      </c>
      <c r="C2" s="567"/>
      <c r="D2" s="567"/>
      <c r="E2" s="567" t="s">
        <v>6</v>
      </c>
      <c r="J2" s="567"/>
      <c r="K2" s="568" t="s">
        <v>1101</v>
      </c>
    </row>
    <row r="3" spans="1:11" s="369" customFormat="1" x14ac:dyDescent="0.3">
      <c r="B3" s="369" t="s">
        <v>0</v>
      </c>
      <c r="C3" s="89" t="s">
        <v>1088</v>
      </c>
      <c r="E3" s="369" t="s">
        <v>8</v>
      </c>
      <c r="G3" s="89"/>
      <c r="H3" s="403"/>
      <c r="J3" s="569"/>
      <c r="K3" s="369" t="s">
        <v>1102</v>
      </c>
    </row>
    <row r="4" spans="1:11" s="369" customFormat="1" x14ac:dyDescent="0.3">
      <c r="B4" s="369" t="s">
        <v>1</v>
      </c>
      <c r="C4" s="369" t="str">
        <f>C3&amp;".cibd16"</f>
        <v>080006S-Whse-Run08.cibd16</v>
      </c>
      <c r="E4" s="369" t="s">
        <v>110</v>
      </c>
      <c r="G4" s="369" t="str">
        <f>'Documentation Main Sheet'!I3</f>
        <v>Release package</v>
      </c>
      <c r="H4" s="403"/>
      <c r="J4" s="570">
        <v>1</v>
      </c>
      <c r="K4" s="378" t="s">
        <v>1103</v>
      </c>
    </row>
    <row r="5" spans="1:11" s="369" customFormat="1" x14ac:dyDescent="0.3">
      <c r="B5" s="369" t="s">
        <v>54</v>
      </c>
      <c r="C5" s="369" t="s">
        <v>56</v>
      </c>
      <c r="E5" s="369" t="s">
        <v>7</v>
      </c>
      <c r="G5" s="369" t="str">
        <f>'Documentation Main Sheet'!I4</f>
        <v>CBECC-Com 209.1.0 release</v>
      </c>
      <c r="H5" s="403"/>
      <c r="J5" s="571">
        <v>1</v>
      </c>
      <c r="K5" s="378" t="s">
        <v>1103</v>
      </c>
    </row>
    <row r="6" spans="1:11" s="369" customFormat="1" x14ac:dyDescent="0.3">
      <c r="B6" s="369" t="s">
        <v>390</v>
      </c>
      <c r="C6" s="85" t="s">
        <v>398</v>
      </c>
      <c r="E6" s="369" t="s">
        <v>2</v>
      </c>
      <c r="G6" s="62"/>
      <c r="H6" s="404"/>
      <c r="J6" s="572">
        <v>1</v>
      </c>
      <c r="K6" s="381" t="s">
        <v>1104</v>
      </c>
    </row>
    <row r="7" spans="1:11" s="369" customFormat="1" x14ac:dyDescent="0.3">
      <c r="B7" s="369" t="s">
        <v>432</v>
      </c>
      <c r="C7" s="85" t="s">
        <v>139</v>
      </c>
      <c r="E7" s="369" t="s">
        <v>3</v>
      </c>
      <c r="G7" s="369" t="str">
        <f>'Documentation Main Sheet'!I6</f>
        <v>Jireh Peng</v>
      </c>
      <c r="H7" s="403"/>
      <c r="J7" s="573">
        <v>1</v>
      </c>
      <c r="K7" s="378" t="s">
        <v>1105</v>
      </c>
    </row>
    <row r="8" spans="1:11" s="369" customFormat="1" x14ac:dyDescent="0.3">
      <c r="B8" s="369" t="s">
        <v>952</v>
      </c>
      <c r="C8" s="85" t="s">
        <v>953</v>
      </c>
      <c r="J8" s="796">
        <v>1</v>
      </c>
      <c r="K8" s="369" t="s">
        <v>1396</v>
      </c>
    </row>
    <row r="9" spans="1:11" s="369" customFormat="1" x14ac:dyDescent="0.3">
      <c r="B9" s="85"/>
      <c r="C9" s="85"/>
      <c r="E9" s="85"/>
      <c r="G9" s="85"/>
      <c r="I9" s="85"/>
    </row>
    <row r="10" spans="1:11" s="86" customFormat="1" x14ac:dyDescent="0.3">
      <c r="A10" s="286"/>
      <c r="B10" s="308" t="s">
        <v>37</v>
      </c>
      <c r="C10" s="308"/>
      <c r="D10" s="287"/>
      <c r="E10" s="288"/>
      <c r="F10" s="286"/>
      <c r="G10" s="288"/>
      <c r="H10" s="286"/>
      <c r="I10" s="288"/>
      <c r="J10" s="288"/>
      <c r="K10" s="288"/>
    </row>
    <row r="11" spans="1:11" s="82" customFormat="1" x14ac:dyDescent="0.3">
      <c r="A11" s="26"/>
      <c r="B11" s="44" t="s">
        <v>403</v>
      </c>
      <c r="C11" s="84"/>
      <c r="D11" s="84"/>
      <c r="E11" s="64"/>
      <c r="F11" s="84"/>
      <c r="G11" s="64"/>
      <c r="H11" s="84"/>
      <c r="I11" s="64"/>
    </row>
    <row r="12" spans="1:11" s="369" customFormat="1" x14ac:dyDescent="0.3">
      <c r="B12" s="77" t="s">
        <v>18</v>
      </c>
      <c r="C12" s="77"/>
      <c r="D12" s="83"/>
      <c r="E12" s="29"/>
      <c r="F12" s="82"/>
      <c r="G12" s="29"/>
      <c r="H12" s="82"/>
      <c r="I12" s="25"/>
    </row>
    <row r="13" spans="1:11" s="83" customFormat="1" ht="27.6" x14ac:dyDescent="0.3">
      <c r="B13" s="108" t="s">
        <v>137</v>
      </c>
      <c r="C13" s="108"/>
      <c r="D13" s="216"/>
      <c r="E13" s="109" t="s">
        <v>590</v>
      </c>
      <c r="F13" s="34"/>
      <c r="G13" s="77"/>
      <c r="H13" s="34"/>
      <c r="I13" s="77"/>
    </row>
    <row r="14" spans="1:11" s="369" customFormat="1" ht="14.4" thickBot="1" x14ac:dyDescent="0.35">
      <c r="B14" s="212"/>
      <c r="C14" s="212"/>
      <c r="D14" s="236"/>
      <c r="E14" s="143" t="s">
        <v>156</v>
      </c>
      <c r="F14" s="82"/>
      <c r="G14" s="29"/>
      <c r="H14" s="82"/>
      <c r="I14" s="25"/>
    </row>
    <row r="15" spans="1:11" ht="14.4" thickTop="1" x14ac:dyDescent="0.3">
      <c r="A15" s="378"/>
      <c r="B15" s="175" t="s">
        <v>139</v>
      </c>
      <c r="C15" s="150"/>
      <c r="D15" s="359"/>
      <c r="E15" s="522">
        <v>0.14000000000000001</v>
      </c>
      <c r="I15" s="27"/>
    </row>
    <row r="16" spans="1:11" s="369" customFormat="1" x14ac:dyDescent="0.3">
      <c r="B16" s="77"/>
      <c r="C16" s="77"/>
      <c r="E16" s="29"/>
      <c r="F16" s="82"/>
      <c r="G16" s="29"/>
      <c r="H16" s="82"/>
      <c r="I16" s="25"/>
    </row>
    <row r="17" spans="1:11" s="369" customFormat="1" x14ac:dyDescent="0.3">
      <c r="B17" s="85"/>
      <c r="C17" s="85"/>
      <c r="E17" s="29"/>
      <c r="F17" s="82"/>
      <c r="G17" s="29"/>
      <c r="H17" s="82"/>
      <c r="I17" s="25"/>
    </row>
    <row r="18" spans="1:11" s="369" customFormat="1" x14ac:dyDescent="0.3">
      <c r="B18" s="38"/>
      <c r="C18" s="38"/>
      <c r="D18" s="370"/>
      <c r="E18" s="368"/>
      <c r="F18" s="370"/>
      <c r="G18" s="368"/>
      <c r="H18" s="370"/>
      <c r="I18" s="368"/>
    </row>
    <row r="19" spans="1:11" s="369" customFormat="1" x14ac:dyDescent="0.3">
      <c r="B19" s="85"/>
      <c r="C19" s="85"/>
      <c r="D19" s="370"/>
      <c r="E19" s="83"/>
      <c r="F19" s="370"/>
      <c r="G19" s="371"/>
      <c r="H19" s="370"/>
      <c r="I19" s="368"/>
    </row>
    <row r="20" spans="1:11" s="86" customFormat="1" x14ac:dyDescent="0.3">
      <c r="A20" s="290"/>
      <c r="B20" s="314" t="s">
        <v>48</v>
      </c>
      <c r="C20" s="314"/>
      <c r="D20" s="290"/>
      <c r="E20" s="292"/>
      <c r="F20" s="290"/>
      <c r="G20" s="292"/>
      <c r="H20" s="292"/>
      <c r="I20" s="292"/>
      <c r="J20" s="292"/>
      <c r="K20" s="292"/>
    </row>
    <row r="21" spans="1:11" s="82" customFormat="1" x14ac:dyDescent="0.3">
      <c r="A21" s="71"/>
      <c r="B21" s="45" t="s">
        <v>403</v>
      </c>
      <c r="C21" s="84"/>
      <c r="D21" s="84"/>
      <c r="E21" s="64"/>
      <c r="F21" s="84"/>
      <c r="G21" s="64"/>
      <c r="H21" s="84"/>
      <c r="I21" s="64"/>
    </row>
    <row r="22" spans="1:11" s="369" customFormat="1" x14ac:dyDescent="0.3">
      <c r="B22" s="77" t="s">
        <v>18</v>
      </c>
      <c r="C22" s="77"/>
      <c r="D22" s="83"/>
      <c r="E22" s="29"/>
      <c r="F22" s="82"/>
      <c r="G22" s="29"/>
      <c r="H22" s="82"/>
      <c r="I22" s="25"/>
    </row>
    <row r="23" spans="1:11" s="83" customFormat="1" ht="27.6" x14ac:dyDescent="0.3">
      <c r="B23" s="108" t="s">
        <v>137</v>
      </c>
      <c r="C23" s="108"/>
      <c r="D23" s="216"/>
      <c r="E23" s="109" t="s">
        <v>590</v>
      </c>
      <c r="F23" s="34"/>
      <c r="G23" s="77"/>
      <c r="H23" s="34"/>
      <c r="I23" s="77"/>
    </row>
    <row r="24" spans="1:11" s="369" customFormat="1" ht="14.4" thickBot="1" x14ac:dyDescent="0.35">
      <c r="B24" s="212"/>
      <c r="C24" s="212"/>
      <c r="D24" s="236"/>
      <c r="E24" s="143" t="s">
        <v>156</v>
      </c>
      <c r="F24" s="82"/>
      <c r="G24" s="29"/>
      <c r="H24" s="82"/>
      <c r="I24" s="25"/>
    </row>
    <row r="25" spans="1:11" ht="14.4" thickTop="1" x14ac:dyDescent="0.3">
      <c r="A25" s="378"/>
      <c r="B25" s="175" t="s">
        <v>139</v>
      </c>
      <c r="C25" s="150"/>
      <c r="D25" s="359"/>
      <c r="E25" s="307">
        <v>0.05</v>
      </c>
      <c r="G25" s="67"/>
      <c r="I25" s="27"/>
    </row>
    <row r="26" spans="1:11" s="370" customFormat="1" x14ac:dyDescent="0.3">
      <c r="B26" s="42"/>
      <c r="C26" s="42"/>
      <c r="D26" s="40"/>
      <c r="E26" s="52"/>
      <c r="G26" s="52"/>
      <c r="I26" s="52"/>
    </row>
    <row r="27" spans="1:11" s="369" customFormat="1" x14ac:dyDescent="0.3">
      <c r="B27" s="85"/>
      <c r="C27" s="85"/>
      <c r="D27" s="76"/>
      <c r="E27" s="85"/>
      <c r="F27" s="76"/>
      <c r="G27" s="29"/>
      <c r="I27" s="85"/>
    </row>
    <row r="29" spans="1:11" x14ac:dyDescent="0.3">
      <c r="E29" s="378"/>
    </row>
    <row r="30" spans="1:11" x14ac:dyDescent="0.3">
      <c r="E30" s="378"/>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DM234"/>
  <sheetViews>
    <sheetView zoomScale="85" zoomScaleNormal="85" workbookViewId="0"/>
  </sheetViews>
  <sheetFormatPr defaultColWidth="9.109375" defaultRowHeight="13.8" outlineLevelCol="1" x14ac:dyDescent="0.3"/>
  <cols>
    <col min="1" max="1" width="3.6640625" style="369" customWidth="1"/>
    <col min="2" max="2" width="29.6640625" style="85" bestFit="1" customWidth="1"/>
    <col min="3" max="3" width="23.44140625" style="371" customWidth="1"/>
    <col min="4" max="4" width="2.6640625" style="378" customWidth="1"/>
    <col min="5" max="5" width="30" style="378" customWidth="1"/>
    <col min="6" max="6" width="2.6640625" style="378" customWidth="1"/>
    <col min="7" max="7" width="24.109375" style="372" customWidth="1"/>
    <col min="8" max="8" width="2.6640625" style="378" customWidth="1"/>
    <col min="9" max="9" width="12.33203125" style="378" customWidth="1"/>
    <col min="10" max="10" width="2.6640625" style="378" customWidth="1"/>
    <col min="11" max="11" width="17.33203125" style="378" customWidth="1"/>
    <col min="12" max="12" width="2.6640625" style="378" customWidth="1"/>
    <col min="13" max="13" width="12.6640625" style="378" customWidth="1"/>
    <col min="14" max="14" width="2.6640625" style="378" customWidth="1"/>
    <col min="15" max="15" width="16.33203125" style="378" customWidth="1"/>
    <col min="16" max="16" width="2.6640625" style="378" customWidth="1"/>
    <col min="17" max="17" width="13" style="378" customWidth="1"/>
    <col min="18" max="18" width="2.6640625" style="378" customWidth="1"/>
    <col min="19" max="19" width="14.6640625" style="378" customWidth="1"/>
    <col min="20" max="20" width="2.6640625" style="378" customWidth="1"/>
    <col min="21" max="21" width="15.33203125" style="378" customWidth="1"/>
    <col min="22" max="22" width="2.6640625" style="378" customWidth="1"/>
    <col min="23" max="23" width="19.109375" style="378" customWidth="1"/>
    <col min="24" max="24" width="2.6640625" style="378" customWidth="1"/>
    <col min="25" max="25" width="14.33203125" style="378" customWidth="1"/>
    <col min="26" max="26" width="2.6640625" style="378" customWidth="1"/>
    <col min="27" max="27" width="22.33203125" style="378" customWidth="1"/>
    <col min="28" max="28" width="2.6640625" style="378" customWidth="1"/>
    <col min="29" max="29" width="13.6640625" style="378" customWidth="1"/>
    <col min="30" max="30" width="2.6640625" style="378" customWidth="1"/>
    <col min="31" max="31" width="16" style="378" customWidth="1"/>
    <col min="32" max="32" width="2.6640625" style="378" customWidth="1"/>
    <col min="33" max="33" width="12.6640625" style="378" bestFit="1" customWidth="1"/>
    <col min="34" max="34" width="2.6640625" style="378" customWidth="1"/>
    <col min="35" max="35" width="15.6640625" style="370" bestFit="1" customWidth="1"/>
    <col min="36" max="36" width="2.6640625" style="378" customWidth="1"/>
    <col min="37" max="37" width="15.6640625" style="370" bestFit="1" customWidth="1"/>
    <col min="38" max="38" width="2.6640625" style="370" customWidth="1"/>
    <col min="39" max="39" width="13.5546875" style="370" bestFit="1" customWidth="1"/>
    <col min="40" max="45" width="9.109375" style="370" customWidth="1"/>
    <col min="46" max="46" width="33.44140625" style="378" hidden="1" customWidth="1" outlineLevel="1"/>
    <col min="47" max="48" width="9.109375" style="378" hidden="1" customWidth="1" outlineLevel="1"/>
    <col min="49" max="49" width="54.33203125" style="378" hidden="1" customWidth="1" outlineLevel="1"/>
    <col min="50" max="62" width="9.109375" style="378" hidden="1" customWidth="1" outlineLevel="1"/>
    <col min="63" max="63" width="26" style="378" hidden="1" customWidth="1" outlineLevel="1"/>
    <col min="64" max="64" width="16.33203125" style="378" hidden="1" customWidth="1" outlineLevel="1"/>
    <col min="65" max="65" width="20.33203125" style="378" hidden="1" customWidth="1" outlineLevel="1"/>
    <col min="66" max="66" width="20.6640625" style="378" hidden="1" customWidth="1" outlineLevel="1"/>
    <col min="67" max="79" width="9.109375" style="378" hidden="1" customWidth="1" outlineLevel="1"/>
    <col min="80" max="80" width="9.109375" style="378" customWidth="1" collapsed="1"/>
    <col min="81" max="81" width="9.109375" style="378" customWidth="1"/>
    <col min="82" max="84" width="9.109375" style="378" hidden="1" customWidth="1" outlineLevel="1"/>
    <col min="85" max="85" width="16.44140625" style="378" hidden="1" customWidth="1" outlineLevel="1"/>
    <col min="86" max="86" width="29.6640625" style="378" hidden="1" customWidth="1" outlineLevel="1"/>
    <col min="87" max="93" width="9.109375" style="378" hidden="1" customWidth="1" outlineLevel="1"/>
    <col min="94" max="94" width="11.6640625" style="378" hidden="1" customWidth="1" outlineLevel="1"/>
    <col min="95" max="106" width="9.109375" style="378" hidden="1" customWidth="1" outlineLevel="1"/>
    <col min="107" max="107" width="24.5546875" style="378" hidden="1" customWidth="1" outlineLevel="1"/>
    <col min="108" max="116" width="9.109375" style="378" hidden="1" customWidth="1" outlineLevel="1"/>
    <col min="117" max="117" width="9.109375" style="378" collapsed="1"/>
    <col min="118" max="16384" width="9.109375" style="378"/>
  </cols>
  <sheetData>
    <row r="1" spans="1:116" x14ac:dyDescent="0.3">
      <c r="A1" s="67"/>
      <c r="B1" s="67"/>
      <c r="C1" s="67"/>
      <c r="D1" s="67"/>
      <c r="E1" s="67"/>
      <c r="F1" s="67"/>
      <c r="G1" s="72"/>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16"/>
      <c r="AJ1" s="67"/>
      <c r="AK1" s="16"/>
      <c r="AL1" s="16"/>
      <c r="AM1" s="16"/>
      <c r="AN1" s="16"/>
      <c r="AO1" s="16"/>
      <c r="AP1" s="16"/>
      <c r="AQ1" s="16"/>
      <c r="AR1" s="16"/>
      <c r="AS1" s="16"/>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row>
    <row r="2" spans="1:116" s="369" customFormat="1" x14ac:dyDescent="0.3">
      <c r="B2" s="567" t="s">
        <v>5</v>
      </c>
      <c r="C2" s="567"/>
      <c r="D2" s="574"/>
      <c r="E2" s="567" t="s">
        <v>6</v>
      </c>
      <c r="J2" s="567"/>
      <c r="K2" s="568" t="s">
        <v>1101</v>
      </c>
      <c r="AI2" s="63"/>
      <c r="AK2" s="63"/>
      <c r="AL2" s="63"/>
      <c r="AM2" s="63"/>
      <c r="AN2" s="63"/>
      <c r="AO2" s="63"/>
      <c r="AP2" s="63"/>
      <c r="AQ2" s="63"/>
      <c r="AR2" s="63"/>
      <c r="AS2" s="63"/>
    </row>
    <row r="3" spans="1:116" s="369" customFormat="1" x14ac:dyDescent="0.3">
      <c r="B3" s="369" t="s">
        <v>0</v>
      </c>
      <c r="C3" s="89" t="s">
        <v>1089</v>
      </c>
      <c r="E3" s="369" t="s">
        <v>8</v>
      </c>
      <c r="G3" s="89"/>
      <c r="I3" s="403"/>
      <c r="J3" s="136"/>
      <c r="K3" s="369" t="s">
        <v>1106</v>
      </c>
      <c r="AI3" s="63"/>
      <c r="AK3" s="63"/>
      <c r="AL3" s="63"/>
      <c r="AM3" s="63"/>
      <c r="AN3" s="63"/>
      <c r="AO3" s="63"/>
      <c r="AP3" s="63"/>
      <c r="AQ3" s="63"/>
      <c r="AR3" s="63"/>
      <c r="AS3" s="63"/>
    </row>
    <row r="4" spans="1:116" s="369" customFormat="1" x14ac:dyDescent="0.3">
      <c r="B4" s="369" t="s">
        <v>1</v>
      </c>
      <c r="C4" s="369" t="str">
        <f>C3&amp;".cibd16"</f>
        <v>040006S-OffLrg-Run11.cibd16</v>
      </c>
      <c r="E4" s="369" t="s">
        <v>110</v>
      </c>
      <c r="G4" s="369" t="str">
        <f>'Documentation Main Sheet'!I3</f>
        <v>Release package</v>
      </c>
      <c r="I4" s="403"/>
      <c r="J4" s="569"/>
      <c r="K4" s="369" t="s">
        <v>1102</v>
      </c>
      <c r="AI4" s="63"/>
      <c r="AK4" s="63"/>
      <c r="AL4" s="63"/>
      <c r="AM4" s="63"/>
      <c r="AN4" s="63"/>
      <c r="AO4" s="63"/>
      <c r="AP4" s="63"/>
      <c r="AQ4" s="63"/>
      <c r="AR4" s="63"/>
      <c r="AS4" s="63"/>
    </row>
    <row r="5" spans="1:116" s="369" customFormat="1" x14ac:dyDescent="0.3">
      <c r="B5" s="369" t="s">
        <v>54</v>
      </c>
      <c r="C5" s="369" t="s">
        <v>56</v>
      </c>
      <c r="E5" s="369" t="s">
        <v>7</v>
      </c>
      <c r="G5" s="369" t="str">
        <f>'Documentation Main Sheet'!I4</f>
        <v>CBECC-Com 209.1.0 release</v>
      </c>
      <c r="I5" s="403"/>
      <c r="J5" s="571">
        <v>1</v>
      </c>
      <c r="K5" s="378" t="s">
        <v>1103</v>
      </c>
      <c r="P5" s="62"/>
      <c r="R5" s="62"/>
      <c r="AI5" s="63"/>
      <c r="AK5" s="63"/>
      <c r="AL5" s="63"/>
      <c r="AM5" s="63"/>
      <c r="AN5" s="63"/>
      <c r="AO5" s="63"/>
      <c r="AP5" s="63"/>
      <c r="AQ5" s="63"/>
      <c r="AR5" s="63"/>
      <c r="AS5" s="63"/>
    </row>
    <row r="6" spans="1:116" s="369" customFormat="1" x14ac:dyDescent="0.3">
      <c r="B6" s="369" t="s">
        <v>390</v>
      </c>
      <c r="C6" s="85" t="s">
        <v>396</v>
      </c>
      <c r="E6" s="369" t="s">
        <v>2</v>
      </c>
      <c r="G6" s="62"/>
      <c r="I6" s="404"/>
      <c r="J6" s="582">
        <v>1</v>
      </c>
      <c r="K6" s="381" t="s">
        <v>1104</v>
      </c>
      <c r="AI6" s="63"/>
      <c r="AK6" s="63"/>
      <c r="AL6" s="63"/>
      <c r="AM6" s="63"/>
      <c r="AN6" s="63"/>
      <c r="AO6" s="63"/>
      <c r="AP6" s="63"/>
      <c r="AQ6" s="63"/>
      <c r="AR6" s="63"/>
      <c r="AS6" s="63"/>
    </row>
    <row r="7" spans="1:116" s="369" customFormat="1" x14ac:dyDescent="0.3">
      <c r="B7" s="369" t="s">
        <v>432</v>
      </c>
      <c r="C7" s="85" t="s">
        <v>190</v>
      </c>
      <c r="E7" s="369" t="s">
        <v>3</v>
      </c>
      <c r="G7" s="369" t="str">
        <f>'Documentation Main Sheet'!I6</f>
        <v>Jireh Peng</v>
      </c>
      <c r="J7" s="583">
        <v>1</v>
      </c>
      <c r="K7" s="378" t="s">
        <v>1105</v>
      </c>
      <c r="AI7" s="63"/>
      <c r="AK7" s="63"/>
      <c r="AL7" s="63"/>
      <c r="AM7" s="63"/>
      <c r="AN7" s="63"/>
      <c r="AO7" s="63"/>
      <c r="AP7" s="63"/>
      <c r="AQ7" s="63"/>
      <c r="AR7" s="63"/>
      <c r="AS7" s="63"/>
    </row>
    <row r="8" spans="1:116" s="369" customFormat="1" x14ac:dyDescent="0.3">
      <c r="B8" s="369" t="s">
        <v>952</v>
      </c>
      <c r="C8" s="85" t="s">
        <v>953</v>
      </c>
      <c r="G8" s="85"/>
      <c r="J8" s="796">
        <v>1</v>
      </c>
      <c r="K8" s="369" t="s">
        <v>1396</v>
      </c>
      <c r="AI8" s="63"/>
      <c r="AK8" s="63"/>
      <c r="AL8" s="63"/>
      <c r="AM8" s="63"/>
      <c r="AN8" s="63"/>
      <c r="AO8" s="63"/>
      <c r="AP8" s="63"/>
      <c r="AQ8" s="63"/>
      <c r="AR8" s="63"/>
      <c r="AS8" s="63"/>
    </row>
    <row r="9" spans="1:116" s="369" customFormat="1" x14ac:dyDescent="0.3">
      <c r="AI9" s="63"/>
      <c r="AK9" s="63"/>
      <c r="AL9" s="63"/>
      <c r="AM9" s="63"/>
      <c r="AN9" s="63"/>
      <c r="AO9" s="63"/>
      <c r="AP9" s="63"/>
      <c r="AQ9" s="63"/>
      <c r="AR9" s="63"/>
      <c r="AS9" s="63"/>
    </row>
    <row r="10" spans="1:116" s="87" customFormat="1" x14ac:dyDescent="0.3">
      <c r="A10" s="288"/>
      <c r="B10" s="341" t="s">
        <v>37</v>
      </c>
      <c r="C10" s="288"/>
      <c r="D10" s="288"/>
      <c r="E10" s="288"/>
      <c r="F10" s="288"/>
      <c r="G10" s="506"/>
      <c r="H10" s="506"/>
      <c r="I10" s="506"/>
      <c r="J10" s="288"/>
      <c r="K10" s="506"/>
      <c r="L10" s="288"/>
      <c r="M10" s="506"/>
      <c r="N10" s="288"/>
      <c r="O10" s="506"/>
      <c r="P10" s="288"/>
      <c r="Q10" s="506"/>
      <c r="R10" s="288"/>
      <c r="S10" s="506"/>
      <c r="T10" s="288"/>
      <c r="U10" s="506"/>
      <c r="V10" s="288"/>
      <c r="W10" s="506"/>
      <c r="X10" s="288"/>
      <c r="Y10" s="506"/>
      <c r="Z10" s="288"/>
      <c r="AA10" s="506"/>
      <c r="AB10" s="288"/>
      <c r="AC10" s="506"/>
      <c r="AD10" s="288"/>
      <c r="AE10" s="506"/>
      <c r="AF10" s="506"/>
      <c r="AG10" s="506"/>
      <c r="AH10" s="288"/>
      <c r="AI10" s="506"/>
      <c r="AJ10" s="288"/>
      <c r="AK10" s="506"/>
      <c r="AL10" s="506"/>
      <c r="AM10" s="506"/>
      <c r="AT10" s="96" t="s">
        <v>322</v>
      </c>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D10" s="49" t="s">
        <v>322</v>
      </c>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row>
    <row r="11" spans="1:116" s="82" customFormat="1" x14ac:dyDescent="0.3">
      <c r="A11" s="70"/>
      <c r="B11" s="382" t="s">
        <v>114</v>
      </c>
      <c r="C11" s="70"/>
      <c r="D11" s="70"/>
      <c r="E11" s="70"/>
      <c r="F11" s="84"/>
      <c r="J11" s="84"/>
      <c r="K11" s="47"/>
      <c r="L11" s="84"/>
      <c r="N11" s="84"/>
      <c r="P11" s="84"/>
      <c r="R11" s="84"/>
      <c r="T11" s="84"/>
      <c r="V11" s="84"/>
      <c r="X11" s="84"/>
      <c r="Z11" s="84"/>
      <c r="AB11" s="84"/>
      <c r="AD11" s="84"/>
      <c r="AH11" s="84"/>
      <c r="AJ11" s="84"/>
      <c r="AL11" s="86"/>
      <c r="AM11" s="40"/>
      <c r="AN11" s="86"/>
      <c r="AO11" s="86"/>
      <c r="AP11" s="40"/>
      <c r="AT11" s="605" t="s">
        <v>323</v>
      </c>
      <c r="AU11" s="362"/>
      <c r="AV11" s="362"/>
      <c r="AW11" s="362"/>
      <c r="AX11" s="362"/>
      <c r="AY11" s="362"/>
      <c r="AZ11" s="362"/>
      <c r="BA11" s="362"/>
      <c r="BB11" s="362"/>
      <c r="BC11" s="362"/>
      <c r="BD11" s="362"/>
      <c r="BE11" s="362"/>
      <c r="BF11" s="362"/>
      <c r="BG11" s="362"/>
      <c r="BH11" s="362"/>
      <c r="BI11" s="362"/>
      <c r="BJ11" s="362"/>
      <c r="BK11" s="362"/>
      <c r="BL11" s="362"/>
      <c r="BM11" s="362"/>
      <c r="BN11" s="362"/>
      <c r="BO11" s="362"/>
      <c r="BP11" s="362"/>
      <c r="BQ11" s="362"/>
      <c r="BR11" s="362"/>
      <c r="BS11" s="85"/>
      <c r="BT11" s="85"/>
      <c r="BU11" s="85"/>
      <c r="BV11" s="362"/>
      <c r="BW11" s="362"/>
      <c r="BX11" s="362"/>
      <c r="BY11" s="362"/>
      <c r="BZ11" s="362"/>
      <c r="CA11" s="362"/>
      <c r="CB11" s="362"/>
      <c r="CC11" s="362"/>
      <c r="CD11" s="605" t="s">
        <v>323</v>
      </c>
      <c r="CE11" s="362"/>
      <c r="CF11" s="362"/>
      <c r="CG11" s="362"/>
      <c r="CH11" s="362"/>
      <c r="CI11" s="362"/>
      <c r="CJ11" s="362"/>
      <c r="CK11" s="362"/>
      <c r="CL11" s="362"/>
      <c r="CM11" s="362"/>
      <c r="CN11" s="362"/>
      <c r="CO11" s="362"/>
      <c r="CP11" s="362"/>
      <c r="CQ11" s="362"/>
      <c r="CR11" s="362"/>
      <c r="CS11" s="362"/>
      <c r="CT11" s="362"/>
      <c r="CU11" s="362"/>
      <c r="CV11" s="362"/>
      <c r="CW11" s="362"/>
      <c r="CX11" s="362"/>
      <c r="CY11" s="362"/>
      <c r="CZ11" s="362"/>
      <c r="DA11" s="362"/>
      <c r="DB11" s="362"/>
    </row>
    <row r="12" spans="1:116" s="82" customFormat="1" x14ac:dyDescent="0.3">
      <c r="B12" s="77" t="s">
        <v>212</v>
      </c>
      <c r="F12" s="84"/>
      <c r="J12" s="84"/>
      <c r="K12" s="47"/>
      <c r="L12" s="84"/>
      <c r="N12" s="84"/>
      <c r="P12" s="84"/>
      <c r="R12" s="84"/>
      <c r="T12" s="84"/>
      <c r="V12" s="84"/>
      <c r="X12" s="84"/>
      <c r="Z12" s="84"/>
      <c r="AB12" s="84"/>
      <c r="AD12" s="84"/>
      <c r="AH12" s="84"/>
      <c r="AJ12" s="84"/>
      <c r="AL12" s="86"/>
      <c r="AM12" s="40"/>
      <c r="AN12" s="86"/>
      <c r="AO12" s="86"/>
      <c r="AP12" s="40"/>
      <c r="AT12" s="362"/>
      <c r="AU12" s="362"/>
      <c r="AV12" s="362"/>
      <c r="AW12" s="362"/>
      <c r="AX12" s="362"/>
      <c r="AY12" s="362" t="s">
        <v>324</v>
      </c>
      <c r="AZ12" s="362"/>
      <c r="BA12" s="362"/>
      <c r="BB12" s="362"/>
      <c r="BC12" s="362" t="s">
        <v>325</v>
      </c>
      <c r="BD12" s="362"/>
      <c r="BE12" s="362"/>
      <c r="BF12" s="362"/>
      <c r="BG12" s="362" t="s">
        <v>325</v>
      </c>
      <c r="BH12" s="362"/>
      <c r="BI12" s="362"/>
      <c r="BJ12" s="362"/>
      <c r="BK12" s="362" t="s">
        <v>325</v>
      </c>
      <c r="BL12" s="362"/>
      <c r="BM12" s="362"/>
      <c r="BN12" s="362"/>
      <c r="BO12" s="362" t="s">
        <v>325</v>
      </c>
      <c r="BP12" s="362"/>
      <c r="BQ12" s="362"/>
      <c r="BR12" s="362"/>
      <c r="BS12" s="76"/>
      <c r="BT12" s="76"/>
      <c r="BU12" s="76"/>
      <c r="BV12" s="362"/>
      <c r="BW12" s="362"/>
      <c r="BX12" s="362"/>
      <c r="BY12" s="362"/>
      <c r="BZ12" s="362"/>
      <c r="CA12" s="362"/>
      <c r="CB12" s="362"/>
      <c r="CC12" s="362"/>
      <c r="CD12" s="362"/>
      <c r="CE12" s="362"/>
      <c r="CF12" s="362"/>
      <c r="CG12" s="362"/>
      <c r="CH12" s="362"/>
      <c r="CI12" s="362" t="s">
        <v>324</v>
      </c>
      <c r="CJ12" s="362"/>
      <c r="CK12" s="362"/>
      <c r="CL12" s="362"/>
      <c r="CM12" s="362" t="s">
        <v>325</v>
      </c>
      <c r="CN12" s="362"/>
      <c r="CO12" s="362"/>
      <c r="CP12" s="362"/>
      <c r="CQ12" s="362" t="s">
        <v>325</v>
      </c>
      <c r="CR12" s="362"/>
      <c r="CS12" s="362"/>
      <c r="CT12" s="362"/>
      <c r="CU12" s="362" t="s">
        <v>325</v>
      </c>
      <c r="CV12" s="362"/>
      <c r="CW12" s="362"/>
      <c r="CX12" s="362"/>
      <c r="CY12" s="362" t="s">
        <v>325</v>
      </c>
      <c r="CZ12" s="362"/>
      <c r="DA12" s="362"/>
      <c r="DB12" s="362"/>
    </row>
    <row r="13" spans="1:116" s="77" customFormat="1" ht="38.25" customHeight="1" x14ac:dyDescent="0.3">
      <c r="B13" s="108" t="s">
        <v>138</v>
      </c>
      <c r="C13" s="116" t="s">
        <v>190</v>
      </c>
      <c r="D13" s="280"/>
      <c r="E13" s="116" t="s">
        <v>601</v>
      </c>
      <c r="F13" s="280"/>
      <c r="G13" s="324" t="s">
        <v>591</v>
      </c>
      <c r="H13" s="538"/>
      <c r="I13" s="324" t="s">
        <v>977</v>
      </c>
      <c r="J13" s="280"/>
      <c r="K13" s="168" t="s">
        <v>155</v>
      </c>
      <c r="L13" s="280"/>
      <c r="M13" s="110" t="s">
        <v>592</v>
      </c>
      <c r="N13" s="223"/>
      <c r="O13" s="168" t="s">
        <v>593</v>
      </c>
      <c r="P13" s="280"/>
      <c r="Q13" s="110" t="s">
        <v>594</v>
      </c>
      <c r="R13" s="223"/>
      <c r="S13" s="168" t="s">
        <v>123</v>
      </c>
      <c r="T13" s="280"/>
      <c r="U13" s="110" t="s">
        <v>595</v>
      </c>
      <c r="V13" s="223"/>
      <c r="W13" s="168" t="s">
        <v>124</v>
      </c>
      <c r="X13" s="280"/>
      <c r="Y13" s="110" t="s">
        <v>596</v>
      </c>
      <c r="Z13" s="223"/>
      <c r="AA13" s="319" t="s">
        <v>242</v>
      </c>
      <c r="AB13" s="280"/>
      <c r="AC13" s="168" t="s">
        <v>1440</v>
      </c>
      <c r="AD13" s="280"/>
      <c r="AE13" s="110" t="s">
        <v>1029</v>
      </c>
      <c r="AF13" s="280"/>
      <c r="AG13" s="168" t="s">
        <v>1021</v>
      </c>
      <c r="AH13" s="168"/>
      <c r="AI13" s="168" t="s">
        <v>1345</v>
      </c>
      <c r="AJ13" s="280"/>
      <c r="AK13" s="110" t="s">
        <v>241</v>
      </c>
      <c r="AL13" s="280"/>
      <c r="AM13" s="110" t="s">
        <v>240</v>
      </c>
      <c r="AN13" s="79"/>
      <c r="AO13" s="81"/>
      <c r="AP13" s="318"/>
      <c r="AQ13" s="79"/>
      <c r="AR13" s="81"/>
      <c r="AV13" s="606" t="s">
        <v>212</v>
      </c>
      <c r="AW13" s="606"/>
      <c r="AX13" s="606"/>
      <c r="AY13" s="606"/>
      <c r="AZ13" s="606"/>
      <c r="BA13" s="606" t="s">
        <v>326</v>
      </c>
      <c r="BB13" s="606"/>
      <c r="BC13" s="606"/>
      <c r="BD13" s="606"/>
      <c r="BE13" s="606" t="s">
        <v>326</v>
      </c>
      <c r="BF13" s="606"/>
      <c r="BG13" s="606"/>
      <c r="BH13" s="606"/>
      <c r="BI13" s="606" t="s">
        <v>327</v>
      </c>
      <c r="BJ13" s="606"/>
      <c r="BK13" s="606"/>
      <c r="BL13" s="606"/>
      <c r="BM13" s="606" t="s">
        <v>328</v>
      </c>
      <c r="BN13" s="606"/>
      <c r="BO13" s="606"/>
      <c r="BP13" s="606"/>
      <c r="BQ13" s="606" t="s">
        <v>329</v>
      </c>
      <c r="BR13" s="606"/>
      <c r="BS13" s="606"/>
      <c r="BT13" s="606"/>
      <c r="BU13" s="83"/>
      <c r="BV13" s="83"/>
      <c r="BW13" s="83"/>
      <c r="BX13" s="606"/>
      <c r="BY13" s="606"/>
      <c r="BZ13" s="606"/>
      <c r="CA13" s="606"/>
      <c r="CB13" s="606"/>
      <c r="CC13" s="606"/>
      <c r="CD13" s="606"/>
      <c r="CE13" s="606"/>
      <c r="CF13" s="606" t="s">
        <v>212</v>
      </c>
      <c r="CG13" s="606"/>
      <c r="CH13" s="606"/>
      <c r="CI13" s="606"/>
      <c r="CJ13" s="606"/>
      <c r="CK13" s="606" t="s">
        <v>326</v>
      </c>
      <c r="CL13" s="606"/>
      <c r="CM13" s="606"/>
      <c r="CN13" s="606"/>
      <c r="CO13" s="606" t="s">
        <v>326</v>
      </c>
      <c r="CP13" s="606"/>
      <c r="CQ13" s="606"/>
      <c r="CR13" s="606"/>
      <c r="CS13" s="606" t="s">
        <v>327</v>
      </c>
      <c r="CT13" s="606"/>
      <c r="CU13" s="606"/>
      <c r="CV13" s="606"/>
      <c r="CW13" s="606" t="s">
        <v>328</v>
      </c>
      <c r="CX13" s="606"/>
      <c r="CY13" s="606"/>
      <c r="CZ13" s="606"/>
      <c r="DA13" s="606" t="s">
        <v>329</v>
      </c>
      <c r="DB13" s="606"/>
      <c r="DC13" s="606"/>
      <c r="DD13" s="606"/>
    </row>
    <row r="14" spans="1:116" s="369" customFormat="1" ht="28.2" thickBot="1" x14ac:dyDescent="0.35">
      <c r="B14" s="320" t="s">
        <v>213</v>
      </c>
      <c r="C14" s="117"/>
      <c r="D14" s="320"/>
      <c r="E14" s="117"/>
      <c r="F14" s="320"/>
      <c r="G14" s="117" t="s">
        <v>145</v>
      </c>
      <c r="H14" s="126"/>
      <c r="I14" s="117"/>
      <c r="J14" s="320"/>
      <c r="K14" s="117" t="s">
        <v>146</v>
      </c>
      <c r="L14" s="320"/>
      <c r="M14" s="117" t="s">
        <v>147</v>
      </c>
      <c r="N14" s="320"/>
      <c r="O14" s="117" t="s">
        <v>148</v>
      </c>
      <c r="P14" s="320"/>
      <c r="Q14" s="117" t="s">
        <v>149</v>
      </c>
      <c r="R14" s="320"/>
      <c r="S14" s="117" t="s">
        <v>150</v>
      </c>
      <c r="T14" s="320"/>
      <c r="U14" s="117" t="s">
        <v>151</v>
      </c>
      <c r="V14" s="320"/>
      <c r="W14" s="117" t="s">
        <v>152</v>
      </c>
      <c r="X14" s="320"/>
      <c r="Y14" s="117" t="s">
        <v>315</v>
      </c>
      <c r="Z14" s="320"/>
      <c r="AA14" s="117" t="s">
        <v>316</v>
      </c>
      <c r="AB14" s="320"/>
      <c r="AC14" s="117" t="s">
        <v>1351</v>
      </c>
      <c r="AD14" s="320"/>
      <c r="AE14" s="117" t="s">
        <v>998</v>
      </c>
      <c r="AF14" s="320"/>
      <c r="AG14" s="117" t="s">
        <v>999</v>
      </c>
      <c r="AH14" s="117"/>
      <c r="AI14" s="117"/>
      <c r="AJ14" s="320"/>
      <c r="AK14" s="117" t="s">
        <v>317</v>
      </c>
      <c r="AL14" s="320"/>
      <c r="AM14" s="143" t="s">
        <v>318</v>
      </c>
      <c r="AN14" s="75"/>
      <c r="AO14" s="75"/>
      <c r="AP14" s="75"/>
      <c r="AQ14" s="75"/>
      <c r="AR14" s="75"/>
      <c r="AV14" s="362" t="s">
        <v>203</v>
      </c>
      <c r="AW14" s="362" t="s">
        <v>291</v>
      </c>
      <c r="AX14" s="362" t="s">
        <v>190</v>
      </c>
      <c r="AY14" s="362" t="s">
        <v>330</v>
      </c>
      <c r="AZ14" s="362" t="s">
        <v>331</v>
      </c>
      <c r="BA14" s="362" t="s">
        <v>332</v>
      </c>
      <c r="BB14" s="362" t="s">
        <v>333</v>
      </c>
      <c r="BC14" s="362" t="s">
        <v>334</v>
      </c>
      <c r="BD14" s="362" t="s">
        <v>335</v>
      </c>
      <c r="BE14" s="362" t="s">
        <v>332</v>
      </c>
      <c r="BF14" s="362" t="s">
        <v>333</v>
      </c>
      <c r="BG14" s="362" t="s">
        <v>334</v>
      </c>
      <c r="BH14" s="362" t="s">
        <v>335</v>
      </c>
      <c r="BI14" s="362" t="s">
        <v>332</v>
      </c>
      <c r="BJ14" s="362" t="s">
        <v>333</v>
      </c>
      <c r="BK14" s="362" t="s">
        <v>334</v>
      </c>
      <c r="BL14" s="362" t="s">
        <v>335</v>
      </c>
      <c r="BM14" s="362" t="s">
        <v>332</v>
      </c>
      <c r="BN14" s="362" t="s">
        <v>333</v>
      </c>
      <c r="BO14" s="362" t="s">
        <v>334</v>
      </c>
      <c r="BP14" s="362" t="s">
        <v>335</v>
      </c>
      <c r="BQ14" s="362" t="s">
        <v>332</v>
      </c>
      <c r="BR14" s="362" t="s">
        <v>333</v>
      </c>
      <c r="BS14" s="362" t="s">
        <v>334</v>
      </c>
      <c r="BT14" s="362" t="s">
        <v>335</v>
      </c>
      <c r="BX14" s="362"/>
      <c r="BY14" s="362"/>
      <c r="BZ14" s="362"/>
      <c r="CA14" s="362"/>
      <c r="CB14" s="362"/>
      <c r="CC14" s="362"/>
      <c r="CD14" s="362"/>
      <c r="CE14" s="362"/>
      <c r="CF14" s="362" t="s">
        <v>203</v>
      </c>
      <c r="CG14" s="362" t="s">
        <v>291</v>
      </c>
      <c r="CH14" s="362" t="s">
        <v>190</v>
      </c>
      <c r="CI14" s="362" t="s">
        <v>330</v>
      </c>
      <c r="CJ14" s="362" t="s">
        <v>331</v>
      </c>
      <c r="CK14" s="362" t="s">
        <v>332</v>
      </c>
      <c r="CL14" s="362" t="s">
        <v>333</v>
      </c>
      <c r="CM14" s="362" t="s">
        <v>334</v>
      </c>
      <c r="CN14" s="362" t="s">
        <v>335</v>
      </c>
      <c r="CO14" s="362" t="s">
        <v>332</v>
      </c>
      <c r="CP14" s="362" t="s">
        <v>333</v>
      </c>
      <c r="CQ14" s="362" t="s">
        <v>334</v>
      </c>
      <c r="CR14" s="362" t="s">
        <v>335</v>
      </c>
      <c r="CS14" s="362" t="s">
        <v>332</v>
      </c>
      <c r="CT14" s="362" t="s">
        <v>333</v>
      </c>
      <c r="CU14" s="362" t="s">
        <v>334</v>
      </c>
      <c r="CV14" s="362" t="s">
        <v>335</v>
      </c>
      <c r="CW14" s="362" t="s">
        <v>332</v>
      </c>
      <c r="CX14" s="362" t="s">
        <v>333</v>
      </c>
      <c r="CY14" s="362" t="s">
        <v>334</v>
      </c>
      <c r="CZ14" s="362" t="s">
        <v>335</v>
      </c>
      <c r="DA14" s="362" t="s">
        <v>332</v>
      </c>
      <c r="DB14" s="362" t="s">
        <v>333</v>
      </c>
      <c r="DC14" s="362" t="s">
        <v>334</v>
      </c>
      <c r="DD14" s="362" t="s">
        <v>335</v>
      </c>
    </row>
    <row r="15" spans="1:116" s="369" customFormat="1" ht="28.2" thickTop="1" x14ac:dyDescent="0.3">
      <c r="B15" s="124" t="s">
        <v>84</v>
      </c>
      <c r="C15" s="85" t="s">
        <v>117</v>
      </c>
      <c r="D15" s="349" t="str">
        <f>IF($BB58=$G15,"X","")</f>
        <v/>
      </c>
      <c r="E15" s="536">
        <v>38353</v>
      </c>
      <c r="F15" s="349" t="str">
        <f>IF($BB58=$G15,"X","")</f>
        <v/>
      </c>
      <c r="G15" s="810">
        <f>10*0.5</f>
        <v>5</v>
      </c>
      <c r="H15" s="679" t="str">
        <f>IF(ROUND($BC58,2)=$I15,"X","")</f>
        <v/>
      </c>
      <c r="I15" s="600">
        <f>ROUND(E15/1000*G15,2)</f>
        <v>191.77</v>
      </c>
      <c r="J15" s="134" t="str">
        <f>IF($BD58=$K15,"X","")</f>
        <v/>
      </c>
      <c r="K15" s="371" t="s">
        <v>127</v>
      </c>
      <c r="L15" s="349" t="str">
        <f>IF($BE58=$M15,"X","")</f>
        <v/>
      </c>
      <c r="M15" s="399">
        <v>250</v>
      </c>
      <c r="N15" s="141" t="str">
        <f>IF($BF58=$O15,"X","")</f>
        <v/>
      </c>
      <c r="O15" s="370">
        <v>200</v>
      </c>
      <c r="P15" s="349" t="str">
        <f>IF($BA16=$Q15,"X","")</f>
        <v/>
      </c>
      <c r="Q15" s="810">
        <v>0.75</v>
      </c>
      <c r="R15" s="141" t="str">
        <f>IF($BB16=$S15,"X","")</f>
        <v/>
      </c>
      <c r="S15" s="378" t="s">
        <v>130</v>
      </c>
      <c r="T15" s="349" t="str">
        <f>IF($BI16=$U15,"X","")</f>
        <v/>
      </c>
      <c r="U15" s="811">
        <v>1.5</v>
      </c>
      <c r="V15" s="141" t="str">
        <f>IF($BJ16=$W15,"X","")</f>
        <v/>
      </c>
      <c r="W15" s="370" t="s">
        <v>134</v>
      </c>
      <c r="X15" s="349" t="str">
        <f>IF(BG58=$Y15,"X","")</f>
        <v/>
      </c>
      <c r="Y15" s="810">
        <v>0.18</v>
      </c>
      <c r="Z15" s="141" t="str">
        <f>IF(BH58=$AA15,"X","")</f>
        <v/>
      </c>
      <c r="AA15" s="370" t="s">
        <v>305</v>
      </c>
      <c r="AB15" s="890"/>
      <c r="AC15" s="565" t="s">
        <v>1356</v>
      </c>
      <c r="AD15" s="349"/>
      <c r="AE15" s="565">
        <v>0</v>
      </c>
      <c r="AF15" s="134" t="str">
        <f>IF(BP196=$AG15,"X","")</f>
        <v/>
      </c>
      <c r="AG15" s="539">
        <v>0.15</v>
      </c>
      <c r="AH15" s="134" t="str">
        <f>IF(MAX(BJ165,BN165)=$AI15,"X","")</f>
        <v/>
      </c>
      <c r="AI15" s="56">
        <f>ROUND(MAX(ROUND(I15,1)*AE15,AG15*E15),0)</f>
        <v>5753</v>
      </c>
      <c r="AJ15" s="349" t="str">
        <f>IF(BR58=$AK15,"X","")</f>
        <v/>
      </c>
      <c r="AK15" s="399" t="s">
        <v>298</v>
      </c>
      <c r="AL15" s="349" t="str">
        <f>IF(BS58=$AM15,"X","")</f>
        <v/>
      </c>
      <c r="AM15" s="366" t="s">
        <v>299</v>
      </c>
      <c r="AN15" s="370"/>
      <c r="AO15" s="543"/>
      <c r="AP15" s="542"/>
      <c r="AQ15" s="542"/>
      <c r="AR15" s="58"/>
      <c r="AV15" s="362"/>
      <c r="AW15" s="362"/>
      <c r="AX15" s="362"/>
      <c r="AY15" s="362" t="s">
        <v>109</v>
      </c>
      <c r="AZ15" s="362"/>
      <c r="BA15" s="362" t="s">
        <v>153</v>
      </c>
      <c r="BB15" s="362"/>
      <c r="BC15" s="362" t="s">
        <v>336</v>
      </c>
      <c r="BD15" s="362" t="s">
        <v>634</v>
      </c>
      <c r="BE15" s="362" t="s">
        <v>153</v>
      </c>
      <c r="BF15" s="362"/>
      <c r="BG15" s="362" t="s">
        <v>336</v>
      </c>
      <c r="BH15" s="362" t="s">
        <v>634</v>
      </c>
      <c r="BI15" s="362" t="s">
        <v>153</v>
      </c>
      <c r="BJ15" s="362"/>
      <c r="BK15" s="362" t="s">
        <v>336</v>
      </c>
      <c r="BL15" s="362" t="s">
        <v>634</v>
      </c>
      <c r="BM15" s="362" t="s">
        <v>153</v>
      </c>
      <c r="BN15" s="362"/>
      <c r="BO15" s="362" t="s">
        <v>336</v>
      </c>
      <c r="BP15" s="362" t="s">
        <v>634</v>
      </c>
      <c r="BQ15" s="362" t="s">
        <v>153</v>
      </c>
      <c r="BR15" s="362"/>
      <c r="BS15" s="362" t="s">
        <v>336</v>
      </c>
      <c r="BT15" s="362" t="s">
        <v>634</v>
      </c>
      <c r="BX15" s="362"/>
      <c r="BY15" s="362"/>
      <c r="BZ15" s="362"/>
      <c r="CA15" s="362"/>
      <c r="CB15" s="362"/>
      <c r="CC15" s="362"/>
      <c r="CD15" s="362"/>
      <c r="CE15" s="362"/>
      <c r="CF15" s="362"/>
      <c r="CG15" s="362"/>
      <c r="CH15" s="362"/>
      <c r="CI15" s="362" t="s">
        <v>109</v>
      </c>
      <c r="CJ15" s="362"/>
      <c r="CK15" s="362" t="s">
        <v>153</v>
      </c>
      <c r="CL15" s="362"/>
      <c r="CM15" s="362" t="s">
        <v>336</v>
      </c>
      <c r="CN15" s="362" t="s">
        <v>634</v>
      </c>
      <c r="CO15" s="362" t="s">
        <v>153</v>
      </c>
      <c r="CP15" s="362"/>
      <c r="CQ15" s="362" t="s">
        <v>336</v>
      </c>
      <c r="CR15" s="362" t="s">
        <v>634</v>
      </c>
      <c r="CS15" s="362" t="s">
        <v>153</v>
      </c>
      <c r="CT15" s="362"/>
      <c r="CU15" s="362" t="s">
        <v>336</v>
      </c>
      <c r="CV15" s="362" t="s">
        <v>634</v>
      </c>
      <c r="CW15" s="362" t="s">
        <v>153</v>
      </c>
      <c r="CX15" s="362"/>
      <c r="CY15" s="362" t="s">
        <v>336</v>
      </c>
      <c r="CZ15" s="362" t="s">
        <v>634</v>
      </c>
      <c r="DA15" s="362" t="s">
        <v>153</v>
      </c>
      <c r="DB15" s="362"/>
      <c r="DC15" s="362" t="s">
        <v>336</v>
      </c>
      <c r="DD15" s="362" t="s">
        <v>634</v>
      </c>
    </row>
    <row r="16" spans="1:116" s="369" customFormat="1" ht="27.6" x14ac:dyDescent="0.3">
      <c r="B16" s="124" t="s">
        <v>85</v>
      </c>
      <c r="C16" s="85" t="s">
        <v>116</v>
      </c>
      <c r="D16" s="134" t="str">
        <f>IF($BB59=$G16,"X","")</f>
        <v/>
      </c>
      <c r="E16" s="536">
        <v>27257.64</v>
      </c>
      <c r="F16" s="134" t="str">
        <f>IF($BB59=$G16,"X","")</f>
        <v/>
      </c>
      <c r="G16" s="198">
        <f>ROUNDDOWN(33.33*0.5,3)</f>
        <v>16.664999999999999</v>
      </c>
      <c r="H16" s="680" t="str">
        <f>IF(ROUND($BC59,2)=$I16,"X","")</f>
        <v/>
      </c>
      <c r="I16" s="600">
        <f>ROUND(E16/1000*G16,2)</f>
        <v>454.25</v>
      </c>
      <c r="J16" s="134" t="str">
        <f>IF($BD59=$K16,"X","")</f>
        <v/>
      </c>
      <c r="K16" s="371" t="s">
        <v>125</v>
      </c>
      <c r="L16" s="134" t="str">
        <f>IF($BE59=$M16,"X","")</f>
        <v/>
      </c>
      <c r="M16" s="366">
        <v>250</v>
      </c>
      <c r="N16" s="141" t="str">
        <f>IF($BF59=$O16,"X","")</f>
        <v/>
      </c>
      <c r="O16" s="370">
        <v>200</v>
      </c>
      <c r="P16" s="134" t="str">
        <f>IF($BA17=$Q16,"X","")</f>
        <v/>
      </c>
      <c r="Q16" s="198">
        <v>1</v>
      </c>
      <c r="R16" s="141" t="str">
        <f>IF($BB17=$S16,"X","")</f>
        <v/>
      </c>
      <c r="S16" s="378" t="s">
        <v>129</v>
      </c>
      <c r="T16" s="134" t="str">
        <f>IF($BI17=$U16,"X","")</f>
        <v/>
      </c>
      <c r="U16" s="812">
        <v>1</v>
      </c>
      <c r="V16" s="141" t="str">
        <f>IF($BJ17=$W16,"X","")</f>
        <v/>
      </c>
      <c r="W16" s="370" t="s">
        <v>133</v>
      </c>
      <c r="X16" s="134" t="str">
        <f>IF(BG59=$Y16,"X","")</f>
        <v/>
      </c>
      <c r="Y16" s="198">
        <v>0.18</v>
      </c>
      <c r="Z16" s="141" t="str">
        <f>IF(BH59=$AA16,"X","")</f>
        <v/>
      </c>
      <c r="AA16" s="370" t="s">
        <v>306</v>
      </c>
      <c r="AB16" s="931"/>
      <c r="AC16" s="813" t="s">
        <v>1356</v>
      </c>
      <c r="AD16" s="134" t="str">
        <f>IF(BO197=$AE16,"X","")</f>
        <v/>
      </c>
      <c r="AE16" s="813">
        <v>15</v>
      </c>
      <c r="AF16" s="134" t="str">
        <f>IF(BP197=$AG16,"X","")</f>
        <v/>
      </c>
      <c r="AG16" s="539">
        <v>0.2</v>
      </c>
      <c r="AH16" s="134" t="str">
        <f>IF(MAX(BJ166,BN166)=$AI16,"X","")</f>
        <v/>
      </c>
      <c r="AI16" s="56">
        <f>ROUND(MAX(ROUND(I16,2)*AE16,AG16*E16),0)</f>
        <v>6814</v>
      </c>
      <c r="AJ16" s="134" t="str">
        <f>IF(BR59=$AK16,"X","")</f>
        <v/>
      </c>
      <c r="AK16" s="366" t="s">
        <v>307</v>
      </c>
      <c r="AL16" s="134" t="str">
        <f>IF(BS59=$AM16,"X","")</f>
        <v/>
      </c>
      <c r="AM16" s="366" t="s">
        <v>308</v>
      </c>
      <c r="AN16" s="370"/>
      <c r="AO16" s="681"/>
      <c r="AP16" s="22"/>
      <c r="AQ16" s="370"/>
      <c r="AR16" s="58"/>
      <c r="AV16" s="362"/>
      <c r="AW16" s="362"/>
      <c r="AX16" s="362"/>
      <c r="AY16" s="362"/>
      <c r="AZ16" s="362"/>
      <c r="BA16" s="362"/>
      <c r="BB16" s="362"/>
      <c r="BC16" s="362"/>
      <c r="BD16" s="362"/>
      <c r="BE16" s="362"/>
      <c r="BF16" s="362"/>
      <c r="BG16" s="362"/>
      <c r="BH16" s="362"/>
      <c r="BI16" s="362"/>
      <c r="BJ16" s="362"/>
      <c r="BK16" s="362"/>
      <c r="BL16" s="362"/>
      <c r="BM16" s="362"/>
      <c r="BN16" s="362"/>
      <c r="BO16" s="362"/>
      <c r="BP16" s="362"/>
      <c r="BQ16" s="362"/>
      <c r="BR16" s="362"/>
      <c r="BS16" s="362"/>
      <c r="BT16" s="362"/>
      <c r="BX16" s="362"/>
      <c r="BY16" s="362"/>
      <c r="BZ16" s="362"/>
      <c r="CA16" s="362"/>
      <c r="CB16" s="362"/>
      <c r="CC16" s="362"/>
      <c r="CD16" s="362"/>
      <c r="CE16" s="362"/>
      <c r="CF16" s="362"/>
      <c r="CG16" s="362"/>
      <c r="CH16" s="362"/>
      <c r="CI16" s="362"/>
      <c r="CJ16" s="362"/>
      <c r="CK16" s="362"/>
      <c r="CL16" s="362"/>
      <c r="CM16" s="362"/>
      <c r="CN16" s="362"/>
      <c r="CO16" s="362"/>
      <c r="CP16" s="362"/>
      <c r="CQ16" s="362"/>
      <c r="CR16" s="362"/>
      <c r="CS16" s="362"/>
      <c r="CT16" s="362"/>
      <c r="CU16" s="362"/>
      <c r="CV16" s="362"/>
      <c r="CW16" s="362"/>
      <c r="CX16" s="362"/>
      <c r="CY16" s="362"/>
      <c r="CZ16" s="362"/>
      <c r="DA16" s="362"/>
      <c r="DB16" s="362"/>
      <c r="DC16" s="362"/>
      <c r="DD16" s="362"/>
    </row>
    <row r="17" spans="2:108" s="82" customFormat="1" ht="27.6" x14ac:dyDescent="0.3">
      <c r="B17" s="321" t="s">
        <v>86</v>
      </c>
      <c r="C17" s="64" t="s">
        <v>118</v>
      </c>
      <c r="D17" s="333" t="s">
        <v>14</v>
      </c>
      <c r="E17" s="412" t="s">
        <v>14</v>
      </c>
      <c r="F17" s="333" t="s">
        <v>14</v>
      </c>
      <c r="G17" s="814" t="s">
        <v>14</v>
      </c>
      <c r="H17" s="333" t="s">
        <v>14</v>
      </c>
      <c r="I17" s="412" t="s">
        <v>14</v>
      </c>
      <c r="J17" s="333" t="s">
        <v>14</v>
      </c>
      <c r="K17" s="412" t="s">
        <v>14</v>
      </c>
      <c r="L17" s="333" t="s">
        <v>14</v>
      </c>
      <c r="M17" s="412" t="s">
        <v>14</v>
      </c>
      <c r="N17" s="333" t="s">
        <v>14</v>
      </c>
      <c r="O17" s="412" t="s">
        <v>14</v>
      </c>
      <c r="P17" s="333" t="s">
        <v>14</v>
      </c>
      <c r="Q17" s="814" t="s">
        <v>14</v>
      </c>
      <c r="R17" s="333" t="s">
        <v>14</v>
      </c>
      <c r="S17" s="412" t="s">
        <v>14</v>
      </c>
      <c r="T17" s="333" t="s">
        <v>14</v>
      </c>
      <c r="U17" s="815" t="s">
        <v>14</v>
      </c>
      <c r="V17" s="333" t="s">
        <v>14</v>
      </c>
      <c r="W17" s="412" t="s">
        <v>14</v>
      </c>
      <c r="X17" s="333" t="s">
        <v>14</v>
      </c>
      <c r="Y17" s="814" t="s">
        <v>14</v>
      </c>
      <c r="Z17" s="333" t="s">
        <v>14</v>
      </c>
      <c r="AA17" s="412" t="s">
        <v>14</v>
      </c>
      <c r="AB17" s="333" t="s">
        <v>14</v>
      </c>
      <c r="AC17" s="432"/>
      <c r="AD17" s="333" t="s">
        <v>14</v>
      </c>
      <c r="AE17" s="601" t="s">
        <v>14</v>
      </c>
      <c r="AF17" s="333" t="s">
        <v>14</v>
      </c>
      <c r="AG17" s="816" t="s">
        <v>14</v>
      </c>
      <c r="AH17" s="333" t="s">
        <v>14</v>
      </c>
      <c r="AI17" s="412" t="s">
        <v>14</v>
      </c>
      <c r="AJ17" s="333" t="s">
        <v>14</v>
      </c>
      <c r="AK17" s="412" t="s">
        <v>14</v>
      </c>
      <c r="AL17" s="333" t="s">
        <v>14</v>
      </c>
      <c r="AM17" s="412" t="s">
        <v>14</v>
      </c>
      <c r="AN17" s="91"/>
      <c r="AO17" s="91"/>
      <c r="AP17" s="91"/>
      <c r="AQ17" s="91"/>
      <c r="AR17" s="91"/>
      <c r="AV17" s="362"/>
      <c r="AW17" s="362"/>
      <c r="AX17" s="362"/>
      <c r="AY17" s="362"/>
      <c r="AZ17" s="362"/>
      <c r="BA17" s="362"/>
      <c r="BB17" s="362"/>
      <c r="BC17" s="362"/>
      <c r="BD17" s="362"/>
      <c r="BE17" s="362"/>
      <c r="BF17" s="362"/>
      <c r="BG17" s="362"/>
      <c r="BH17" s="362"/>
      <c r="BI17" s="362"/>
      <c r="BJ17" s="362"/>
      <c r="BK17" s="362"/>
      <c r="BL17" s="362"/>
      <c r="BM17" s="362"/>
      <c r="BN17" s="362"/>
      <c r="BO17" s="362"/>
      <c r="BP17" s="362"/>
      <c r="BQ17" s="362"/>
      <c r="BR17" s="362"/>
      <c r="BS17" s="362"/>
      <c r="BT17" s="362"/>
      <c r="BX17" s="362"/>
      <c r="BY17" s="362"/>
      <c r="BZ17" s="362"/>
      <c r="CA17" s="362"/>
      <c r="CB17" s="362"/>
      <c r="CC17" s="362"/>
      <c r="CD17" s="362"/>
      <c r="CE17" s="362"/>
      <c r="CF17" s="362"/>
      <c r="CG17" s="362"/>
      <c r="CH17" s="362"/>
      <c r="CI17" s="362"/>
      <c r="CJ17" s="362"/>
      <c r="CK17" s="362"/>
      <c r="CL17" s="362"/>
      <c r="CM17" s="362"/>
      <c r="CN17" s="362"/>
      <c r="CO17" s="362"/>
      <c r="CP17" s="362"/>
      <c r="CQ17" s="362"/>
      <c r="CR17" s="362"/>
      <c r="CS17" s="362"/>
      <c r="CT17" s="362"/>
      <c r="CU17" s="362"/>
      <c r="CV17" s="362"/>
      <c r="CW17" s="362"/>
      <c r="CX17" s="362"/>
      <c r="CY17" s="362"/>
      <c r="CZ17" s="362"/>
      <c r="DA17" s="362"/>
      <c r="DB17" s="362"/>
      <c r="DC17" s="362"/>
      <c r="DD17" s="362"/>
    </row>
    <row r="18" spans="2:108" ht="14.4" x14ac:dyDescent="0.3">
      <c r="B18" s="124" t="s">
        <v>87</v>
      </c>
      <c r="C18" s="85" t="s">
        <v>119</v>
      </c>
      <c r="D18" s="136" t="str">
        <f>IF($BB61=$G18,"X","")</f>
        <v/>
      </c>
      <c r="E18" s="536">
        <v>3373.61</v>
      </c>
      <c r="F18" s="136" t="str">
        <f>IF($BB61=$G18,"X","")</f>
        <v/>
      </c>
      <c r="G18" s="198">
        <f>66.67*0.5</f>
        <v>33.335000000000001</v>
      </c>
      <c r="H18" s="603" t="str">
        <f>IF(ROUND($BC61,2)=$I18,"X","")</f>
        <v/>
      </c>
      <c r="I18" s="600">
        <f>ROUND(E18/1000*G18,2)</f>
        <v>112.46</v>
      </c>
      <c r="J18" s="136" t="str">
        <f>IF($BD61=$K18,"X","")</f>
        <v/>
      </c>
      <c r="K18" s="371" t="s">
        <v>125</v>
      </c>
      <c r="L18" s="136" t="str">
        <f>IF($BE61=$M18,"X","")</f>
        <v/>
      </c>
      <c r="M18" s="366">
        <v>250</v>
      </c>
      <c r="N18" s="176" t="str">
        <f>IF($BF61=$O18,"X","")</f>
        <v/>
      </c>
      <c r="O18" s="370">
        <v>250</v>
      </c>
      <c r="P18" s="313" t="str">
        <f>IF($BA19=$Q18,"X","")</f>
        <v/>
      </c>
      <c r="Q18" s="198">
        <v>0.95</v>
      </c>
      <c r="R18" s="141" t="str">
        <f>IF($BB19=$S18,"X","")</f>
        <v/>
      </c>
      <c r="S18" s="378" t="s">
        <v>129</v>
      </c>
      <c r="T18" s="313" t="str">
        <f>IF($BI19=$U18,"X","")</f>
        <v/>
      </c>
      <c r="U18" s="812">
        <v>0.5</v>
      </c>
      <c r="V18" s="141" t="str">
        <f>IF($BJ19=$W18,"X","")</f>
        <v/>
      </c>
      <c r="W18" s="370" t="s">
        <v>133</v>
      </c>
      <c r="X18" s="313" t="str">
        <f>IF(BG61=$Y18,"X","")</f>
        <v/>
      </c>
      <c r="Y18" s="198">
        <v>0.09</v>
      </c>
      <c r="Z18" s="141" t="str">
        <f>IF(BH61=$AA18,"X","")</f>
        <v/>
      </c>
      <c r="AA18" s="370" t="s">
        <v>306</v>
      </c>
      <c r="AB18" s="931"/>
      <c r="AC18" s="813" t="s">
        <v>1356</v>
      </c>
      <c r="AD18" s="134" t="str">
        <f>IF(BO199=$AE18,"X","")</f>
        <v/>
      </c>
      <c r="AE18" s="813">
        <v>15</v>
      </c>
      <c r="AF18" s="134" t="str">
        <f>IF(BP199=$AG18,"X","")</f>
        <v/>
      </c>
      <c r="AG18" s="539">
        <v>0.15</v>
      </c>
      <c r="AH18" s="134" t="str">
        <f>IF(ROUND(MAX(BJ168,BN168),0)=$AI18,"X","")</f>
        <v/>
      </c>
      <c r="AI18" s="56">
        <f>ROUND(MAX(ROUND(I18,2)*AE18,AG18*E18),0)</f>
        <v>1687</v>
      </c>
      <c r="AJ18" s="313" t="str">
        <f>IF(BR61=$AK18,"X","")</f>
        <v/>
      </c>
      <c r="AK18" s="366" t="s">
        <v>307</v>
      </c>
      <c r="AL18" s="313" t="str">
        <f>IF(BS61=$AM18,"X","")</f>
        <v/>
      </c>
      <c r="AM18" s="366" t="s">
        <v>308</v>
      </c>
      <c r="AO18" s="681"/>
      <c r="AR18" s="58"/>
      <c r="AT18" s="370"/>
      <c r="AU18" s="370"/>
      <c r="AV18" s="362"/>
      <c r="AW18" s="362"/>
      <c r="AX18" s="362"/>
      <c r="AY18" s="362"/>
      <c r="AZ18" s="362"/>
      <c r="BA18" s="362"/>
      <c r="BB18" s="362"/>
      <c r="BC18" s="362"/>
      <c r="BD18" s="362"/>
      <c r="BE18" s="362"/>
      <c r="BF18" s="362"/>
      <c r="BG18" s="362"/>
      <c r="BH18" s="362"/>
      <c r="BI18" s="362"/>
      <c r="BJ18" s="362"/>
      <c r="BK18" s="362"/>
      <c r="BL18" s="362"/>
      <c r="BM18" s="362"/>
      <c r="BN18" s="362"/>
      <c r="BO18" s="362"/>
      <c r="BP18" s="362"/>
      <c r="BQ18" s="362"/>
      <c r="BR18" s="362"/>
      <c r="BS18" s="362"/>
      <c r="BT18" s="362"/>
      <c r="BU18" s="369"/>
      <c r="BV18" s="369"/>
      <c r="BW18" s="369"/>
      <c r="BX18" s="362"/>
      <c r="BY18" s="362"/>
      <c r="BZ18" s="362"/>
      <c r="CA18" s="362"/>
      <c r="CB18" s="362"/>
      <c r="CC18" s="362"/>
      <c r="CD18" s="362"/>
      <c r="CE18" s="362"/>
      <c r="CF18" s="362"/>
      <c r="CG18" s="362"/>
      <c r="CH18" s="362"/>
      <c r="CI18" s="362"/>
      <c r="CJ18" s="362"/>
      <c r="CK18" s="362"/>
      <c r="CL18" s="362"/>
      <c r="CM18" s="362"/>
      <c r="CN18" s="362"/>
      <c r="CO18" s="362"/>
      <c r="CP18" s="362"/>
      <c r="CQ18" s="362"/>
      <c r="CR18" s="362"/>
      <c r="CS18" s="362"/>
      <c r="CT18" s="362"/>
      <c r="CU18" s="362"/>
      <c r="CV18" s="362"/>
      <c r="CW18" s="362"/>
      <c r="CX18" s="362"/>
      <c r="CY18" s="362"/>
      <c r="CZ18" s="362"/>
      <c r="DA18" s="362"/>
      <c r="DB18" s="362"/>
      <c r="DC18" s="362"/>
      <c r="DD18" s="362"/>
    </row>
    <row r="19" spans="2:108" s="369" customFormat="1" ht="27.6" x14ac:dyDescent="0.3">
      <c r="B19" s="124" t="s">
        <v>88</v>
      </c>
      <c r="C19" s="85" t="s">
        <v>120</v>
      </c>
      <c r="D19" s="136" t="str">
        <f>IF($BB62=$G19,"X","")</f>
        <v/>
      </c>
      <c r="E19" s="536">
        <v>2174.0500000000002</v>
      </c>
      <c r="F19" s="136" t="str">
        <f>IF($BB62=$G19,"X","")</f>
        <v/>
      </c>
      <c r="G19" s="198">
        <f>10*0.5</f>
        <v>5</v>
      </c>
      <c r="H19" s="603" t="str">
        <f>IF(ROUND($BC62,2)=$I19,"X","")</f>
        <v/>
      </c>
      <c r="I19" s="600">
        <f>ROUND(E19/1000*G19,2)</f>
        <v>10.87</v>
      </c>
      <c r="J19" s="136" t="str">
        <f>IF($BD62=$K19,"X","")</f>
        <v/>
      </c>
      <c r="K19" s="371" t="s">
        <v>125</v>
      </c>
      <c r="L19" s="136" t="str">
        <f>IF($BE62=$M19,"X","")</f>
        <v/>
      </c>
      <c r="M19" s="366">
        <v>250</v>
      </c>
      <c r="N19" s="176" t="str">
        <f>IF($BF62=$O19,"X","")</f>
        <v/>
      </c>
      <c r="O19" s="370">
        <v>250</v>
      </c>
      <c r="P19" s="134" t="str">
        <f>IF($BA20=$Q19,"X","")</f>
        <v/>
      </c>
      <c r="Q19" s="198">
        <v>0.5</v>
      </c>
      <c r="R19" s="141" t="str">
        <f>IF($BB20=$S19,"X","")</f>
        <v/>
      </c>
      <c r="S19" s="378" t="s">
        <v>129</v>
      </c>
      <c r="T19" s="134" t="str">
        <f>IF($BI20=$U19,"X","")</f>
        <v/>
      </c>
      <c r="U19" s="812">
        <v>0.2</v>
      </c>
      <c r="V19" s="141" t="str">
        <f>IF($BJ20=$W19,"X","")</f>
        <v/>
      </c>
      <c r="W19" s="22" t="s">
        <v>133</v>
      </c>
      <c r="X19" s="134"/>
      <c r="Y19" s="198">
        <v>0</v>
      </c>
      <c r="Z19" s="141" t="str">
        <f>IF(BH62=$AA19,"X","")</f>
        <v/>
      </c>
      <c r="AA19" s="370" t="s">
        <v>306</v>
      </c>
      <c r="AB19" s="931"/>
      <c r="AC19" s="813" t="s">
        <v>1356</v>
      </c>
      <c r="AD19" s="134"/>
      <c r="AE19" s="813">
        <v>0</v>
      </c>
      <c r="AF19" s="134" t="str">
        <f>IF(BP200=$AG19,"X","")</f>
        <v/>
      </c>
      <c r="AG19" s="539">
        <v>0.15</v>
      </c>
      <c r="AH19" s="134" t="str">
        <f>IF(MAX(BJ169,BN169)=$AI19,"X","")</f>
        <v/>
      </c>
      <c r="AI19" s="56">
        <f>ROUND(MAX(ROUND(I19,1)*AE19,AG19*E19),0)</f>
        <v>326</v>
      </c>
      <c r="AJ19" s="134" t="str">
        <f>IF(BR62=$AK19,"X","")</f>
        <v/>
      </c>
      <c r="AK19" s="366" t="s">
        <v>307</v>
      </c>
      <c r="AL19" s="134" t="str">
        <f>IF(BS62=$AM19,"X","")</f>
        <v/>
      </c>
      <c r="AM19" s="366" t="s">
        <v>308</v>
      </c>
      <c r="AN19" s="370"/>
      <c r="AO19" s="58"/>
      <c r="AP19" s="58"/>
      <c r="AQ19" s="370"/>
      <c r="AR19" s="58"/>
      <c r="AV19" s="362"/>
      <c r="AW19" s="362"/>
      <c r="AX19" s="362"/>
      <c r="AY19" s="362"/>
      <c r="AZ19" s="362"/>
      <c r="BA19" s="362"/>
      <c r="BB19" s="362"/>
      <c r="BC19" s="362"/>
      <c r="BD19" s="362"/>
      <c r="BE19" s="362"/>
      <c r="BF19" s="362"/>
      <c r="BG19" s="362"/>
      <c r="BH19" s="362"/>
      <c r="BI19" s="362"/>
      <c r="BJ19" s="362"/>
      <c r="BK19" s="362"/>
      <c r="BL19" s="362"/>
      <c r="BM19" s="362"/>
      <c r="BN19" s="362"/>
      <c r="BO19" s="362"/>
      <c r="BP19" s="362"/>
      <c r="BQ19" s="362"/>
      <c r="BR19" s="362"/>
      <c r="BS19" s="362"/>
      <c r="BT19" s="362"/>
      <c r="BX19" s="362"/>
      <c r="BY19" s="362"/>
      <c r="BZ19" s="362"/>
      <c r="CA19" s="362"/>
      <c r="CB19" s="362"/>
      <c r="CC19" s="362"/>
      <c r="CD19" s="362"/>
      <c r="CE19" s="362"/>
      <c r="CF19" s="362"/>
      <c r="CG19" s="362"/>
      <c r="CH19" s="362"/>
      <c r="CI19" s="362"/>
      <c r="CJ19" s="362"/>
      <c r="CK19" s="362"/>
      <c r="CL19" s="362"/>
      <c r="CM19" s="362"/>
      <c r="CN19" s="362"/>
      <c r="CO19" s="362"/>
      <c r="CP19" s="362"/>
      <c r="CQ19" s="362"/>
      <c r="CR19" s="362"/>
      <c r="CS19" s="362"/>
      <c r="CT19" s="362"/>
      <c r="CU19" s="362"/>
      <c r="CV19" s="362"/>
      <c r="CW19" s="362"/>
      <c r="CX19" s="362"/>
      <c r="CY19" s="362"/>
      <c r="CZ19" s="362"/>
      <c r="DA19" s="362"/>
      <c r="DB19" s="362"/>
      <c r="DC19" s="362"/>
      <c r="DD19" s="362"/>
    </row>
    <row r="20" spans="2:108" s="369" customFormat="1" ht="27.6" x14ac:dyDescent="0.3">
      <c r="B20" s="124" t="s">
        <v>89</v>
      </c>
      <c r="C20" s="85" t="s">
        <v>116</v>
      </c>
      <c r="D20" s="136" t="str">
        <f>IF($BB63=$G20,"X","")</f>
        <v/>
      </c>
      <c r="E20" s="536">
        <v>3373.63</v>
      </c>
      <c r="F20" s="136" t="str">
        <f>IF($BB63=$G20,"X","")</f>
        <v/>
      </c>
      <c r="G20" s="198">
        <f>ROUNDDOWN(33.33*0.5,3)</f>
        <v>16.664999999999999</v>
      </c>
      <c r="H20" s="603" t="str">
        <f>IF(ROUND($BC63,2)=$I20,"X","")</f>
        <v/>
      </c>
      <c r="I20" s="600">
        <f>ROUND(E20/1000*G20,2)</f>
        <v>56.22</v>
      </c>
      <c r="J20" s="136" t="str">
        <f>IF($BD63=$K20,"X","")</f>
        <v/>
      </c>
      <c r="K20" s="371" t="s">
        <v>125</v>
      </c>
      <c r="L20" s="136" t="str">
        <f>IF($BE63=$M20,"X","")</f>
        <v/>
      </c>
      <c r="M20" s="366">
        <v>250</v>
      </c>
      <c r="N20" s="176" t="str">
        <f>IF($BF63=$O20,"X","")</f>
        <v/>
      </c>
      <c r="O20" s="370">
        <v>200</v>
      </c>
      <c r="P20" s="134" t="str">
        <f>IF($BA21=$Q20,"X","")</f>
        <v/>
      </c>
      <c r="Q20" s="198">
        <v>1</v>
      </c>
      <c r="R20" s="141" t="str">
        <f>IF($BB21=$S20,"X","")</f>
        <v/>
      </c>
      <c r="S20" s="378" t="s">
        <v>129</v>
      </c>
      <c r="T20" s="134" t="str">
        <f>IF($BI21=$U20,"X","")</f>
        <v/>
      </c>
      <c r="U20" s="812">
        <v>1</v>
      </c>
      <c r="V20" s="141" t="str">
        <f>IF($BJ21=$W20,"X","")</f>
        <v/>
      </c>
      <c r="W20" s="370" t="s">
        <v>133</v>
      </c>
      <c r="X20" s="134" t="str">
        <f>IF(BG63=$Y20,"X","")</f>
        <v/>
      </c>
      <c r="Y20" s="198">
        <v>0.18</v>
      </c>
      <c r="Z20" s="141" t="str">
        <f>IF(BH63=$AA20,"X","")</f>
        <v/>
      </c>
      <c r="AA20" s="370" t="s">
        <v>306</v>
      </c>
      <c r="AB20" s="931"/>
      <c r="AC20" s="813" t="s">
        <v>1356</v>
      </c>
      <c r="AD20" s="134" t="str">
        <f>IF(BO201=$AE20,"X","")</f>
        <v/>
      </c>
      <c r="AE20" s="813">
        <v>15</v>
      </c>
      <c r="AF20" s="134" t="str">
        <f>IF(BP201=$AG20,"X","")</f>
        <v/>
      </c>
      <c r="AG20" s="539">
        <v>0.2</v>
      </c>
      <c r="AH20" s="134" t="str">
        <f>IF(MAX(BJ170,BN170)=$AI20,"X","")</f>
        <v/>
      </c>
      <c r="AI20" s="56">
        <f>ROUND(MAX(ROUND(I20,1)*AE20,AG20*E20),0)</f>
        <v>843</v>
      </c>
      <c r="AJ20" s="134" t="str">
        <f>IF(BR63=$AK20,"X","")</f>
        <v/>
      </c>
      <c r="AK20" s="366" t="s">
        <v>307</v>
      </c>
      <c r="AL20" s="134" t="str">
        <f>IF(BS63=$AM20,"X","")</f>
        <v/>
      </c>
      <c r="AM20" s="366" t="s">
        <v>308</v>
      </c>
      <c r="AN20" s="370"/>
      <c r="AO20" s="681"/>
      <c r="AP20" s="22"/>
      <c r="AQ20" s="370"/>
      <c r="AR20" s="58"/>
      <c r="AV20" s="362"/>
      <c r="AW20" s="362"/>
      <c r="AX20" s="362"/>
      <c r="AY20" s="362"/>
      <c r="AZ20" s="362"/>
      <c r="BA20" s="362"/>
      <c r="BB20" s="362"/>
      <c r="BC20" s="362"/>
      <c r="BD20" s="362"/>
      <c r="BE20" s="362"/>
      <c r="BF20" s="362"/>
      <c r="BG20" s="362"/>
      <c r="BH20" s="362"/>
      <c r="BI20" s="362"/>
      <c r="BJ20" s="362"/>
      <c r="BK20" s="362"/>
      <c r="BL20" s="362"/>
      <c r="BM20" s="362"/>
      <c r="BN20" s="362"/>
      <c r="BO20" s="362"/>
      <c r="BP20" s="362"/>
      <c r="BQ20" s="362"/>
      <c r="BR20" s="362"/>
      <c r="BS20" s="362"/>
      <c r="BT20" s="362"/>
      <c r="BX20" s="362"/>
      <c r="BY20" s="362"/>
      <c r="BZ20" s="362"/>
      <c r="CA20" s="362"/>
      <c r="CB20" s="362"/>
      <c r="CC20" s="362"/>
      <c r="CD20" s="362"/>
      <c r="CE20" s="362"/>
      <c r="CF20" s="362"/>
      <c r="CG20" s="362"/>
      <c r="CH20" s="362"/>
      <c r="CI20" s="362"/>
      <c r="CJ20" s="362"/>
      <c r="CK20" s="362"/>
      <c r="CL20" s="362"/>
      <c r="CM20" s="362"/>
      <c r="CN20" s="362"/>
      <c r="CO20" s="362"/>
      <c r="CP20" s="362"/>
      <c r="CQ20" s="362"/>
      <c r="CR20" s="362"/>
      <c r="CS20" s="362"/>
      <c r="CT20" s="362"/>
      <c r="CU20" s="362"/>
      <c r="CV20" s="362"/>
      <c r="CW20" s="362"/>
      <c r="CX20" s="362"/>
      <c r="CY20" s="362"/>
      <c r="CZ20" s="362"/>
      <c r="DA20" s="362"/>
      <c r="DB20" s="362"/>
      <c r="DC20" s="362"/>
      <c r="DD20" s="362"/>
    </row>
    <row r="21" spans="2:108" s="369" customFormat="1" ht="27.6" x14ac:dyDescent="0.3">
      <c r="B21" s="124" t="s">
        <v>90</v>
      </c>
      <c r="C21" s="85" t="s">
        <v>116</v>
      </c>
      <c r="D21" s="136" t="str">
        <f>IF($BB64=$G21,"X","")</f>
        <v/>
      </c>
      <c r="E21" s="536">
        <v>2174.04</v>
      </c>
      <c r="F21" s="136" t="str">
        <f>IF($BB64=$G21,"X","")</f>
        <v/>
      </c>
      <c r="G21" s="198">
        <f>ROUNDDOWN(33.33*0.5,3)</f>
        <v>16.664999999999999</v>
      </c>
      <c r="H21" s="603" t="str">
        <f>IF(ROUND($BC64,2)=$I21,"X","")</f>
        <v/>
      </c>
      <c r="I21" s="600">
        <f>ROUND(E21/1000*G21,2)</f>
        <v>36.229999999999997</v>
      </c>
      <c r="J21" s="136" t="str">
        <f>IF($BD64=$K21,"X","")</f>
        <v/>
      </c>
      <c r="K21" s="371" t="s">
        <v>125</v>
      </c>
      <c r="L21" s="136" t="str">
        <f>IF($BE64=$M21,"X","")</f>
        <v/>
      </c>
      <c r="M21" s="366">
        <v>250</v>
      </c>
      <c r="N21" s="176" t="str">
        <f>IF($BF64=$O21,"X","")</f>
        <v/>
      </c>
      <c r="O21" s="370">
        <v>200</v>
      </c>
      <c r="P21" s="134" t="str">
        <f>IF($BA22=$Q21,"X","")</f>
        <v/>
      </c>
      <c r="Q21" s="198">
        <v>1</v>
      </c>
      <c r="R21" s="141" t="str">
        <f>IF($BB22=$S21,"X","")</f>
        <v/>
      </c>
      <c r="S21" s="378" t="s">
        <v>129</v>
      </c>
      <c r="T21" s="134" t="str">
        <f>IF($BI22=$U21,"X","")</f>
        <v/>
      </c>
      <c r="U21" s="812">
        <v>1</v>
      </c>
      <c r="V21" s="141" t="str">
        <f>IF($BJ22=$W21,"X","")</f>
        <v/>
      </c>
      <c r="W21" s="370" t="s">
        <v>133</v>
      </c>
      <c r="X21" s="134" t="str">
        <f>IF(BG64=$Y21,"X","")</f>
        <v/>
      </c>
      <c r="Y21" s="198">
        <v>0.18</v>
      </c>
      <c r="Z21" s="141" t="str">
        <f>IF(BH64=$AA21,"X","")</f>
        <v/>
      </c>
      <c r="AA21" s="370" t="s">
        <v>306</v>
      </c>
      <c r="AB21" s="931"/>
      <c r="AC21" s="813" t="s">
        <v>1356</v>
      </c>
      <c r="AD21" s="134" t="str">
        <f>IF(BO202=$AE21,"X","")</f>
        <v/>
      </c>
      <c r="AE21" s="813">
        <v>15</v>
      </c>
      <c r="AF21" s="134" t="str">
        <f>IF(BP202=$AG21,"X","")</f>
        <v/>
      </c>
      <c r="AG21" s="539">
        <v>0.2</v>
      </c>
      <c r="AH21" s="134" t="str">
        <f>IF(MAX(BJ171,BN171)=$AI21,"X","")</f>
        <v/>
      </c>
      <c r="AI21" s="56">
        <f>ROUND(MAX(ROUND(I21,1)*AE21,AG21*E21),0)</f>
        <v>543</v>
      </c>
      <c r="AJ21" s="134" t="str">
        <f>IF(BR64=$AK21,"X","")</f>
        <v/>
      </c>
      <c r="AK21" s="366" t="s">
        <v>307</v>
      </c>
      <c r="AL21" s="134" t="str">
        <f>IF(BS64=$AM21,"X","")</f>
        <v/>
      </c>
      <c r="AM21" s="366" t="s">
        <v>308</v>
      </c>
      <c r="AN21" s="370"/>
      <c r="AO21" s="681"/>
      <c r="AP21" s="22"/>
      <c r="AQ21" s="370"/>
      <c r="AR21" s="58"/>
      <c r="AV21" s="362"/>
      <c r="AW21" s="362"/>
      <c r="AX21" s="362"/>
      <c r="AY21" s="362"/>
      <c r="AZ21" s="362"/>
      <c r="BA21" s="362"/>
      <c r="BB21" s="362"/>
      <c r="BC21" s="362"/>
      <c r="BD21" s="362"/>
      <c r="BE21" s="362"/>
      <c r="BF21" s="362"/>
      <c r="BG21" s="362"/>
      <c r="BH21" s="362"/>
      <c r="BI21" s="362"/>
      <c r="BJ21" s="362"/>
      <c r="BK21" s="362"/>
      <c r="BL21" s="362"/>
      <c r="BM21" s="362"/>
      <c r="BN21" s="362"/>
      <c r="BO21" s="362"/>
      <c r="BP21" s="362"/>
      <c r="BQ21" s="362"/>
      <c r="BR21" s="362"/>
      <c r="BS21" s="362"/>
      <c r="BT21" s="362"/>
      <c r="BX21" s="362"/>
      <c r="BY21" s="362"/>
      <c r="BZ21" s="362"/>
      <c r="CA21" s="362"/>
      <c r="CB21" s="362"/>
      <c r="CC21" s="362"/>
      <c r="CD21" s="362"/>
      <c r="CE21" s="362"/>
      <c r="CF21" s="362"/>
      <c r="CG21" s="362"/>
      <c r="CH21" s="362"/>
      <c r="CI21" s="362"/>
      <c r="CJ21" s="362"/>
      <c r="CK21" s="362"/>
      <c r="CL21" s="362"/>
      <c r="CM21" s="362"/>
      <c r="CN21" s="362"/>
      <c r="CO21" s="362"/>
      <c r="CP21" s="362"/>
      <c r="CQ21" s="362"/>
      <c r="CR21" s="362"/>
      <c r="CS21" s="362"/>
      <c r="CT21" s="362"/>
      <c r="CU21" s="362"/>
      <c r="CV21" s="362"/>
      <c r="CW21" s="362"/>
      <c r="CX21" s="362"/>
      <c r="CY21" s="362"/>
      <c r="CZ21" s="362"/>
      <c r="DA21" s="362"/>
      <c r="DB21" s="362"/>
      <c r="DC21" s="362"/>
      <c r="DD21" s="362"/>
    </row>
    <row r="22" spans="2:108" s="369" customFormat="1" ht="14.4" x14ac:dyDescent="0.3">
      <c r="B22" s="124" t="s">
        <v>97</v>
      </c>
      <c r="C22" s="85" t="s">
        <v>121</v>
      </c>
      <c r="D22" s="136" t="str">
        <f>IF($BB65=$G22,"X","")</f>
        <v/>
      </c>
      <c r="E22" s="536">
        <v>27257.599999999999</v>
      </c>
      <c r="F22" s="136" t="str">
        <f>IF($BB65=$G22,"X","")</f>
        <v/>
      </c>
      <c r="G22" s="198">
        <f>10*0.5</f>
        <v>5</v>
      </c>
      <c r="H22" s="603" t="str">
        <f>IF(ROUND($BC65,2)=$I22,"X","")</f>
        <v/>
      </c>
      <c r="I22" s="600">
        <f>ROUND(E22/1000*G22,2)</f>
        <v>136.29</v>
      </c>
      <c r="J22" s="136" t="str">
        <f>IF($BD65=$K22,"X","")</f>
        <v/>
      </c>
      <c r="K22" s="371" t="s">
        <v>128</v>
      </c>
      <c r="L22" s="136" t="str">
        <f>IF($BE65=$M22,"X","")</f>
        <v/>
      </c>
      <c r="M22" s="366">
        <v>250</v>
      </c>
      <c r="N22" s="176" t="str">
        <f>IF($BF65=$O22,"X","")</f>
        <v/>
      </c>
      <c r="O22" s="370">
        <v>200</v>
      </c>
      <c r="P22" s="134" t="str">
        <f>IF($BA23=$Q22,"X","")</f>
        <v/>
      </c>
      <c r="Q22" s="198">
        <v>1</v>
      </c>
      <c r="R22" s="141" t="str">
        <f>IF($BB23=$S22,"X","")</f>
        <v/>
      </c>
      <c r="S22" s="378" t="s">
        <v>131</v>
      </c>
      <c r="T22" s="134" t="str">
        <f>IF($BI23=$U22,"X","")</f>
        <v/>
      </c>
      <c r="U22" s="812">
        <v>1.5</v>
      </c>
      <c r="V22" s="141" t="str">
        <f>IF($BJ23=$W22,"X","")</f>
        <v/>
      </c>
      <c r="W22" s="22" t="s">
        <v>135</v>
      </c>
      <c r="X22" s="134" t="str">
        <f>IF(BG65=$Y22,"X","")</f>
        <v/>
      </c>
      <c r="Y22" s="198">
        <v>0.24</v>
      </c>
      <c r="Z22" s="141" t="str">
        <f>IF(BH65=$AA22,"X","")</f>
        <v/>
      </c>
      <c r="AA22" s="370" t="s">
        <v>310</v>
      </c>
      <c r="AB22" s="931"/>
      <c r="AC22" s="813" t="s">
        <v>1356</v>
      </c>
      <c r="AD22" s="134"/>
      <c r="AE22" s="813">
        <v>0</v>
      </c>
      <c r="AF22" s="134" t="str">
        <f>IF(BP203=$AG22,"X","")</f>
        <v/>
      </c>
      <c r="AG22" s="539">
        <v>0.2</v>
      </c>
      <c r="AH22" s="134" t="str">
        <f>IF(MAX(BJ172,BN172)=$AI22,"X","")</f>
        <v/>
      </c>
      <c r="AI22" s="56">
        <f>ROUND(MAX(ROUND(I22,1)*AE22,AG22*E22),0)</f>
        <v>5452</v>
      </c>
      <c r="AJ22" s="134" t="str">
        <f>IF(BR65=$AK22,"X","")</f>
        <v/>
      </c>
      <c r="AK22" s="197" t="s">
        <v>303</v>
      </c>
      <c r="AL22" s="134" t="str">
        <f>IF(BS65=$AM22,"X","")</f>
        <v/>
      </c>
      <c r="AM22" s="197" t="s">
        <v>304</v>
      </c>
      <c r="AN22" s="370"/>
      <c r="AO22" s="682"/>
      <c r="AP22" s="683"/>
      <c r="AQ22" s="370"/>
      <c r="AR22" s="58"/>
      <c r="AV22" s="362"/>
      <c r="AW22" s="362"/>
      <c r="AX22" s="362"/>
      <c r="AY22" s="362"/>
      <c r="AZ22" s="362"/>
      <c r="BA22" s="362"/>
      <c r="BB22" s="362"/>
      <c r="BC22" s="362"/>
      <c r="BD22" s="362"/>
      <c r="BE22" s="362"/>
      <c r="BF22" s="362"/>
      <c r="BG22" s="362"/>
      <c r="BH22" s="362"/>
      <c r="BI22" s="362"/>
      <c r="BJ22" s="362"/>
      <c r="BK22" s="362"/>
      <c r="BL22" s="362"/>
      <c r="BM22" s="362"/>
      <c r="BN22" s="362"/>
      <c r="BO22" s="362"/>
      <c r="BP22" s="362"/>
      <c r="BQ22" s="362"/>
      <c r="BR22" s="362"/>
      <c r="BS22" s="362"/>
      <c r="BT22" s="362"/>
      <c r="BX22" s="362"/>
      <c r="BY22" s="362"/>
      <c r="BZ22" s="362"/>
      <c r="CA22" s="362"/>
      <c r="CB22" s="362"/>
      <c r="CC22" s="362"/>
      <c r="CD22" s="362"/>
      <c r="CE22" s="362"/>
      <c r="CF22" s="362"/>
      <c r="CG22" s="362"/>
      <c r="CH22" s="362"/>
      <c r="CI22" s="362"/>
      <c r="CJ22" s="362"/>
      <c r="CK22" s="362"/>
      <c r="CL22" s="362"/>
      <c r="CM22" s="362"/>
      <c r="CN22" s="362"/>
      <c r="CO22" s="362"/>
      <c r="CP22" s="362"/>
      <c r="CQ22" s="362"/>
      <c r="CR22" s="362"/>
      <c r="CS22" s="362"/>
      <c r="CT22" s="362"/>
      <c r="CU22" s="362"/>
      <c r="CV22" s="362"/>
      <c r="CW22" s="362"/>
      <c r="CX22" s="362"/>
      <c r="CY22" s="362"/>
      <c r="CZ22" s="362"/>
      <c r="DA22" s="362"/>
      <c r="DB22" s="362"/>
      <c r="DC22" s="362"/>
      <c r="DD22" s="362"/>
    </row>
    <row r="23" spans="2:108" s="82" customFormat="1" ht="27.6" x14ac:dyDescent="0.3">
      <c r="B23" s="321" t="s">
        <v>98</v>
      </c>
      <c r="C23" s="64" t="s">
        <v>118</v>
      </c>
      <c r="D23" s="333" t="s">
        <v>14</v>
      </c>
      <c r="E23" s="412" t="s">
        <v>14</v>
      </c>
      <c r="F23" s="333" t="s">
        <v>14</v>
      </c>
      <c r="G23" s="814" t="s">
        <v>14</v>
      </c>
      <c r="H23" s="333" t="s">
        <v>14</v>
      </c>
      <c r="I23" s="412" t="s">
        <v>14</v>
      </c>
      <c r="J23" s="333" t="s">
        <v>14</v>
      </c>
      <c r="K23" s="412" t="s">
        <v>14</v>
      </c>
      <c r="L23" s="333" t="s">
        <v>14</v>
      </c>
      <c r="M23" s="412" t="s">
        <v>14</v>
      </c>
      <c r="N23" s="333" t="s">
        <v>14</v>
      </c>
      <c r="O23" s="412" t="s">
        <v>14</v>
      </c>
      <c r="P23" s="333" t="s">
        <v>14</v>
      </c>
      <c r="Q23" s="814" t="s">
        <v>14</v>
      </c>
      <c r="R23" s="333" t="s">
        <v>14</v>
      </c>
      <c r="S23" s="412" t="s">
        <v>14</v>
      </c>
      <c r="T23" s="333" t="s">
        <v>14</v>
      </c>
      <c r="U23" s="815" t="s">
        <v>14</v>
      </c>
      <c r="V23" s="333" t="s">
        <v>14</v>
      </c>
      <c r="W23" s="412" t="s">
        <v>14</v>
      </c>
      <c r="X23" s="333" t="s">
        <v>14</v>
      </c>
      <c r="Y23" s="814" t="s">
        <v>14</v>
      </c>
      <c r="Z23" s="333" t="s">
        <v>14</v>
      </c>
      <c r="AA23" s="412" t="s">
        <v>14</v>
      </c>
      <c r="AB23" s="333" t="s">
        <v>14</v>
      </c>
      <c r="AC23" s="432"/>
      <c r="AD23" s="333" t="s">
        <v>14</v>
      </c>
      <c r="AE23" s="601" t="s">
        <v>14</v>
      </c>
      <c r="AF23" s="333" t="s">
        <v>14</v>
      </c>
      <c r="AG23" s="816" t="s">
        <v>14</v>
      </c>
      <c r="AH23" s="333" t="s">
        <v>14</v>
      </c>
      <c r="AI23" s="412" t="s">
        <v>14</v>
      </c>
      <c r="AJ23" s="333" t="s">
        <v>14</v>
      </c>
      <c r="AK23" s="412" t="s">
        <v>14</v>
      </c>
      <c r="AL23" s="333" t="s">
        <v>14</v>
      </c>
      <c r="AM23" s="412" t="s">
        <v>14</v>
      </c>
      <c r="AN23" s="91"/>
      <c r="AO23" s="91"/>
      <c r="AP23" s="91"/>
      <c r="AQ23" s="91"/>
      <c r="AR23" s="91"/>
      <c r="AV23" s="362"/>
      <c r="AW23" s="362"/>
      <c r="AX23" s="362"/>
      <c r="AY23" s="362"/>
      <c r="AZ23" s="362"/>
      <c r="BA23" s="362"/>
      <c r="BB23" s="362"/>
      <c r="BC23" s="362"/>
      <c r="BD23" s="362"/>
      <c r="BE23" s="362"/>
      <c r="BF23" s="362"/>
      <c r="BG23" s="362"/>
      <c r="BH23" s="362"/>
      <c r="BI23" s="362"/>
      <c r="BJ23" s="362"/>
      <c r="BK23" s="362"/>
      <c r="BL23" s="362"/>
      <c r="BM23" s="362"/>
      <c r="BN23" s="362"/>
      <c r="BO23" s="362"/>
      <c r="BP23" s="362"/>
      <c r="BQ23" s="362"/>
      <c r="BR23" s="362"/>
      <c r="BS23" s="362"/>
      <c r="BT23" s="362"/>
      <c r="BX23" s="362"/>
      <c r="BY23" s="362"/>
      <c r="BZ23" s="362"/>
      <c r="CA23" s="362"/>
      <c r="CB23" s="362"/>
      <c r="CC23" s="362"/>
      <c r="CD23" s="362"/>
      <c r="CE23" s="362"/>
      <c r="CF23" s="362"/>
      <c r="CG23" s="362"/>
      <c r="CH23" s="362"/>
      <c r="CI23" s="362"/>
      <c r="CJ23" s="362"/>
      <c r="CK23" s="362"/>
      <c r="CL23" s="362"/>
      <c r="CM23" s="362"/>
      <c r="CN23" s="362"/>
      <c r="CO23" s="362"/>
      <c r="CP23" s="362"/>
      <c r="CQ23" s="362"/>
      <c r="CR23" s="362"/>
      <c r="CS23" s="362"/>
      <c r="CT23" s="362"/>
      <c r="CU23" s="362"/>
      <c r="CV23" s="362"/>
      <c r="CW23" s="362"/>
      <c r="CX23" s="362"/>
      <c r="CY23" s="362"/>
      <c r="CZ23" s="362"/>
      <c r="DA23" s="362"/>
      <c r="DB23" s="362"/>
      <c r="DC23" s="362"/>
      <c r="DD23" s="362"/>
    </row>
    <row r="24" spans="2:108" s="369" customFormat="1" ht="14.4" x14ac:dyDescent="0.3">
      <c r="B24" s="124" t="s">
        <v>99</v>
      </c>
      <c r="C24" s="247" t="s">
        <v>121</v>
      </c>
      <c r="D24" s="136" t="str">
        <f>IF($BB67=$G24,"X","")</f>
        <v/>
      </c>
      <c r="E24" s="537">
        <v>3373.61</v>
      </c>
      <c r="F24" s="136" t="str">
        <f>IF($BB67=$G24,"X","")</f>
        <v/>
      </c>
      <c r="G24" s="198">
        <f>10*0.5</f>
        <v>5</v>
      </c>
      <c r="H24" s="603" t="str">
        <f>IF(ROUND($BC67,2)=$I24,"X","")</f>
        <v/>
      </c>
      <c r="I24" s="600">
        <f>ROUND(E24/1000*G24,2)</f>
        <v>16.87</v>
      </c>
      <c r="J24" s="136" t="str">
        <f>IF($BD67=$K24,"X","")</f>
        <v/>
      </c>
      <c r="K24" s="371" t="s">
        <v>128</v>
      </c>
      <c r="L24" s="136" t="str">
        <f>IF($BE67=$M24,"X","")</f>
        <v/>
      </c>
      <c r="M24" s="366">
        <v>250</v>
      </c>
      <c r="N24" s="176" t="str">
        <f>IF($BF67=$O24,"X","")</f>
        <v/>
      </c>
      <c r="O24" s="370">
        <v>200</v>
      </c>
      <c r="P24" s="136" t="str">
        <f>IF($BA25=$Q24,"X","")</f>
        <v/>
      </c>
      <c r="Q24" s="198">
        <v>1</v>
      </c>
      <c r="R24" s="141" t="str">
        <f>IF($BB25=$S24,"X","")</f>
        <v/>
      </c>
      <c r="S24" s="378" t="s">
        <v>131</v>
      </c>
      <c r="T24" s="136" t="str">
        <f>IF($BI25=$U24,"X","")</f>
        <v/>
      </c>
      <c r="U24" s="812">
        <v>1.5</v>
      </c>
      <c r="V24" s="141" t="str">
        <f>IF($BJ25=$W24,"X","")</f>
        <v/>
      </c>
      <c r="W24" s="22" t="s">
        <v>135</v>
      </c>
      <c r="X24" s="136" t="str">
        <f>IF(BG67=$Y24,"X","")</f>
        <v/>
      </c>
      <c r="Y24" s="198">
        <v>0.24</v>
      </c>
      <c r="Z24" s="141" t="str">
        <f>IF(BH67=$AA24,"X","")</f>
        <v/>
      </c>
      <c r="AA24" s="370" t="s">
        <v>310</v>
      </c>
      <c r="AB24" s="931"/>
      <c r="AC24" s="813" t="s">
        <v>1356</v>
      </c>
      <c r="AD24" s="134"/>
      <c r="AE24" s="813">
        <v>0</v>
      </c>
      <c r="AF24" s="134" t="str">
        <f>IF(BP205=$AG24,"X","")</f>
        <v/>
      </c>
      <c r="AG24" s="539">
        <v>0.2</v>
      </c>
      <c r="AH24" s="134" t="str">
        <f>IF(MAX(BJ174,BN174)=$AI24,"X","")</f>
        <v/>
      </c>
      <c r="AI24" s="56">
        <f>ROUND(MAX(ROUND(I24,1)*AE24,AG24*E24),0)</f>
        <v>675</v>
      </c>
      <c r="AJ24" s="136" t="str">
        <f>IF(BR67=$AK24,"X","")</f>
        <v/>
      </c>
      <c r="AK24" s="197" t="s">
        <v>303</v>
      </c>
      <c r="AL24" s="136" t="str">
        <f>IF(BS67=$AM24,"X","")</f>
        <v/>
      </c>
      <c r="AM24" s="197" t="s">
        <v>304</v>
      </c>
      <c r="AN24" s="370"/>
      <c r="AO24" s="682"/>
      <c r="AP24" s="683"/>
      <c r="AQ24" s="370"/>
      <c r="AR24" s="58"/>
      <c r="AV24" s="362"/>
      <c r="AW24" s="362"/>
      <c r="AX24" s="362"/>
      <c r="AY24" s="362"/>
      <c r="AZ24" s="362"/>
      <c r="BA24" s="362"/>
      <c r="BB24" s="362"/>
      <c r="BC24" s="362"/>
      <c r="BD24" s="362"/>
      <c r="BE24" s="362"/>
      <c r="BF24" s="362"/>
      <c r="BG24" s="362"/>
      <c r="BH24" s="362"/>
      <c r="BI24" s="362"/>
      <c r="BJ24" s="362"/>
      <c r="BK24" s="362"/>
      <c r="BL24" s="362"/>
      <c r="BM24" s="362"/>
      <c r="BN24" s="362"/>
      <c r="BO24" s="362"/>
      <c r="BP24" s="362"/>
      <c r="BQ24" s="362"/>
      <c r="BR24" s="362"/>
      <c r="BS24" s="362"/>
      <c r="BT24" s="362"/>
      <c r="BX24" s="362"/>
      <c r="BY24" s="362"/>
      <c r="BZ24" s="362"/>
      <c r="CA24" s="362"/>
      <c r="CB24" s="362"/>
      <c r="CC24" s="362"/>
      <c r="CD24" s="362"/>
      <c r="CE24" s="362"/>
      <c r="CF24" s="362"/>
      <c r="CG24" s="362"/>
      <c r="CH24" s="362"/>
      <c r="CI24" s="362"/>
      <c r="CJ24" s="362"/>
      <c r="CK24" s="362"/>
      <c r="CL24" s="362"/>
      <c r="CM24" s="362"/>
      <c r="CN24" s="362"/>
      <c r="CO24" s="362"/>
      <c r="CP24" s="362"/>
      <c r="CQ24" s="362"/>
      <c r="CR24" s="362"/>
      <c r="CS24" s="362"/>
      <c r="CT24" s="362"/>
      <c r="CU24" s="362"/>
      <c r="CV24" s="362"/>
      <c r="CW24" s="362"/>
      <c r="CX24" s="362"/>
      <c r="CY24" s="362"/>
      <c r="CZ24" s="362"/>
      <c r="DA24" s="362"/>
      <c r="DB24" s="362"/>
      <c r="DC24" s="362"/>
      <c r="DD24" s="362"/>
    </row>
    <row r="25" spans="2:108" s="369" customFormat="1" ht="27.6" x14ac:dyDescent="0.3">
      <c r="B25" s="124" t="s">
        <v>100</v>
      </c>
      <c r="C25" s="247" t="s">
        <v>120</v>
      </c>
      <c r="D25" s="136" t="str">
        <f>IF($BB68=$G25,"X","")</f>
        <v/>
      </c>
      <c r="E25" s="536">
        <v>2174.0500000000002</v>
      </c>
      <c r="F25" s="136" t="str">
        <f>IF($BB68=$G25,"X","")</f>
        <v/>
      </c>
      <c r="G25" s="198">
        <f>10*0.5</f>
        <v>5</v>
      </c>
      <c r="H25" s="603" t="str">
        <f>IF(ROUND($BC68,2)=$I25,"X","")</f>
        <v/>
      </c>
      <c r="I25" s="600">
        <f>ROUND(E25/1000*G25,2)</f>
        <v>10.87</v>
      </c>
      <c r="J25" s="136" t="str">
        <f>IF($BD68=$K25,"X","")</f>
        <v/>
      </c>
      <c r="K25" s="371" t="s">
        <v>128</v>
      </c>
      <c r="L25" s="136" t="str">
        <f>IF($BE68=$M25,"X","")</f>
        <v/>
      </c>
      <c r="M25" s="366">
        <v>250</v>
      </c>
      <c r="N25" s="176" t="str">
        <f>IF($BF68=$O25,"X","")</f>
        <v/>
      </c>
      <c r="O25" s="370">
        <v>250</v>
      </c>
      <c r="P25" s="134" t="str">
        <f>IF($BA26=$Q25,"X","")</f>
        <v/>
      </c>
      <c r="Q25" s="198">
        <v>0.5</v>
      </c>
      <c r="R25" s="141" t="str">
        <f>IF($BB26=$S25,"X","")</f>
        <v/>
      </c>
      <c r="S25" s="378" t="s">
        <v>131</v>
      </c>
      <c r="T25" s="136" t="str">
        <f>IF($BI26=$U25,"X","")</f>
        <v/>
      </c>
      <c r="U25" s="812">
        <v>0.2</v>
      </c>
      <c r="V25" s="141" t="str">
        <f>IF($BJ26=$W25,"X","")</f>
        <v/>
      </c>
      <c r="W25" s="22" t="s">
        <v>135</v>
      </c>
      <c r="X25" s="134"/>
      <c r="Y25" s="198">
        <v>0</v>
      </c>
      <c r="Z25" s="141" t="str">
        <f>IF(BH68=$AA25,"X","")</f>
        <v/>
      </c>
      <c r="AA25" s="370" t="s">
        <v>310</v>
      </c>
      <c r="AB25" s="931"/>
      <c r="AC25" s="813" t="s">
        <v>1356</v>
      </c>
      <c r="AD25" s="134"/>
      <c r="AE25" s="813">
        <v>0</v>
      </c>
      <c r="AF25" s="134" t="str">
        <f>IF(BP206=$AG25,"X","")</f>
        <v/>
      </c>
      <c r="AG25" s="539">
        <v>0.15</v>
      </c>
      <c r="AH25" s="134" t="str">
        <f>IF(MAX(BJ175,BN175)=$AI25,"X","")</f>
        <v/>
      </c>
      <c r="AI25" s="56">
        <f>ROUND(MAX(ROUND(I25,1)*AE25,AG25*E25),0)</f>
        <v>326</v>
      </c>
      <c r="AJ25" s="134" t="str">
        <f>IF(BR68=$AK25,"X","")</f>
        <v/>
      </c>
      <c r="AK25" s="197" t="s">
        <v>303</v>
      </c>
      <c r="AL25" s="134" t="str">
        <f>IF(BS68=$AM25,"X","")</f>
        <v/>
      </c>
      <c r="AM25" s="197" t="s">
        <v>304</v>
      </c>
      <c r="AN25" s="370"/>
      <c r="AO25" s="58"/>
      <c r="AP25" s="58"/>
      <c r="AQ25" s="370"/>
      <c r="AR25" s="58"/>
      <c r="AV25" s="362"/>
      <c r="AW25" s="362"/>
      <c r="AX25" s="362"/>
      <c r="AY25" s="362"/>
      <c r="AZ25" s="362"/>
      <c r="BA25" s="362"/>
      <c r="BB25" s="362"/>
      <c r="BC25" s="362"/>
      <c r="BD25" s="362"/>
      <c r="BE25" s="362"/>
      <c r="BF25" s="362"/>
      <c r="BG25" s="362"/>
      <c r="BH25" s="362"/>
      <c r="BI25" s="362"/>
      <c r="BJ25" s="362"/>
      <c r="BK25" s="362"/>
      <c r="BL25" s="362"/>
      <c r="BM25" s="362"/>
      <c r="BN25" s="362"/>
      <c r="BO25" s="362"/>
      <c r="BP25" s="362"/>
      <c r="BQ25" s="362"/>
      <c r="BR25" s="362"/>
      <c r="BS25" s="362"/>
      <c r="BT25" s="362"/>
      <c r="BX25" s="362"/>
      <c r="BY25" s="362"/>
      <c r="BZ25" s="362"/>
      <c r="CA25" s="362"/>
      <c r="CB25" s="362"/>
      <c r="CC25" s="362"/>
      <c r="CD25" s="362"/>
      <c r="CE25" s="362"/>
      <c r="CF25" s="362"/>
      <c r="CG25" s="362"/>
      <c r="CH25" s="362"/>
      <c r="CI25" s="362"/>
      <c r="CJ25" s="362"/>
      <c r="CK25" s="362"/>
      <c r="CL25" s="362"/>
      <c r="CM25" s="362"/>
      <c r="CN25" s="362"/>
      <c r="CO25" s="362"/>
      <c r="CP25" s="362"/>
      <c r="CQ25" s="362"/>
      <c r="CR25" s="362"/>
      <c r="CS25" s="362"/>
      <c r="CT25" s="362"/>
      <c r="CU25" s="362"/>
      <c r="CV25" s="362"/>
      <c r="CW25" s="362"/>
      <c r="CX25" s="362"/>
      <c r="CY25" s="362"/>
      <c r="CZ25" s="362"/>
      <c r="DA25" s="362"/>
      <c r="DB25" s="362"/>
      <c r="DC25" s="362"/>
      <c r="DD25" s="362"/>
    </row>
    <row r="26" spans="2:108" s="369" customFormat="1" ht="14.4" x14ac:dyDescent="0.3">
      <c r="B26" s="124" t="s">
        <v>101</v>
      </c>
      <c r="C26" s="247" t="s">
        <v>121</v>
      </c>
      <c r="D26" s="136" t="str">
        <f>IF($BB69=$G26,"X","")</f>
        <v/>
      </c>
      <c r="E26" s="537">
        <v>3373.63</v>
      </c>
      <c r="F26" s="136" t="str">
        <f>IF($BB69=$G26,"X","")</f>
        <v/>
      </c>
      <c r="G26" s="198">
        <f>10*0.5</f>
        <v>5</v>
      </c>
      <c r="H26" s="603" t="str">
        <f>IF(ROUND($BC69,2)=$I26,"X","")</f>
        <v/>
      </c>
      <c r="I26" s="600">
        <f>ROUND(E26/1000*G26,2)</f>
        <v>16.87</v>
      </c>
      <c r="J26" s="136" t="str">
        <f>IF($BD69=$K26,"X","")</f>
        <v/>
      </c>
      <c r="K26" s="371" t="s">
        <v>128</v>
      </c>
      <c r="L26" s="136" t="str">
        <f>IF($BE69=$M26,"X","")</f>
        <v/>
      </c>
      <c r="M26" s="366">
        <v>250</v>
      </c>
      <c r="N26" s="176" t="str">
        <f>IF($BF69=$O26,"X","")</f>
        <v/>
      </c>
      <c r="O26" s="370">
        <v>200</v>
      </c>
      <c r="P26" s="134" t="str">
        <f>IF($BA27=$Q26,"X","")</f>
        <v/>
      </c>
      <c r="Q26" s="198">
        <v>1</v>
      </c>
      <c r="R26" s="141" t="str">
        <f>IF($BB27=$S26,"X","")</f>
        <v/>
      </c>
      <c r="S26" s="378" t="s">
        <v>131</v>
      </c>
      <c r="T26" s="136" t="str">
        <f>IF($BI27=$U26,"X","")</f>
        <v/>
      </c>
      <c r="U26" s="812">
        <v>1.5</v>
      </c>
      <c r="V26" s="141" t="str">
        <f>IF($BJ27=$W26,"X","")</f>
        <v/>
      </c>
      <c r="W26" s="22" t="s">
        <v>135</v>
      </c>
      <c r="X26" s="134" t="str">
        <f>IF(BG69=$Y26,"X","")</f>
        <v/>
      </c>
      <c r="Y26" s="198">
        <v>0.24</v>
      </c>
      <c r="Z26" s="141" t="str">
        <f>IF(BH69=$AA26,"X","")</f>
        <v/>
      </c>
      <c r="AA26" s="370" t="s">
        <v>310</v>
      </c>
      <c r="AB26" s="931"/>
      <c r="AC26" s="813" t="s">
        <v>1356</v>
      </c>
      <c r="AD26" s="134"/>
      <c r="AE26" s="813">
        <v>0</v>
      </c>
      <c r="AF26" s="134" t="str">
        <f>IF(BP207=$AG26,"X","")</f>
        <v/>
      </c>
      <c r="AG26" s="539">
        <v>0.2</v>
      </c>
      <c r="AH26" s="134" t="str">
        <f>IF(MAX(BJ176,BN176)=$AI26,"X","")</f>
        <v/>
      </c>
      <c r="AI26" s="56">
        <f>ROUND(MAX(ROUND(I26,1)*AE26,AG26*E26),0)</f>
        <v>675</v>
      </c>
      <c r="AJ26" s="134" t="str">
        <f>IF(BR69=$AK26,"X","")</f>
        <v/>
      </c>
      <c r="AK26" s="197" t="s">
        <v>303</v>
      </c>
      <c r="AL26" s="134" t="str">
        <f>IF(BS69=$AM26,"X","")</f>
        <v/>
      </c>
      <c r="AM26" s="197" t="s">
        <v>304</v>
      </c>
      <c r="AN26" s="370"/>
      <c r="AO26" s="682"/>
      <c r="AP26" s="683"/>
      <c r="AQ26" s="370"/>
      <c r="AR26" s="58"/>
      <c r="AV26" s="362"/>
      <c r="AW26" s="362"/>
      <c r="AX26" s="362"/>
      <c r="AY26" s="362"/>
      <c r="AZ26" s="362"/>
      <c r="BA26" s="362"/>
      <c r="BB26" s="362"/>
      <c r="BC26" s="362"/>
      <c r="BD26" s="362"/>
      <c r="BE26" s="362"/>
      <c r="BF26" s="362"/>
      <c r="BG26" s="362"/>
      <c r="BH26" s="362"/>
      <c r="BI26" s="362"/>
      <c r="BJ26" s="362"/>
      <c r="BK26" s="362"/>
      <c r="BL26" s="362"/>
      <c r="BM26" s="362"/>
      <c r="BN26" s="362"/>
      <c r="BO26" s="362"/>
      <c r="BP26" s="362"/>
      <c r="BQ26" s="362"/>
      <c r="BR26" s="362"/>
      <c r="BS26" s="362"/>
      <c r="BT26" s="362"/>
      <c r="BX26" s="362"/>
      <c r="BY26" s="362"/>
      <c r="BZ26" s="362"/>
      <c r="CA26" s="362"/>
      <c r="CB26" s="362"/>
      <c r="CC26" s="362"/>
      <c r="CD26" s="362"/>
      <c r="CE26" s="362"/>
      <c r="CF26" s="362"/>
      <c r="CG26" s="362"/>
      <c r="CH26" s="362"/>
      <c r="CI26" s="362"/>
      <c r="CJ26" s="362"/>
      <c r="CK26" s="362"/>
      <c r="CL26" s="362"/>
      <c r="CM26" s="362"/>
      <c r="CN26" s="362"/>
      <c r="CO26" s="362"/>
      <c r="CP26" s="362"/>
      <c r="CQ26" s="362"/>
      <c r="CR26" s="362"/>
      <c r="CS26" s="362"/>
      <c r="CT26" s="362"/>
      <c r="CU26" s="362"/>
      <c r="CV26" s="362"/>
    </row>
    <row r="27" spans="2:108" s="369" customFormat="1" ht="14.4" x14ac:dyDescent="0.3">
      <c r="B27" s="124" t="s">
        <v>102</v>
      </c>
      <c r="C27" s="247" t="s">
        <v>121</v>
      </c>
      <c r="D27" s="136" t="str">
        <f>IF($BB70=$G27,"X","")</f>
        <v/>
      </c>
      <c r="E27" s="537">
        <v>2174.04</v>
      </c>
      <c r="F27" s="136" t="str">
        <f>IF($BB70=$G27,"X","")</f>
        <v/>
      </c>
      <c r="G27" s="198">
        <f>10*0.5</f>
        <v>5</v>
      </c>
      <c r="H27" s="603" t="str">
        <f>IF(ROUND($BC70,2)=$I27,"X","")</f>
        <v/>
      </c>
      <c r="I27" s="600">
        <f>ROUND(E27/1000*G27,2)</f>
        <v>10.87</v>
      </c>
      <c r="J27" s="136" t="str">
        <f>IF($BD70=$K27,"X","")</f>
        <v/>
      </c>
      <c r="K27" s="371" t="s">
        <v>128</v>
      </c>
      <c r="L27" s="136" t="str">
        <f>IF($BE70=$M27,"X","")</f>
        <v/>
      </c>
      <c r="M27" s="366">
        <v>250</v>
      </c>
      <c r="N27" s="176" t="str">
        <f>IF($BF70=$O27,"X","")</f>
        <v/>
      </c>
      <c r="O27" s="370">
        <v>200</v>
      </c>
      <c r="P27" s="134" t="str">
        <f>IF($BA28=$Q27,"X","")</f>
        <v/>
      </c>
      <c r="Q27" s="198">
        <v>1</v>
      </c>
      <c r="R27" s="141" t="str">
        <f>IF($BB28=$S27,"X","")</f>
        <v/>
      </c>
      <c r="S27" s="378" t="s">
        <v>131</v>
      </c>
      <c r="T27" s="136" t="str">
        <f>IF($BI28=$U27,"X","")</f>
        <v/>
      </c>
      <c r="U27" s="812">
        <v>1.5</v>
      </c>
      <c r="V27" s="141" t="str">
        <f>IF($BJ28=$W27,"X","")</f>
        <v/>
      </c>
      <c r="W27" s="22" t="s">
        <v>135</v>
      </c>
      <c r="X27" s="134" t="str">
        <f>IF(BG70=$Y27,"X","")</f>
        <v/>
      </c>
      <c r="Y27" s="198">
        <v>0.24</v>
      </c>
      <c r="Z27" s="141" t="str">
        <f>IF(BH70=$AA27,"X","")</f>
        <v/>
      </c>
      <c r="AA27" s="370" t="s">
        <v>310</v>
      </c>
      <c r="AB27" s="931"/>
      <c r="AC27" s="813" t="s">
        <v>1356</v>
      </c>
      <c r="AD27" s="134"/>
      <c r="AE27" s="813">
        <v>0</v>
      </c>
      <c r="AF27" s="134" t="str">
        <f>IF(BP208=$AG27,"X","")</f>
        <v/>
      </c>
      <c r="AG27" s="539">
        <v>0.2</v>
      </c>
      <c r="AH27" s="134" t="str">
        <f>IF(MAX(BJ177,BN177)=$AI27,"X","")</f>
        <v/>
      </c>
      <c r="AI27" s="56">
        <f>ROUND(MAX(ROUND(I27,1)*AE27,AG27*E27),0)</f>
        <v>435</v>
      </c>
      <c r="AJ27" s="134" t="str">
        <f>IF(BR70=$AK27,"X","")</f>
        <v/>
      </c>
      <c r="AK27" s="197" t="s">
        <v>303</v>
      </c>
      <c r="AL27" s="134" t="str">
        <f>IF(BS70=$AM27,"X","")</f>
        <v/>
      </c>
      <c r="AM27" s="197" t="s">
        <v>304</v>
      </c>
      <c r="AN27" s="370"/>
      <c r="AO27" s="682"/>
      <c r="AP27" s="683"/>
      <c r="AQ27" s="370"/>
      <c r="AR27" s="58"/>
      <c r="AV27" s="362"/>
      <c r="AW27" s="362"/>
      <c r="AX27" s="362"/>
      <c r="AY27" s="362"/>
      <c r="AZ27" s="362"/>
      <c r="BA27" s="362"/>
      <c r="BB27" s="362"/>
      <c r="BC27" s="362"/>
      <c r="BD27" s="362"/>
      <c r="BE27" s="362"/>
      <c r="BF27" s="362"/>
      <c r="BG27" s="362"/>
      <c r="BH27" s="362"/>
      <c r="BI27" s="362"/>
      <c r="BJ27" s="362"/>
      <c r="BK27" s="362"/>
      <c r="BL27" s="362"/>
      <c r="BX27" s="362"/>
      <c r="BY27" s="362"/>
      <c r="BZ27" s="362"/>
      <c r="CA27" s="362"/>
      <c r="CB27" s="362"/>
      <c r="CC27" s="362"/>
      <c r="CD27" s="362"/>
      <c r="CE27" s="362"/>
      <c r="CF27" s="362"/>
      <c r="CG27" s="362"/>
      <c r="CH27" s="362"/>
      <c r="CI27" s="362"/>
      <c r="CJ27" s="362"/>
      <c r="CK27" s="362"/>
      <c r="CL27" s="362"/>
      <c r="CM27" s="362"/>
      <c r="CN27" s="362"/>
      <c r="CO27" s="362"/>
      <c r="CP27" s="362"/>
      <c r="CQ27" s="362"/>
      <c r="CR27" s="362"/>
      <c r="CS27" s="362"/>
      <c r="CT27" s="362"/>
      <c r="CU27" s="362"/>
      <c r="CV27" s="362"/>
    </row>
    <row r="28" spans="2:108" s="369" customFormat="1" ht="27.6" x14ac:dyDescent="0.3">
      <c r="B28" s="124" t="s">
        <v>91</v>
      </c>
      <c r="C28" s="85" t="s">
        <v>117</v>
      </c>
      <c r="D28" s="136" t="str">
        <f>IF($BB71=$G28,"X","")</f>
        <v/>
      </c>
      <c r="E28" s="536">
        <v>27257.65</v>
      </c>
      <c r="F28" s="136" t="str">
        <f>IF($BB71=$G28,"X","")</f>
        <v/>
      </c>
      <c r="G28" s="27">
        <f>10*0.5</f>
        <v>5</v>
      </c>
      <c r="H28" s="603" t="str">
        <f>IF(ROUND($BC71,3)=$I28,"X","")</f>
        <v/>
      </c>
      <c r="I28" s="684">
        <f>ROUND(E28/1000*G28,3)</f>
        <v>136.28800000000001</v>
      </c>
      <c r="J28" s="136" t="str">
        <f>IF($BD71=$K28,"X","")</f>
        <v/>
      </c>
      <c r="K28" s="371" t="s">
        <v>127</v>
      </c>
      <c r="L28" s="136" t="str">
        <f>IF($BE71=$M28,"X","")</f>
        <v/>
      </c>
      <c r="M28" s="366">
        <v>250</v>
      </c>
      <c r="N28" s="176" t="str">
        <f>IF($BF71=$O28,"X","")</f>
        <v/>
      </c>
      <c r="O28" s="370">
        <v>200</v>
      </c>
      <c r="P28" s="134" t="str">
        <f>IF($BA29=$Q28,"X","")</f>
        <v/>
      </c>
      <c r="Q28" s="198">
        <v>0.75</v>
      </c>
      <c r="R28" s="141" t="str">
        <f>IF($BB29=$S28,"X","")</f>
        <v/>
      </c>
      <c r="S28" s="378" t="s">
        <v>130</v>
      </c>
      <c r="T28" s="134" t="str">
        <f>IF($BI29=$U28,"X","")</f>
        <v/>
      </c>
      <c r="U28" s="812">
        <v>1.5</v>
      </c>
      <c r="V28" s="141" t="str">
        <f>IF($BJ29=$W28,"X","")</f>
        <v/>
      </c>
      <c r="W28" s="370" t="s">
        <v>134</v>
      </c>
      <c r="X28" s="134" t="str">
        <f>IF(BG71=$Y28,"X","")</f>
        <v/>
      </c>
      <c r="Y28" s="198">
        <v>0.18</v>
      </c>
      <c r="Z28" s="141" t="str">
        <f>IF(BH71=$AA28,"X","")</f>
        <v/>
      </c>
      <c r="AA28" s="370" t="s">
        <v>305</v>
      </c>
      <c r="AB28" s="931"/>
      <c r="AC28" s="813" t="s">
        <v>1385</v>
      </c>
      <c r="AD28" s="134"/>
      <c r="AE28" s="813">
        <v>0</v>
      </c>
      <c r="AF28" s="134" t="str">
        <f>IF(BP209=$AG28,"X","")</f>
        <v/>
      </c>
      <c r="AG28" s="539">
        <v>0.16197300000000001</v>
      </c>
      <c r="AH28" s="134" t="str">
        <f>IF(MAX(BJ178,BN178)=$AI28,"X","")</f>
        <v/>
      </c>
      <c r="AI28" s="56">
        <f>ROUND(MAX(ROUND(I28,1)*AE28,AG28*E28),0)</f>
        <v>4415</v>
      </c>
      <c r="AJ28" s="134" t="str">
        <f>IF(BR71=$AK28,"X","")</f>
        <v/>
      </c>
      <c r="AK28" s="366" t="s">
        <v>298</v>
      </c>
      <c r="AL28" s="134" t="str">
        <f>IF(BS71=$AM28,"X","")</f>
        <v/>
      </c>
      <c r="AM28" s="366" t="s">
        <v>299</v>
      </c>
      <c r="AN28" s="370"/>
      <c r="AO28" s="58"/>
      <c r="AP28" s="370"/>
      <c r="AQ28" s="370"/>
      <c r="AR28" s="58"/>
      <c r="AV28" s="362"/>
      <c r="AW28" s="362"/>
      <c r="AX28" s="362"/>
      <c r="AY28" s="362"/>
      <c r="AZ28" s="362"/>
      <c r="BA28" s="362"/>
      <c r="BB28" s="362"/>
      <c r="BC28" s="362"/>
      <c r="BD28" s="362"/>
      <c r="BE28" s="362"/>
      <c r="BF28" s="362"/>
      <c r="BG28" s="362"/>
      <c r="BH28" s="362"/>
      <c r="BI28" s="362"/>
      <c r="BJ28" s="362"/>
      <c r="BK28" s="362"/>
      <c r="BL28" s="362"/>
      <c r="BX28" s="362"/>
      <c r="BY28" s="362"/>
      <c r="BZ28" s="362"/>
      <c r="CA28" s="362"/>
      <c r="CB28" s="362"/>
      <c r="CC28" s="362"/>
      <c r="CD28" s="362"/>
      <c r="CE28" s="362"/>
      <c r="CF28" s="362"/>
      <c r="CG28" s="362"/>
      <c r="CH28" s="362"/>
      <c r="CI28" s="362"/>
      <c r="CJ28" s="362"/>
      <c r="CK28" s="362"/>
      <c r="CL28" s="362"/>
      <c r="CM28" s="362"/>
      <c r="CN28" s="362"/>
      <c r="CO28" s="362"/>
      <c r="CP28" s="362"/>
      <c r="CQ28" s="362"/>
      <c r="CR28" s="362"/>
      <c r="CS28" s="362"/>
      <c r="CT28" s="362"/>
      <c r="CU28" s="362"/>
      <c r="CV28" s="362"/>
    </row>
    <row r="29" spans="2:108" s="82" customFormat="1" ht="27.6" x14ac:dyDescent="0.3">
      <c r="B29" s="321" t="s">
        <v>92</v>
      </c>
      <c r="C29" s="64" t="s">
        <v>118</v>
      </c>
      <c r="D29" s="333" t="s">
        <v>14</v>
      </c>
      <c r="E29" s="412" t="s">
        <v>14</v>
      </c>
      <c r="F29" s="333" t="s">
        <v>14</v>
      </c>
      <c r="G29" s="814" t="s">
        <v>14</v>
      </c>
      <c r="H29" s="333" t="s">
        <v>14</v>
      </c>
      <c r="I29" s="412" t="s">
        <v>14</v>
      </c>
      <c r="J29" s="333" t="s">
        <v>14</v>
      </c>
      <c r="K29" s="412" t="s">
        <v>14</v>
      </c>
      <c r="L29" s="333" t="s">
        <v>14</v>
      </c>
      <c r="M29" s="412" t="s">
        <v>14</v>
      </c>
      <c r="N29" s="333" t="s">
        <v>14</v>
      </c>
      <c r="O29" s="412" t="s">
        <v>14</v>
      </c>
      <c r="P29" s="333" t="s">
        <v>14</v>
      </c>
      <c r="Q29" s="814" t="s">
        <v>14</v>
      </c>
      <c r="R29" s="333" t="s">
        <v>14</v>
      </c>
      <c r="S29" s="412" t="s">
        <v>14</v>
      </c>
      <c r="T29" s="333" t="s">
        <v>14</v>
      </c>
      <c r="U29" s="815" t="s">
        <v>14</v>
      </c>
      <c r="V29" s="333" t="s">
        <v>14</v>
      </c>
      <c r="W29" s="412" t="s">
        <v>14</v>
      </c>
      <c r="X29" s="333" t="s">
        <v>14</v>
      </c>
      <c r="Y29" s="814" t="s">
        <v>14</v>
      </c>
      <c r="Z29" s="333" t="s">
        <v>14</v>
      </c>
      <c r="AA29" s="412" t="s">
        <v>14</v>
      </c>
      <c r="AB29" s="333" t="s">
        <v>14</v>
      </c>
      <c r="AC29" s="432"/>
      <c r="AD29" s="333" t="s">
        <v>14</v>
      </c>
      <c r="AE29" s="601" t="s">
        <v>14</v>
      </c>
      <c r="AF29" s="333" t="s">
        <v>14</v>
      </c>
      <c r="AG29" s="816" t="s">
        <v>14</v>
      </c>
      <c r="AH29" s="333" t="s">
        <v>14</v>
      </c>
      <c r="AI29" s="412" t="s">
        <v>14</v>
      </c>
      <c r="AJ29" s="333" t="s">
        <v>14</v>
      </c>
      <c r="AK29" s="412" t="s">
        <v>14</v>
      </c>
      <c r="AL29" s="333" t="s">
        <v>14</v>
      </c>
      <c r="AM29" s="412" t="s">
        <v>14</v>
      </c>
      <c r="AN29" s="91"/>
      <c r="AO29" s="91"/>
      <c r="AP29" s="91"/>
      <c r="AQ29" s="91"/>
      <c r="AR29" s="91"/>
      <c r="AV29" s="362"/>
      <c r="AW29" s="362"/>
      <c r="AX29" s="362"/>
      <c r="AY29" s="362"/>
      <c r="AZ29" s="362"/>
      <c r="BA29" s="362"/>
      <c r="BB29" s="362"/>
      <c r="BC29" s="362"/>
      <c r="BD29" s="362"/>
      <c r="BE29" s="362"/>
      <c r="BF29" s="362"/>
      <c r="BG29" s="362"/>
      <c r="BH29" s="362"/>
      <c r="BI29" s="362"/>
      <c r="BJ29" s="362"/>
      <c r="BK29" s="362"/>
      <c r="BL29" s="362"/>
      <c r="BM29" s="607"/>
      <c r="BN29" s="607"/>
      <c r="BO29" s="607"/>
      <c r="BP29" s="607"/>
      <c r="BQ29" s="607"/>
      <c r="BR29" s="607"/>
      <c r="BS29" s="607"/>
      <c r="BT29" s="607"/>
      <c r="BX29" s="362"/>
      <c r="BY29" s="362"/>
      <c r="BZ29" s="362"/>
      <c r="CA29" s="362"/>
      <c r="CB29" s="362"/>
      <c r="CC29" s="362"/>
      <c r="CD29" s="362"/>
      <c r="CE29" s="362"/>
      <c r="CF29" s="362"/>
      <c r="CG29" s="362"/>
      <c r="CH29" s="362"/>
      <c r="CI29" s="362"/>
      <c r="CJ29" s="362"/>
      <c r="CK29" s="362"/>
      <c r="CL29" s="362"/>
      <c r="CM29" s="362"/>
      <c r="CN29" s="362"/>
      <c r="CO29" s="362"/>
      <c r="CP29" s="362"/>
      <c r="CQ29" s="362"/>
      <c r="CR29" s="362"/>
      <c r="CS29" s="362"/>
      <c r="CT29" s="362"/>
      <c r="CU29" s="362"/>
      <c r="CV29" s="362"/>
    </row>
    <row r="30" spans="2:108" s="369" customFormat="1" ht="27.6" x14ac:dyDescent="0.3">
      <c r="B30" s="124" t="s">
        <v>93</v>
      </c>
      <c r="C30" s="85" t="s">
        <v>117</v>
      </c>
      <c r="D30" s="134" t="str">
        <f t="shared" ref="D30:D38" si="0">IF($BB73=$G30,"X","")</f>
        <v/>
      </c>
      <c r="E30" s="536">
        <v>3373.61</v>
      </c>
      <c r="F30" s="134" t="str">
        <f t="shared" ref="F30:F38" si="1">IF($BB73=$G30,"X","")</f>
        <v/>
      </c>
      <c r="G30" s="27">
        <f>10*0.5</f>
        <v>5</v>
      </c>
      <c r="H30" s="603" t="str">
        <f t="shared" ref="H30:H38" si="2">IF(ROUND($BC73,2)=$I30,"X","")</f>
        <v/>
      </c>
      <c r="I30" s="600">
        <f>ROUND(E30/1000*G30,2)</f>
        <v>16.87</v>
      </c>
      <c r="J30" s="134" t="str">
        <f t="shared" ref="J30:J38" si="3">IF($BD73=$K30,"X","")</f>
        <v/>
      </c>
      <c r="K30" s="371" t="s">
        <v>127</v>
      </c>
      <c r="L30" s="134" t="str">
        <f t="shared" ref="L30:L38" si="4">IF($BE73=$M30,"X","")</f>
        <v/>
      </c>
      <c r="M30" s="366">
        <v>250</v>
      </c>
      <c r="N30" s="176" t="str">
        <f t="shared" ref="N30:N38" si="5">IF($BF73=$O30,"X","")</f>
        <v/>
      </c>
      <c r="O30" s="370">
        <v>200</v>
      </c>
      <c r="P30" s="134" t="str">
        <f t="shared" ref="P30:P38" si="6">IF($BA31=$Q30,"X","")</f>
        <v/>
      </c>
      <c r="Q30" s="198">
        <v>0.75</v>
      </c>
      <c r="R30" s="141" t="str">
        <f t="shared" ref="R30:R38" si="7">IF($BB31=$S30,"X","")</f>
        <v/>
      </c>
      <c r="S30" s="378" t="s">
        <v>130</v>
      </c>
      <c r="T30" s="134" t="str">
        <f t="shared" ref="T30:T38" si="8">IF($BI31=$U30,"X","")</f>
        <v/>
      </c>
      <c r="U30" s="812">
        <v>1.5</v>
      </c>
      <c r="V30" s="141" t="str">
        <f t="shared" ref="V30:V38" si="9">IF($BJ31=$W30,"X","")</f>
        <v/>
      </c>
      <c r="W30" s="22" t="s">
        <v>134</v>
      </c>
      <c r="X30" s="134" t="str">
        <f>IF(BG73=$Y30,"X","")</f>
        <v/>
      </c>
      <c r="Y30" s="198">
        <v>0.18</v>
      </c>
      <c r="Z30" s="141" t="str">
        <f t="shared" ref="Z30:Z38" si="10">IF(BH73=$AA30,"X","")</f>
        <v/>
      </c>
      <c r="AA30" s="370" t="s">
        <v>305</v>
      </c>
      <c r="AB30" s="931"/>
      <c r="AC30" s="813" t="s">
        <v>1356</v>
      </c>
      <c r="AD30" s="134"/>
      <c r="AE30" s="813">
        <v>0</v>
      </c>
      <c r="AF30" s="134" t="str">
        <f>IF(BP211=$AG30,"X","")</f>
        <v/>
      </c>
      <c r="AG30" s="539">
        <v>0.15</v>
      </c>
      <c r="AH30" s="134" t="str">
        <f>IF(ROUND(MAX(BO180*BC180,BP180*AY180),0)=$AI30,"X","")</f>
        <v/>
      </c>
      <c r="AI30" s="56">
        <f t="shared" ref="AI30:AI38" si="11">ROUND(MAX(ROUND(I30,1)*AE30,AG30*E30),0)</f>
        <v>506</v>
      </c>
      <c r="AJ30" s="134" t="str">
        <f t="shared" ref="AJ30:AJ38" si="12">IF(BR73=$AK30,"X","")</f>
        <v/>
      </c>
      <c r="AK30" s="366" t="s">
        <v>298</v>
      </c>
      <c r="AL30" s="134" t="str">
        <f t="shared" ref="AL30:AL38" si="13">IF(BS73=$AM30,"X","")</f>
        <v/>
      </c>
      <c r="AM30" s="366" t="s">
        <v>299</v>
      </c>
      <c r="AN30" s="370"/>
      <c r="AO30" s="58"/>
      <c r="AP30" s="370"/>
      <c r="AQ30" s="370"/>
      <c r="AR30" s="58"/>
      <c r="AV30" s="362"/>
      <c r="AW30" s="362"/>
      <c r="AX30" s="362"/>
      <c r="AY30" s="362"/>
      <c r="AZ30" s="362"/>
      <c r="BA30" s="362"/>
      <c r="BB30" s="362"/>
      <c r="BC30" s="362"/>
      <c r="BD30" s="362"/>
      <c r="BE30" s="362"/>
      <c r="BF30" s="362"/>
      <c r="BG30" s="362"/>
      <c r="BH30" s="362"/>
      <c r="BI30" s="362"/>
      <c r="BJ30" s="362"/>
      <c r="BK30" s="362"/>
      <c r="BL30" s="362"/>
      <c r="BX30" s="362"/>
      <c r="BY30" s="362"/>
      <c r="BZ30" s="362"/>
      <c r="CA30" s="362"/>
      <c r="CB30" s="362"/>
      <c r="CC30" s="362"/>
      <c r="CD30" s="362"/>
      <c r="CE30" s="362"/>
      <c r="CF30" s="362"/>
      <c r="CG30" s="362"/>
      <c r="CH30" s="362"/>
      <c r="CI30" s="362"/>
      <c r="CJ30" s="362"/>
      <c r="CK30" s="362"/>
      <c r="CL30" s="362"/>
      <c r="CM30" s="362"/>
      <c r="CN30" s="362"/>
      <c r="CO30" s="362"/>
      <c r="CP30" s="362"/>
      <c r="CQ30" s="362"/>
      <c r="CR30" s="362"/>
      <c r="CS30" s="362"/>
      <c r="CT30" s="362"/>
      <c r="CU30" s="362"/>
      <c r="CV30" s="362"/>
    </row>
    <row r="31" spans="2:108" s="369" customFormat="1" ht="27.6" x14ac:dyDescent="0.3">
      <c r="B31" s="124" t="s">
        <v>94</v>
      </c>
      <c r="C31" s="85" t="s">
        <v>120</v>
      </c>
      <c r="D31" s="134" t="str">
        <f t="shared" si="0"/>
        <v/>
      </c>
      <c r="E31" s="536">
        <v>2174.0500000000002</v>
      </c>
      <c r="F31" s="134" t="str">
        <f t="shared" si="1"/>
        <v/>
      </c>
      <c r="G31" s="27">
        <f>10*0.5</f>
        <v>5</v>
      </c>
      <c r="H31" s="603" t="str">
        <f t="shared" si="2"/>
        <v/>
      </c>
      <c r="I31" s="600">
        <f t="shared" ref="I31:I38" si="14">ROUND(E31/1000*G31,2)</f>
        <v>10.87</v>
      </c>
      <c r="J31" s="134" t="str">
        <f t="shared" si="3"/>
        <v/>
      </c>
      <c r="K31" s="371" t="s">
        <v>127</v>
      </c>
      <c r="L31" s="134" t="str">
        <f t="shared" si="4"/>
        <v/>
      </c>
      <c r="M31" s="366">
        <v>250</v>
      </c>
      <c r="N31" s="176" t="str">
        <f t="shared" si="5"/>
        <v/>
      </c>
      <c r="O31" s="370">
        <v>250</v>
      </c>
      <c r="P31" s="134" t="str">
        <f t="shared" si="6"/>
        <v/>
      </c>
      <c r="Q31" s="198">
        <v>0.5</v>
      </c>
      <c r="R31" s="141" t="str">
        <f t="shared" si="7"/>
        <v/>
      </c>
      <c r="S31" s="378" t="s">
        <v>130</v>
      </c>
      <c r="T31" s="134" t="str">
        <f t="shared" si="8"/>
        <v/>
      </c>
      <c r="U31" s="812">
        <v>0.2</v>
      </c>
      <c r="V31" s="141" t="str">
        <f t="shared" si="9"/>
        <v/>
      </c>
      <c r="W31" s="22" t="s">
        <v>134</v>
      </c>
      <c r="X31" s="134"/>
      <c r="Y31" s="198">
        <v>0</v>
      </c>
      <c r="Z31" s="141" t="str">
        <f t="shared" si="10"/>
        <v/>
      </c>
      <c r="AA31" s="370" t="s">
        <v>305</v>
      </c>
      <c r="AB31" s="931"/>
      <c r="AC31" s="813" t="s">
        <v>1439</v>
      </c>
      <c r="AD31" s="134"/>
      <c r="AE31" s="813">
        <v>0</v>
      </c>
      <c r="AF31" s="134"/>
      <c r="AG31" s="539">
        <v>0</v>
      </c>
      <c r="AH31" s="134"/>
      <c r="AI31" s="56">
        <f t="shared" si="11"/>
        <v>0</v>
      </c>
      <c r="AJ31" s="134" t="str">
        <f t="shared" si="12"/>
        <v/>
      </c>
      <c r="AK31" s="366" t="s">
        <v>309</v>
      </c>
      <c r="AL31" s="134" t="str">
        <f t="shared" si="13"/>
        <v/>
      </c>
      <c r="AM31" s="366" t="s">
        <v>309</v>
      </c>
      <c r="AN31" s="370"/>
      <c r="AO31" s="58"/>
      <c r="AP31" s="58"/>
      <c r="AQ31" s="370"/>
      <c r="AR31" s="58"/>
      <c r="AV31" s="362"/>
      <c r="AW31" s="362"/>
      <c r="AX31" s="362"/>
      <c r="AY31" s="362"/>
      <c r="AZ31" s="362"/>
      <c r="BA31" s="362"/>
      <c r="BB31" s="362"/>
      <c r="BC31" s="362"/>
      <c r="BD31" s="362"/>
      <c r="BE31" s="362"/>
      <c r="BF31" s="362"/>
      <c r="BG31" s="362"/>
      <c r="BH31" s="362"/>
      <c r="BI31" s="362"/>
      <c r="BJ31" s="362"/>
      <c r="BK31" s="362"/>
      <c r="BL31" s="362"/>
      <c r="BX31" s="362"/>
      <c r="BY31" s="362"/>
      <c r="BZ31" s="362"/>
      <c r="CA31" s="362"/>
      <c r="CB31" s="362"/>
      <c r="CC31" s="362"/>
      <c r="CD31" s="362"/>
      <c r="CE31" s="362"/>
      <c r="CF31" s="362"/>
      <c r="CG31" s="362"/>
      <c r="CH31" s="362"/>
      <c r="CI31" s="362"/>
      <c r="CJ31" s="362"/>
      <c r="CK31" s="362"/>
      <c r="CL31" s="362"/>
      <c r="CM31" s="362"/>
      <c r="CN31" s="362"/>
      <c r="CO31" s="362"/>
      <c r="CP31" s="362"/>
      <c r="CQ31" s="362"/>
      <c r="CR31" s="362"/>
      <c r="CS31" s="362"/>
      <c r="CT31" s="362"/>
      <c r="CU31" s="362"/>
      <c r="CV31" s="362"/>
    </row>
    <row r="32" spans="2:108" s="369" customFormat="1" ht="27.6" x14ac:dyDescent="0.3">
      <c r="B32" s="124" t="s">
        <v>95</v>
      </c>
      <c r="C32" s="85" t="s">
        <v>117</v>
      </c>
      <c r="D32" s="134" t="str">
        <f t="shared" si="0"/>
        <v/>
      </c>
      <c r="E32" s="536">
        <v>3373.63</v>
      </c>
      <c r="F32" s="134" t="str">
        <f t="shared" si="1"/>
        <v/>
      </c>
      <c r="G32" s="27">
        <f>10*0.5</f>
        <v>5</v>
      </c>
      <c r="H32" s="603" t="str">
        <f t="shared" si="2"/>
        <v/>
      </c>
      <c r="I32" s="600">
        <f t="shared" si="14"/>
        <v>16.87</v>
      </c>
      <c r="J32" s="134" t="str">
        <f t="shared" si="3"/>
        <v/>
      </c>
      <c r="K32" s="371" t="s">
        <v>127</v>
      </c>
      <c r="L32" s="134" t="str">
        <f t="shared" si="4"/>
        <v/>
      </c>
      <c r="M32" s="366">
        <v>250</v>
      </c>
      <c r="N32" s="176" t="str">
        <f t="shared" si="5"/>
        <v/>
      </c>
      <c r="O32" s="370">
        <v>200</v>
      </c>
      <c r="P32" s="134" t="str">
        <f t="shared" si="6"/>
        <v/>
      </c>
      <c r="Q32" s="198">
        <v>0.75</v>
      </c>
      <c r="R32" s="141" t="str">
        <f t="shared" si="7"/>
        <v/>
      </c>
      <c r="S32" s="378" t="s">
        <v>130</v>
      </c>
      <c r="T32" s="134" t="str">
        <f t="shared" si="8"/>
        <v/>
      </c>
      <c r="U32" s="812">
        <v>1.5</v>
      </c>
      <c r="V32" s="141" t="str">
        <f t="shared" si="9"/>
        <v/>
      </c>
      <c r="W32" s="22" t="s">
        <v>134</v>
      </c>
      <c r="X32" s="134" t="str">
        <f>IF(BG75=$Y32,"X","")</f>
        <v/>
      </c>
      <c r="Y32" s="198">
        <v>0.18</v>
      </c>
      <c r="Z32" s="141" t="str">
        <f t="shared" si="10"/>
        <v/>
      </c>
      <c r="AA32" s="370" t="s">
        <v>305</v>
      </c>
      <c r="AB32" s="931"/>
      <c r="AC32" s="813" t="s">
        <v>1356</v>
      </c>
      <c r="AD32" s="134"/>
      <c r="AE32" s="813">
        <v>0</v>
      </c>
      <c r="AF32" s="134" t="str">
        <f t="shared" ref="AF32:AF38" si="15">IF(BP213=$AG32,"X","")</f>
        <v/>
      </c>
      <c r="AG32" s="539">
        <v>0.15</v>
      </c>
      <c r="AH32" s="134" t="str">
        <f t="shared" ref="AH32:AH38" si="16">IF(ROUND(MAX(BO182*BC182,BP182*AY182),0)=$AI32,"X","")</f>
        <v/>
      </c>
      <c r="AI32" s="56">
        <f t="shared" si="11"/>
        <v>506</v>
      </c>
      <c r="AJ32" s="134" t="str">
        <f t="shared" si="12"/>
        <v/>
      </c>
      <c r="AK32" s="366" t="s">
        <v>298</v>
      </c>
      <c r="AL32" s="134" t="str">
        <f t="shared" si="13"/>
        <v/>
      </c>
      <c r="AM32" s="366" t="s">
        <v>299</v>
      </c>
      <c r="AN32" s="370"/>
      <c r="AO32" s="58"/>
      <c r="AP32" s="370"/>
      <c r="AQ32" s="370"/>
      <c r="AR32" s="58"/>
      <c r="AV32" s="362"/>
      <c r="AW32" s="362"/>
      <c r="AX32" s="362"/>
      <c r="AY32" s="362"/>
      <c r="AZ32" s="362"/>
      <c r="BA32" s="362"/>
      <c r="BB32" s="362"/>
      <c r="BC32" s="362"/>
      <c r="BD32" s="362"/>
      <c r="BE32" s="362"/>
      <c r="BF32" s="362"/>
      <c r="BG32" s="362"/>
      <c r="BH32" s="362"/>
      <c r="BI32" s="362"/>
      <c r="BJ32" s="362"/>
      <c r="BK32" s="362"/>
      <c r="BL32" s="362"/>
      <c r="BX32" s="362"/>
      <c r="BY32" s="362"/>
      <c r="BZ32" s="362"/>
      <c r="CA32" s="362"/>
      <c r="CB32" s="362"/>
      <c r="CC32" s="362"/>
      <c r="CD32" s="362"/>
      <c r="CE32" s="362"/>
      <c r="CF32" s="362"/>
      <c r="CG32" s="362"/>
      <c r="CH32" s="362"/>
      <c r="CI32" s="362"/>
      <c r="CJ32" s="362"/>
      <c r="CK32" s="362"/>
      <c r="CL32" s="362"/>
      <c r="CM32" s="362"/>
      <c r="CN32" s="362"/>
      <c r="CO32" s="362"/>
      <c r="CP32" s="362"/>
      <c r="CQ32" s="362"/>
      <c r="CR32" s="362"/>
      <c r="CS32" s="362"/>
      <c r="CT32" s="362"/>
      <c r="CU32" s="362"/>
      <c r="CV32" s="362"/>
    </row>
    <row r="33" spans="1:100" s="369" customFormat="1" ht="27.6" x14ac:dyDescent="0.3">
      <c r="B33" s="124" t="s">
        <v>96</v>
      </c>
      <c r="C33" s="85" t="s">
        <v>117</v>
      </c>
      <c r="D33" s="134" t="str">
        <f t="shared" si="0"/>
        <v/>
      </c>
      <c r="E33" s="536">
        <v>2174.0300000000002</v>
      </c>
      <c r="F33" s="134" t="str">
        <f t="shared" si="1"/>
        <v/>
      </c>
      <c r="G33" s="27">
        <f>10*0.5</f>
        <v>5</v>
      </c>
      <c r="H33" s="603" t="str">
        <f t="shared" si="2"/>
        <v/>
      </c>
      <c r="I33" s="600">
        <f t="shared" si="14"/>
        <v>10.87</v>
      </c>
      <c r="J33" s="134" t="str">
        <f t="shared" si="3"/>
        <v/>
      </c>
      <c r="K33" s="371" t="s">
        <v>127</v>
      </c>
      <c r="L33" s="134" t="str">
        <f t="shared" si="4"/>
        <v/>
      </c>
      <c r="M33" s="366">
        <v>250</v>
      </c>
      <c r="N33" s="176" t="str">
        <f t="shared" si="5"/>
        <v/>
      </c>
      <c r="O33" s="370">
        <v>200</v>
      </c>
      <c r="P33" s="134" t="str">
        <f t="shared" si="6"/>
        <v/>
      </c>
      <c r="Q33" s="198">
        <v>0.75</v>
      </c>
      <c r="R33" s="141" t="str">
        <f t="shared" si="7"/>
        <v/>
      </c>
      <c r="S33" s="378" t="s">
        <v>130</v>
      </c>
      <c r="T33" s="134" t="str">
        <f t="shared" si="8"/>
        <v/>
      </c>
      <c r="U33" s="812">
        <v>1.5</v>
      </c>
      <c r="V33" s="141" t="str">
        <f t="shared" si="9"/>
        <v/>
      </c>
      <c r="W33" s="22" t="s">
        <v>134</v>
      </c>
      <c r="X33" s="134" t="str">
        <f>IF(BG76=$Y33,"X","")</f>
        <v/>
      </c>
      <c r="Y33" s="198">
        <v>0.18</v>
      </c>
      <c r="Z33" s="141" t="str">
        <f t="shared" si="10"/>
        <v/>
      </c>
      <c r="AA33" s="370" t="s">
        <v>305</v>
      </c>
      <c r="AB33" s="931"/>
      <c r="AC33" s="813" t="s">
        <v>1356</v>
      </c>
      <c r="AD33" s="134"/>
      <c r="AE33" s="813">
        <v>0</v>
      </c>
      <c r="AF33" s="134" t="str">
        <f t="shared" si="15"/>
        <v/>
      </c>
      <c r="AG33" s="539">
        <v>0.15</v>
      </c>
      <c r="AH33" s="134" t="str">
        <f t="shared" si="16"/>
        <v/>
      </c>
      <c r="AI33" s="56">
        <f t="shared" si="11"/>
        <v>326</v>
      </c>
      <c r="AJ33" s="134" t="str">
        <f t="shared" si="12"/>
        <v/>
      </c>
      <c r="AK33" s="366" t="s">
        <v>298</v>
      </c>
      <c r="AL33" s="134" t="str">
        <f t="shared" si="13"/>
        <v/>
      </c>
      <c r="AM33" s="366" t="s">
        <v>299</v>
      </c>
      <c r="AN33" s="370"/>
      <c r="AO33" s="58"/>
      <c r="AP33" s="370"/>
      <c r="AQ33" s="370"/>
      <c r="AR33" s="58"/>
      <c r="AV33" s="362"/>
      <c r="AW33" s="362"/>
      <c r="AX33" s="362"/>
      <c r="AY33" s="362"/>
      <c r="AZ33" s="362"/>
      <c r="BA33" s="362"/>
      <c r="BB33" s="362"/>
      <c r="BC33" s="362"/>
      <c r="BD33" s="362"/>
      <c r="BE33" s="362"/>
      <c r="BF33" s="362"/>
      <c r="BG33" s="362"/>
      <c r="BH33" s="362"/>
      <c r="BI33" s="362"/>
      <c r="BJ33" s="362"/>
      <c r="BK33" s="362"/>
      <c r="BL33" s="362"/>
      <c r="BX33" s="362"/>
      <c r="BY33" s="362"/>
      <c r="BZ33" s="362"/>
      <c r="CA33" s="362"/>
      <c r="CB33" s="362"/>
      <c r="CC33" s="362"/>
      <c r="CD33" s="362"/>
      <c r="CE33" s="362"/>
      <c r="CF33" s="362"/>
      <c r="CG33" s="362"/>
      <c r="CH33" s="362"/>
      <c r="CI33" s="362"/>
      <c r="CJ33" s="362"/>
      <c r="CK33" s="362"/>
      <c r="CL33" s="362"/>
      <c r="CM33" s="362"/>
      <c r="CN33" s="362"/>
      <c r="CO33" s="362"/>
      <c r="CP33" s="362"/>
      <c r="CQ33" s="362"/>
      <c r="CR33" s="362"/>
      <c r="CS33" s="362"/>
      <c r="CT33" s="362"/>
      <c r="CU33" s="362"/>
      <c r="CV33" s="362"/>
    </row>
    <row r="34" spans="1:100" s="369" customFormat="1" ht="41.4" x14ac:dyDescent="0.3">
      <c r="B34" s="124" t="s">
        <v>103</v>
      </c>
      <c r="C34" s="85" t="s">
        <v>122</v>
      </c>
      <c r="D34" s="134" t="str">
        <f t="shared" si="0"/>
        <v/>
      </c>
      <c r="E34" s="536">
        <v>27257.599999999999</v>
      </c>
      <c r="F34" s="134" t="str">
        <f t="shared" si="1"/>
        <v/>
      </c>
      <c r="G34" s="198">
        <f>66.67*0.5</f>
        <v>33.335000000000001</v>
      </c>
      <c r="H34" s="603" t="str">
        <f t="shared" si="2"/>
        <v/>
      </c>
      <c r="I34" s="600">
        <f>ROUND(E34/1000*G34,2)</f>
        <v>908.63</v>
      </c>
      <c r="J34" s="134" t="str">
        <f t="shared" si="3"/>
        <v/>
      </c>
      <c r="K34" s="66" t="s">
        <v>126</v>
      </c>
      <c r="L34" s="134" t="str">
        <f t="shared" si="4"/>
        <v/>
      </c>
      <c r="M34" s="366">
        <v>245</v>
      </c>
      <c r="N34" s="176" t="str">
        <f t="shared" si="5"/>
        <v/>
      </c>
      <c r="O34" s="370">
        <v>155</v>
      </c>
      <c r="P34" s="134" t="str">
        <f t="shared" si="6"/>
        <v/>
      </c>
      <c r="Q34" s="198">
        <v>1.2</v>
      </c>
      <c r="R34" s="141" t="str">
        <f t="shared" si="7"/>
        <v/>
      </c>
      <c r="S34" s="371" t="s">
        <v>132</v>
      </c>
      <c r="T34" s="134" t="str">
        <f t="shared" si="8"/>
        <v/>
      </c>
      <c r="U34" s="812">
        <v>1</v>
      </c>
      <c r="V34" s="141" t="str">
        <f t="shared" si="9"/>
        <v/>
      </c>
      <c r="W34" s="368" t="s">
        <v>136</v>
      </c>
      <c r="X34" s="134" t="str">
        <f>IF(BG77=$Y34,"X","")</f>
        <v/>
      </c>
      <c r="Y34" s="198">
        <v>0.09</v>
      </c>
      <c r="Z34" s="141" t="str">
        <f t="shared" si="10"/>
        <v/>
      </c>
      <c r="AA34" s="368" t="s">
        <v>311</v>
      </c>
      <c r="AB34" s="931"/>
      <c r="AC34" s="813" t="s">
        <v>1356</v>
      </c>
      <c r="AD34" s="134"/>
      <c r="AE34" s="813">
        <v>15</v>
      </c>
      <c r="AF34" s="134" t="str">
        <f t="shared" si="15"/>
        <v/>
      </c>
      <c r="AG34" s="539">
        <v>0.15</v>
      </c>
      <c r="AH34" s="134" t="str">
        <f t="shared" si="16"/>
        <v/>
      </c>
      <c r="AI34" s="56">
        <f t="shared" si="11"/>
        <v>13629</v>
      </c>
      <c r="AJ34" s="134" t="str">
        <f t="shared" si="12"/>
        <v/>
      </c>
      <c r="AK34" s="365" t="s">
        <v>312</v>
      </c>
      <c r="AL34" s="602" t="str">
        <f t="shared" si="13"/>
        <v/>
      </c>
      <c r="AM34" s="365" t="s">
        <v>313</v>
      </c>
      <c r="AN34" s="370"/>
      <c r="AO34" s="58"/>
      <c r="AP34" s="370"/>
      <c r="AQ34" s="370"/>
      <c r="AR34" s="58"/>
      <c r="AV34" s="362"/>
      <c r="AW34" s="362"/>
      <c r="AX34" s="362"/>
      <c r="AY34" s="362"/>
      <c r="AZ34" s="362"/>
      <c r="BA34" s="362"/>
      <c r="BB34" s="362"/>
      <c r="BC34" s="362"/>
      <c r="BD34" s="362"/>
      <c r="BE34" s="362"/>
      <c r="BF34" s="362"/>
      <c r="BG34" s="362"/>
      <c r="BH34" s="362"/>
      <c r="BI34" s="362"/>
      <c r="BJ34" s="362"/>
      <c r="BK34" s="362"/>
      <c r="BL34" s="362"/>
      <c r="BX34" s="362"/>
      <c r="BY34" s="362"/>
      <c r="BZ34" s="362"/>
      <c r="CA34" s="362"/>
      <c r="CB34" s="362"/>
      <c r="CC34" s="362"/>
      <c r="CD34" s="362"/>
      <c r="CE34" s="362"/>
      <c r="CF34" s="362"/>
      <c r="CG34" s="362"/>
      <c r="CH34" s="362"/>
      <c r="CI34" s="362"/>
      <c r="CJ34" s="362"/>
      <c r="CK34" s="362"/>
      <c r="CL34" s="362"/>
      <c r="CM34" s="362"/>
      <c r="CN34" s="362"/>
      <c r="CO34" s="362"/>
      <c r="CP34" s="362"/>
      <c r="CQ34" s="362"/>
      <c r="CR34" s="362"/>
      <c r="CS34" s="362"/>
      <c r="CT34" s="362"/>
      <c r="CU34" s="362"/>
      <c r="CV34" s="362"/>
    </row>
    <row r="35" spans="1:100" s="369" customFormat="1" ht="41.4" x14ac:dyDescent="0.3">
      <c r="B35" s="124" t="s">
        <v>104</v>
      </c>
      <c r="C35" s="85" t="s">
        <v>122</v>
      </c>
      <c r="D35" s="134" t="str">
        <f t="shared" si="0"/>
        <v/>
      </c>
      <c r="E35" s="536">
        <v>3373.61</v>
      </c>
      <c r="F35" s="134" t="str">
        <f t="shared" si="1"/>
        <v/>
      </c>
      <c r="G35" s="198">
        <f>66.67*0.5</f>
        <v>33.335000000000001</v>
      </c>
      <c r="H35" s="603" t="str">
        <f t="shared" si="2"/>
        <v/>
      </c>
      <c r="I35" s="600">
        <f t="shared" si="14"/>
        <v>112.46</v>
      </c>
      <c r="J35" s="134" t="str">
        <f t="shared" si="3"/>
        <v/>
      </c>
      <c r="K35" s="66" t="s">
        <v>126</v>
      </c>
      <c r="L35" s="134" t="str">
        <f t="shared" si="4"/>
        <v/>
      </c>
      <c r="M35" s="366">
        <v>245</v>
      </c>
      <c r="N35" s="176" t="str">
        <f t="shared" si="5"/>
        <v/>
      </c>
      <c r="O35" s="370">
        <v>155</v>
      </c>
      <c r="P35" s="134" t="str">
        <f t="shared" si="6"/>
        <v/>
      </c>
      <c r="Q35" s="198">
        <v>1.2</v>
      </c>
      <c r="R35" s="141" t="str">
        <f t="shared" si="7"/>
        <v/>
      </c>
      <c r="S35" s="371" t="s">
        <v>132</v>
      </c>
      <c r="T35" s="134" t="str">
        <f t="shared" si="8"/>
        <v/>
      </c>
      <c r="U35" s="812">
        <v>1</v>
      </c>
      <c r="V35" s="141" t="str">
        <f t="shared" si="9"/>
        <v/>
      </c>
      <c r="W35" s="368" t="s">
        <v>136</v>
      </c>
      <c r="X35" s="134" t="str">
        <f>IF(BG78=$Y35,"X","")</f>
        <v/>
      </c>
      <c r="Y35" s="198">
        <v>0.09</v>
      </c>
      <c r="Z35" s="141" t="str">
        <f t="shared" si="10"/>
        <v/>
      </c>
      <c r="AA35" s="368" t="s">
        <v>311</v>
      </c>
      <c r="AB35" s="931"/>
      <c r="AC35" s="813" t="s">
        <v>1356</v>
      </c>
      <c r="AD35" s="134"/>
      <c r="AE35" s="813">
        <v>15</v>
      </c>
      <c r="AF35" s="134" t="str">
        <f t="shared" si="15"/>
        <v/>
      </c>
      <c r="AG35" s="539">
        <v>0.15</v>
      </c>
      <c r="AH35" s="134" t="str">
        <f t="shared" si="16"/>
        <v/>
      </c>
      <c r="AI35" s="56">
        <f t="shared" si="11"/>
        <v>1688</v>
      </c>
      <c r="AJ35" s="134" t="str">
        <f t="shared" si="12"/>
        <v/>
      </c>
      <c r="AK35" s="365" t="s">
        <v>312</v>
      </c>
      <c r="AL35" s="602" t="str">
        <f t="shared" si="13"/>
        <v/>
      </c>
      <c r="AM35" s="365" t="s">
        <v>313</v>
      </c>
      <c r="AN35" s="370"/>
      <c r="AO35" s="58"/>
      <c r="AP35" s="370"/>
      <c r="AQ35" s="370"/>
      <c r="AR35" s="58"/>
      <c r="AV35" s="362"/>
      <c r="AW35" s="362"/>
      <c r="AX35" s="362"/>
      <c r="AY35" s="362"/>
      <c r="AZ35" s="362"/>
      <c r="BA35" s="362"/>
      <c r="BB35" s="362"/>
      <c r="BC35" s="362"/>
      <c r="BD35" s="362"/>
      <c r="BE35" s="362"/>
      <c r="BF35" s="362"/>
      <c r="BG35" s="362"/>
      <c r="BH35" s="362"/>
      <c r="BI35" s="362"/>
      <c r="BJ35" s="362"/>
      <c r="BK35" s="362"/>
      <c r="BL35" s="362"/>
      <c r="BX35" s="362"/>
      <c r="BY35" s="362"/>
      <c r="BZ35" s="362"/>
      <c r="CA35" s="362"/>
      <c r="CB35" s="362"/>
      <c r="CC35" s="362"/>
      <c r="CD35" s="362"/>
      <c r="CE35" s="362"/>
      <c r="CF35" s="362"/>
      <c r="CG35" s="362"/>
      <c r="CH35" s="362"/>
      <c r="CI35" s="362"/>
      <c r="CJ35" s="362"/>
      <c r="CK35" s="362"/>
      <c r="CL35" s="362"/>
      <c r="CM35" s="362"/>
      <c r="CN35" s="362"/>
      <c r="CO35" s="362"/>
      <c r="CP35" s="362"/>
      <c r="CQ35" s="362"/>
      <c r="CR35" s="362"/>
      <c r="CS35" s="362"/>
      <c r="CT35" s="362"/>
      <c r="CU35" s="362"/>
      <c r="CV35" s="362"/>
    </row>
    <row r="36" spans="1:100" s="369" customFormat="1" ht="27.6" x14ac:dyDescent="0.3">
      <c r="B36" s="124" t="s">
        <v>105</v>
      </c>
      <c r="C36" s="85" t="s">
        <v>120</v>
      </c>
      <c r="D36" s="134" t="str">
        <f t="shared" si="0"/>
        <v/>
      </c>
      <c r="E36" s="536">
        <v>2174.0500000000002</v>
      </c>
      <c r="F36" s="134" t="str">
        <f t="shared" si="1"/>
        <v/>
      </c>
      <c r="G36" s="198">
        <f>10*0.5</f>
        <v>5</v>
      </c>
      <c r="H36" s="603" t="str">
        <f t="shared" si="2"/>
        <v/>
      </c>
      <c r="I36" s="600">
        <f t="shared" si="14"/>
        <v>10.87</v>
      </c>
      <c r="J36" s="134" t="str">
        <f t="shared" si="3"/>
        <v/>
      </c>
      <c r="K36" s="371" t="s">
        <v>126</v>
      </c>
      <c r="L36" s="134" t="str">
        <f t="shared" si="4"/>
        <v/>
      </c>
      <c r="M36" s="366">
        <v>250</v>
      </c>
      <c r="N36" s="176" t="str">
        <f t="shared" si="5"/>
        <v/>
      </c>
      <c r="O36" s="370">
        <v>250</v>
      </c>
      <c r="P36" s="134" t="str">
        <f t="shared" si="6"/>
        <v/>
      </c>
      <c r="Q36" s="198">
        <v>0.5</v>
      </c>
      <c r="R36" s="141" t="str">
        <f t="shared" si="7"/>
        <v/>
      </c>
      <c r="S36" s="378" t="s">
        <v>132</v>
      </c>
      <c r="T36" s="134" t="str">
        <f t="shared" si="8"/>
        <v/>
      </c>
      <c r="U36" s="812">
        <v>0.2</v>
      </c>
      <c r="V36" s="141" t="str">
        <f t="shared" si="9"/>
        <v/>
      </c>
      <c r="W36" s="22" t="s">
        <v>136</v>
      </c>
      <c r="X36" s="134"/>
      <c r="Y36" s="198">
        <v>0</v>
      </c>
      <c r="Z36" s="141" t="str">
        <f t="shared" si="10"/>
        <v/>
      </c>
      <c r="AA36" s="370" t="s">
        <v>311</v>
      </c>
      <c r="AB36" s="931"/>
      <c r="AC36" s="813" t="s">
        <v>1356</v>
      </c>
      <c r="AD36" s="134"/>
      <c r="AE36" s="813">
        <v>0</v>
      </c>
      <c r="AF36" s="134" t="str">
        <f t="shared" si="15"/>
        <v/>
      </c>
      <c r="AG36" s="539">
        <v>0.15</v>
      </c>
      <c r="AH36" s="134" t="str">
        <f t="shared" si="16"/>
        <v/>
      </c>
      <c r="AI36" s="56">
        <f t="shared" si="11"/>
        <v>326</v>
      </c>
      <c r="AJ36" s="134" t="str">
        <f t="shared" si="12"/>
        <v/>
      </c>
      <c r="AK36" s="365" t="s">
        <v>312</v>
      </c>
      <c r="AL36" s="602" t="str">
        <f t="shared" si="13"/>
        <v/>
      </c>
      <c r="AM36" s="365" t="s">
        <v>313</v>
      </c>
      <c r="AN36" s="370"/>
      <c r="AO36" s="58"/>
      <c r="AP36" s="58"/>
      <c r="AQ36" s="370"/>
      <c r="AR36" s="58"/>
      <c r="AV36" s="362"/>
      <c r="AW36" s="362"/>
      <c r="AX36" s="362"/>
      <c r="AY36" s="362"/>
      <c r="AZ36" s="362"/>
      <c r="BA36" s="362"/>
      <c r="BB36" s="362"/>
      <c r="BC36" s="362"/>
      <c r="BD36" s="362"/>
      <c r="BE36" s="362"/>
      <c r="BF36" s="362"/>
      <c r="BG36" s="362"/>
      <c r="BH36" s="362"/>
      <c r="BI36" s="362"/>
      <c r="BJ36" s="362"/>
      <c r="BK36" s="362"/>
      <c r="BL36" s="362"/>
      <c r="BX36" s="362"/>
      <c r="BY36" s="362"/>
      <c r="BZ36" s="362"/>
      <c r="CA36" s="362"/>
      <c r="CB36" s="362"/>
      <c r="CC36" s="362"/>
      <c r="CD36" s="362"/>
      <c r="CE36" s="362"/>
      <c r="CF36" s="362"/>
      <c r="CG36" s="362"/>
      <c r="CH36" s="362"/>
      <c r="CI36" s="362"/>
      <c r="CJ36" s="362"/>
      <c r="CK36" s="362"/>
      <c r="CL36" s="362"/>
      <c r="CM36" s="362"/>
      <c r="CN36" s="362"/>
      <c r="CO36" s="362"/>
      <c r="CP36" s="362"/>
      <c r="CQ36" s="362"/>
      <c r="CR36" s="362"/>
      <c r="CS36" s="362"/>
      <c r="CT36" s="362"/>
      <c r="CU36" s="362"/>
      <c r="CV36" s="362"/>
    </row>
    <row r="37" spans="1:100" s="369" customFormat="1" ht="41.4" x14ac:dyDescent="0.3">
      <c r="B37" s="124" t="s">
        <v>106</v>
      </c>
      <c r="C37" s="85" t="s">
        <v>122</v>
      </c>
      <c r="D37" s="134" t="str">
        <f t="shared" si="0"/>
        <v/>
      </c>
      <c r="E37" s="536">
        <v>3373.6</v>
      </c>
      <c r="F37" s="134" t="str">
        <f t="shared" si="1"/>
        <v/>
      </c>
      <c r="G37" s="198">
        <f>66.67*0.5</f>
        <v>33.335000000000001</v>
      </c>
      <c r="H37" s="603" t="str">
        <f t="shared" si="2"/>
        <v/>
      </c>
      <c r="I37" s="600">
        <f t="shared" si="14"/>
        <v>112.46</v>
      </c>
      <c r="J37" s="134" t="str">
        <f t="shared" si="3"/>
        <v/>
      </c>
      <c r="K37" s="66" t="s">
        <v>126</v>
      </c>
      <c r="L37" s="134" t="str">
        <f t="shared" si="4"/>
        <v/>
      </c>
      <c r="M37" s="366">
        <v>245</v>
      </c>
      <c r="N37" s="176" t="str">
        <f t="shared" si="5"/>
        <v/>
      </c>
      <c r="O37" s="370">
        <v>155</v>
      </c>
      <c r="P37" s="134" t="str">
        <f t="shared" si="6"/>
        <v/>
      </c>
      <c r="Q37" s="198">
        <v>1.2</v>
      </c>
      <c r="R37" s="141" t="str">
        <f t="shared" si="7"/>
        <v/>
      </c>
      <c r="S37" s="371" t="s">
        <v>132</v>
      </c>
      <c r="T37" s="134" t="str">
        <f t="shared" si="8"/>
        <v/>
      </c>
      <c r="U37" s="812">
        <v>1</v>
      </c>
      <c r="V37" s="141" t="str">
        <f t="shared" si="9"/>
        <v/>
      </c>
      <c r="W37" s="368" t="s">
        <v>136</v>
      </c>
      <c r="X37" s="134" t="str">
        <f>IF(BG80=$Y37,"X","")</f>
        <v/>
      </c>
      <c r="Y37" s="198">
        <v>0.09</v>
      </c>
      <c r="Z37" s="141" t="str">
        <f t="shared" si="10"/>
        <v/>
      </c>
      <c r="AA37" s="368" t="s">
        <v>311</v>
      </c>
      <c r="AB37" s="931"/>
      <c r="AC37" s="813" t="s">
        <v>1356</v>
      </c>
      <c r="AD37" s="134"/>
      <c r="AE37" s="813">
        <v>15</v>
      </c>
      <c r="AF37" s="134" t="str">
        <f t="shared" si="15"/>
        <v/>
      </c>
      <c r="AG37" s="539">
        <v>0.15</v>
      </c>
      <c r="AH37" s="134" t="str">
        <f t="shared" si="16"/>
        <v/>
      </c>
      <c r="AI37" s="56">
        <f t="shared" si="11"/>
        <v>1688</v>
      </c>
      <c r="AJ37" s="134" t="str">
        <f t="shared" si="12"/>
        <v/>
      </c>
      <c r="AK37" s="365" t="s">
        <v>312</v>
      </c>
      <c r="AL37" s="602" t="str">
        <f t="shared" si="13"/>
        <v/>
      </c>
      <c r="AM37" s="365" t="s">
        <v>313</v>
      </c>
      <c r="AN37" s="370"/>
      <c r="AO37" s="58"/>
      <c r="AP37" s="370"/>
      <c r="AQ37" s="370"/>
      <c r="AR37" s="58"/>
      <c r="AV37" s="362"/>
      <c r="AW37" s="362"/>
      <c r="AX37" s="362"/>
      <c r="AY37" s="362"/>
      <c r="AZ37" s="362"/>
      <c r="BA37" s="362"/>
      <c r="BB37" s="362"/>
      <c r="BC37" s="362"/>
      <c r="BD37" s="362"/>
      <c r="BE37" s="362"/>
      <c r="BF37" s="362"/>
      <c r="BG37" s="362"/>
      <c r="BH37" s="362"/>
      <c r="BI37" s="362"/>
      <c r="BJ37" s="362"/>
      <c r="BK37" s="362"/>
      <c r="BL37" s="362"/>
      <c r="BX37" s="362"/>
      <c r="BY37" s="362"/>
      <c r="BZ37" s="362"/>
      <c r="CA37" s="362"/>
      <c r="CB37" s="362"/>
      <c r="CC37" s="362"/>
      <c r="CD37" s="362"/>
      <c r="CE37" s="362"/>
      <c r="CF37" s="362"/>
      <c r="CG37" s="362"/>
      <c r="CH37" s="362"/>
      <c r="CI37" s="362"/>
      <c r="CJ37" s="362"/>
      <c r="CK37" s="362"/>
      <c r="CL37" s="362"/>
      <c r="CM37" s="362"/>
      <c r="CN37" s="362"/>
      <c r="CO37" s="362"/>
      <c r="CP37" s="362"/>
      <c r="CQ37" s="362"/>
      <c r="CR37" s="362"/>
      <c r="CS37" s="362"/>
      <c r="CT37" s="362"/>
      <c r="CU37" s="362"/>
      <c r="CV37" s="362"/>
    </row>
    <row r="38" spans="1:100" s="369" customFormat="1" ht="41.4" x14ac:dyDescent="0.3">
      <c r="B38" s="124" t="s">
        <v>107</v>
      </c>
      <c r="C38" s="85" t="s">
        <v>122</v>
      </c>
      <c r="D38" s="134" t="str">
        <f t="shared" si="0"/>
        <v/>
      </c>
      <c r="E38" s="536">
        <v>2174.04</v>
      </c>
      <c r="F38" s="134" t="str">
        <f t="shared" si="1"/>
        <v/>
      </c>
      <c r="G38" s="198">
        <f>66.67*0.5</f>
        <v>33.335000000000001</v>
      </c>
      <c r="H38" s="603" t="str">
        <f t="shared" si="2"/>
        <v/>
      </c>
      <c r="I38" s="600">
        <f t="shared" si="14"/>
        <v>72.47</v>
      </c>
      <c r="J38" s="134" t="str">
        <f t="shared" si="3"/>
        <v/>
      </c>
      <c r="K38" s="66" t="s">
        <v>126</v>
      </c>
      <c r="L38" s="134" t="str">
        <f t="shared" si="4"/>
        <v/>
      </c>
      <c r="M38" s="366">
        <v>245</v>
      </c>
      <c r="N38" s="176" t="str">
        <f t="shared" si="5"/>
        <v/>
      </c>
      <c r="O38" s="370">
        <v>155</v>
      </c>
      <c r="P38" s="134" t="str">
        <f t="shared" si="6"/>
        <v/>
      </c>
      <c r="Q38" s="198">
        <v>1.2</v>
      </c>
      <c r="R38" s="141" t="str">
        <f t="shared" si="7"/>
        <v/>
      </c>
      <c r="S38" s="371" t="s">
        <v>132</v>
      </c>
      <c r="T38" s="134" t="str">
        <f t="shared" si="8"/>
        <v/>
      </c>
      <c r="U38" s="812">
        <v>1</v>
      </c>
      <c r="V38" s="141" t="str">
        <f t="shared" si="9"/>
        <v/>
      </c>
      <c r="W38" s="368" t="s">
        <v>136</v>
      </c>
      <c r="X38" s="134" t="str">
        <f>IF(BG81=$Y38,"X","")</f>
        <v/>
      </c>
      <c r="Y38" s="198">
        <v>0.09</v>
      </c>
      <c r="Z38" s="141" t="str">
        <f t="shared" si="10"/>
        <v/>
      </c>
      <c r="AA38" s="368" t="s">
        <v>311</v>
      </c>
      <c r="AB38" s="931"/>
      <c r="AC38" s="813" t="s">
        <v>1356</v>
      </c>
      <c r="AD38" s="134" t="str">
        <f>IF(BO219=$AE38,"X","")</f>
        <v/>
      </c>
      <c r="AE38" s="813">
        <v>15</v>
      </c>
      <c r="AF38" s="134" t="str">
        <f t="shared" si="15"/>
        <v/>
      </c>
      <c r="AG38" s="539">
        <v>0.15</v>
      </c>
      <c r="AH38" s="134" t="str">
        <f t="shared" si="16"/>
        <v/>
      </c>
      <c r="AI38" s="56">
        <f t="shared" si="11"/>
        <v>1088</v>
      </c>
      <c r="AJ38" s="134" t="str">
        <f t="shared" si="12"/>
        <v/>
      </c>
      <c r="AK38" s="365" t="s">
        <v>312</v>
      </c>
      <c r="AL38" s="602" t="str">
        <f t="shared" si="13"/>
        <v/>
      </c>
      <c r="AM38" s="365" t="s">
        <v>313</v>
      </c>
      <c r="AN38" s="370"/>
      <c r="AO38" s="58"/>
      <c r="AP38" s="370"/>
      <c r="AQ38" s="370"/>
      <c r="AR38" s="58"/>
      <c r="AV38" s="362"/>
      <c r="AW38" s="362"/>
      <c r="AX38" s="362"/>
      <c r="AY38" s="362"/>
      <c r="AZ38" s="362"/>
      <c r="BA38" s="362"/>
      <c r="BB38" s="362"/>
      <c r="BC38" s="362"/>
      <c r="BD38" s="362"/>
      <c r="BE38" s="362"/>
      <c r="BF38" s="362"/>
      <c r="BG38" s="362"/>
      <c r="BH38" s="362"/>
      <c r="BI38" s="362"/>
      <c r="BJ38" s="362"/>
      <c r="BK38" s="362"/>
      <c r="BL38" s="362"/>
      <c r="BX38" s="362"/>
      <c r="BY38" s="362"/>
      <c r="BZ38" s="362"/>
      <c r="CA38" s="362"/>
      <c r="CB38" s="362"/>
      <c r="CC38" s="362"/>
      <c r="CD38" s="362"/>
      <c r="CE38" s="362"/>
      <c r="CF38" s="362"/>
      <c r="CG38" s="362"/>
      <c r="CH38" s="362"/>
      <c r="CI38" s="362"/>
      <c r="CJ38" s="362"/>
      <c r="CK38" s="362"/>
      <c r="CL38" s="362"/>
      <c r="CM38" s="362"/>
      <c r="CN38" s="362"/>
      <c r="CO38" s="362"/>
      <c r="CP38" s="362"/>
      <c r="CQ38" s="362"/>
      <c r="CR38" s="362"/>
      <c r="CS38" s="362"/>
      <c r="CT38" s="362"/>
      <c r="CU38" s="362"/>
      <c r="CV38" s="362"/>
    </row>
    <row r="39" spans="1:100" s="82" customFormat="1" ht="27.6" x14ac:dyDescent="0.3">
      <c r="B39" s="322" t="s">
        <v>108</v>
      </c>
      <c r="C39" s="323" t="s">
        <v>118</v>
      </c>
      <c r="D39" s="333" t="s">
        <v>14</v>
      </c>
      <c r="E39" s="412" t="s">
        <v>14</v>
      </c>
      <c r="F39" s="333" t="s">
        <v>14</v>
      </c>
      <c r="G39" s="814" t="s">
        <v>14</v>
      </c>
      <c r="H39" s="333" t="s">
        <v>14</v>
      </c>
      <c r="I39" s="412" t="s">
        <v>14</v>
      </c>
      <c r="J39" s="333" t="s">
        <v>14</v>
      </c>
      <c r="K39" s="432" t="s">
        <v>14</v>
      </c>
      <c r="L39" s="333" t="s">
        <v>14</v>
      </c>
      <c r="M39" s="412" t="s">
        <v>14</v>
      </c>
      <c r="N39" s="333" t="s">
        <v>14</v>
      </c>
      <c r="O39" s="412" t="s">
        <v>14</v>
      </c>
      <c r="P39" s="333" t="s">
        <v>14</v>
      </c>
      <c r="Q39" s="814" t="s">
        <v>14</v>
      </c>
      <c r="R39" s="271" t="s">
        <v>14</v>
      </c>
      <c r="S39" s="432" t="s">
        <v>14</v>
      </c>
      <c r="T39" s="333" t="s">
        <v>14</v>
      </c>
      <c r="U39" s="815" t="s">
        <v>14</v>
      </c>
      <c r="V39" s="271" t="s">
        <v>14</v>
      </c>
      <c r="W39" s="432" t="s">
        <v>14</v>
      </c>
      <c r="X39" s="333" t="s">
        <v>14</v>
      </c>
      <c r="Y39" s="814" t="s">
        <v>14</v>
      </c>
      <c r="Z39" s="271" t="s">
        <v>14</v>
      </c>
      <c r="AA39" s="432" t="s">
        <v>14</v>
      </c>
      <c r="AB39" s="333" t="s">
        <v>14</v>
      </c>
      <c r="AC39" s="432"/>
      <c r="AD39" s="333" t="s">
        <v>14</v>
      </c>
      <c r="AE39" s="601" t="s">
        <v>14</v>
      </c>
      <c r="AF39" s="333" t="s">
        <v>14</v>
      </c>
      <c r="AG39" s="816" t="s">
        <v>14</v>
      </c>
      <c r="AH39" s="333" t="s">
        <v>14</v>
      </c>
      <c r="AI39" s="412" t="s">
        <v>14</v>
      </c>
      <c r="AJ39" s="333" t="s">
        <v>14</v>
      </c>
      <c r="AK39" s="412" t="s">
        <v>14</v>
      </c>
      <c r="AL39" s="333" t="s">
        <v>14</v>
      </c>
      <c r="AM39" s="412" t="s">
        <v>14</v>
      </c>
      <c r="AN39" s="91"/>
      <c r="AO39" s="91"/>
      <c r="AP39" s="91"/>
      <c r="AQ39" s="91"/>
      <c r="AR39" s="91"/>
      <c r="AV39" s="362"/>
      <c r="AW39" s="362"/>
      <c r="AX39" s="362"/>
      <c r="AY39" s="362"/>
      <c r="AZ39" s="362"/>
      <c r="BA39" s="362"/>
      <c r="BB39" s="362"/>
      <c r="BC39" s="362"/>
      <c r="BD39" s="362"/>
      <c r="BE39" s="362"/>
      <c r="BF39" s="362"/>
      <c r="BG39" s="362"/>
      <c r="BH39" s="362"/>
      <c r="BI39" s="362"/>
      <c r="BJ39" s="362"/>
      <c r="BK39" s="362"/>
      <c r="BL39" s="362"/>
      <c r="BM39" s="86"/>
      <c r="BN39" s="86"/>
      <c r="BO39" s="86"/>
      <c r="BP39" s="86"/>
      <c r="BQ39" s="86"/>
      <c r="BR39" s="86"/>
      <c r="BS39" s="86"/>
      <c r="BT39" s="86"/>
      <c r="BU39" s="86"/>
      <c r="BV39" s="86"/>
      <c r="BW39" s="86"/>
      <c r="BX39" s="362"/>
      <c r="BY39" s="362"/>
      <c r="BZ39" s="362"/>
      <c r="CA39" s="362"/>
      <c r="CB39" s="362"/>
      <c r="CC39" s="362"/>
      <c r="CD39" s="362"/>
      <c r="CE39" s="362"/>
      <c r="CF39" s="362"/>
      <c r="CG39" s="362"/>
      <c r="CH39" s="362"/>
      <c r="CI39" s="362"/>
      <c r="CJ39" s="362"/>
      <c r="CK39" s="362"/>
      <c r="CL39" s="362"/>
      <c r="CM39" s="362"/>
      <c r="CN39" s="362"/>
      <c r="CO39" s="362"/>
      <c r="CP39" s="362"/>
      <c r="CQ39" s="362"/>
      <c r="CR39" s="362"/>
      <c r="CS39" s="362"/>
      <c r="CT39" s="362"/>
      <c r="CU39" s="362"/>
      <c r="CV39" s="362"/>
    </row>
    <row r="40" spans="1:100" s="369" customFormat="1" x14ac:dyDescent="0.3">
      <c r="B40" s="77"/>
      <c r="C40" s="29"/>
      <c r="D40" s="29"/>
      <c r="E40" s="29"/>
      <c r="F40" s="82"/>
      <c r="G40" s="685"/>
      <c r="H40" s="76"/>
      <c r="I40" s="76"/>
      <c r="J40" s="82"/>
      <c r="K40" s="47"/>
      <c r="L40" s="82"/>
      <c r="M40" s="75"/>
      <c r="N40" s="82"/>
      <c r="O40" s="75"/>
      <c r="U40" s="370"/>
      <c r="W40" s="370"/>
      <c r="AL40" s="75"/>
      <c r="AM40" s="63"/>
      <c r="AN40" s="63"/>
      <c r="AO40" s="75"/>
      <c r="AP40" s="63"/>
      <c r="AT40" s="362"/>
      <c r="AU40" s="362"/>
      <c r="AV40" s="362"/>
      <c r="AW40" s="362"/>
      <c r="AX40" s="362"/>
      <c r="AY40" s="362"/>
      <c r="AZ40" s="362"/>
      <c r="BA40" s="362"/>
      <c r="BB40" s="362"/>
      <c r="BC40" s="362"/>
      <c r="BD40" s="362"/>
      <c r="BE40" s="362"/>
      <c r="BF40" s="362"/>
      <c r="BG40" s="362"/>
      <c r="BH40" s="362"/>
      <c r="BI40" s="362"/>
      <c r="BJ40" s="362"/>
      <c r="BK40" s="82"/>
      <c r="BL40" s="82"/>
      <c r="BM40" s="82"/>
      <c r="BN40" s="82"/>
      <c r="BO40" s="82"/>
      <c r="BP40" s="82"/>
      <c r="BQ40" s="82"/>
      <c r="BR40" s="82"/>
      <c r="BS40" s="82"/>
      <c r="BT40" s="82"/>
      <c r="BU40" s="82"/>
      <c r="BV40" s="82"/>
      <c r="BW40" s="82"/>
      <c r="BX40" s="82"/>
      <c r="BY40" s="82"/>
      <c r="BZ40" s="82"/>
    </row>
    <row r="41" spans="1:100" s="369" customFormat="1" x14ac:dyDescent="0.3">
      <c r="A41" s="70"/>
      <c r="B41" s="382" t="s">
        <v>959</v>
      </c>
      <c r="C41" s="70"/>
      <c r="D41" s="70"/>
      <c r="E41" s="70"/>
      <c r="F41" s="70"/>
      <c r="G41" s="70" t="str">
        <f>IF(COUNTIF(F45:F49,"Error")&gt;0,"ERROR-"&amp;COUNTIF(F45:F49,"Error"),"")</f>
        <v/>
      </c>
      <c r="H41" s="76"/>
      <c r="I41" s="76"/>
      <c r="J41" s="82"/>
      <c r="K41" s="47"/>
      <c r="L41" s="82"/>
      <c r="M41" s="75"/>
      <c r="N41" s="82"/>
      <c r="O41" s="75"/>
      <c r="U41" s="75"/>
      <c r="W41" s="75"/>
      <c r="AE41" s="85"/>
      <c r="AF41" s="85"/>
      <c r="AG41" s="85"/>
      <c r="AI41" s="85"/>
      <c r="AL41" s="75"/>
      <c r="AM41" s="63"/>
      <c r="AN41" s="63"/>
      <c r="AO41" s="75"/>
      <c r="AP41" s="63"/>
      <c r="AT41" s="85"/>
      <c r="AU41" s="83"/>
      <c r="AV41" s="63"/>
      <c r="AW41" s="63"/>
    </row>
    <row r="42" spans="1:100" s="369" customFormat="1" x14ac:dyDescent="0.3">
      <c r="B42" s="77" t="s">
        <v>1000</v>
      </c>
      <c r="C42" s="83"/>
      <c r="D42" s="83"/>
      <c r="E42" s="83"/>
      <c r="F42" s="82"/>
      <c r="G42" s="76"/>
      <c r="H42" s="76"/>
      <c r="I42" s="76"/>
      <c r="J42" s="82"/>
      <c r="K42" s="47"/>
      <c r="L42" s="82"/>
      <c r="M42" s="75"/>
      <c r="N42" s="82"/>
      <c r="O42" s="75"/>
      <c r="U42" s="75"/>
      <c r="W42" s="75"/>
      <c r="AE42" s="85"/>
      <c r="AF42" s="85"/>
      <c r="AG42" s="85"/>
      <c r="AI42" s="85"/>
      <c r="AL42" s="75"/>
      <c r="AM42" s="63"/>
      <c r="AN42" s="63"/>
      <c r="AO42" s="75"/>
      <c r="AP42" s="63"/>
      <c r="AT42" s="85"/>
      <c r="AU42" s="83"/>
      <c r="AV42" s="63"/>
      <c r="AW42" s="63"/>
    </row>
    <row r="43" spans="1:100" s="369" customFormat="1" ht="27.6" x14ac:dyDescent="0.3">
      <c r="B43" s="108" t="s">
        <v>203</v>
      </c>
      <c r="C43" s="116" t="s">
        <v>1001</v>
      </c>
      <c r="D43" s="116"/>
      <c r="E43" s="116" t="s">
        <v>1002</v>
      </c>
      <c r="F43" s="116"/>
      <c r="G43" s="109" t="s">
        <v>1003</v>
      </c>
      <c r="H43" s="76"/>
      <c r="I43" s="76"/>
      <c r="J43" s="82"/>
      <c r="K43" s="47"/>
      <c r="L43" s="82"/>
      <c r="M43" s="75"/>
      <c r="N43" s="82"/>
      <c r="O43" s="75"/>
      <c r="U43" s="75"/>
      <c r="W43" s="75"/>
      <c r="AE43" s="85"/>
      <c r="AF43" s="85"/>
      <c r="AG43" s="85"/>
      <c r="AI43" s="85"/>
      <c r="AL43" s="75"/>
      <c r="AM43" s="63"/>
      <c r="AN43" s="63"/>
      <c r="AO43" s="75"/>
      <c r="AP43" s="63"/>
      <c r="AT43" s="85"/>
      <c r="AU43" s="83"/>
      <c r="AV43" s="63"/>
      <c r="AW43" s="63"/>
    </row>
    <row r="44" spans="1:100" s="369" customFormat="1" ht="14.4" thickBot="1" x14ac:dyDescent="0.35">
      <c r="B44" s="320"/>
      <c r="C44" s="117"/>
      <c r="D44" s="117"/>
      <c r="E44" s="117"/>
      <c r="F44" s="117"/>
      <c r="G44" s="143"/>
      <c r="H44" s="76"/>
      <c r="I44" s="76"/>
      <c r="J44" s="82"/>
      <c r="K44" s="47"/>
      <c r="L44" s="82"/>
      <c r="M44" s="75"/>
      <c r="N44" s="82"/>
      <c r="O44" s="75"/>
      <c r="U44" s="75"/>
      <c r="W44" s="75"/>
      <c r="AE44" s="85"/>
      <c r="AF44" s="85"/>
      <c r="AG44" s="85"/>
      <c r="AI44" s="85"/>
      <c r="AL44" s="75"/>
      <c r="AM44" s="63"/>
      <c r="AN44" s="63"/>
      <c r="AO44" s="75"/>
      <c r="AP44" s="63"/>
      <c r="AT44" s="85"/>
      <c r="AU44" s="83"/>
      <c r="AV44" s="63"/>
      <c r="AW44" s="63"/>
    </row>
    <row r="45" spans="1:100" s="369" customFormat="1" ht="14.4" thickTop="1" x14ac:dyDescent="0.3">
      <c r="B45" s="124" t="s">
        <v>947</v>
      </c>
      <c r="C45" s="369">
        <v>1</v>
      </c>
      <c r="E45" s="369">
        <v>38353</v>
      </c>
      <c r="F45" s="134" t="str">
        <f>IF($BJ154=$G45,"X","")</f>
        <v/>
      </c>
      <c r="G45" s="540">
        <v>5753</v>
      </c>
      <c r="H45" s="76"/>
      <c r="I45" s="76"/>
      <c r="J45" s="82"/>
      <c r="K45" s="47"/>
      <c r="L45" s="82"/>
      <c r="M45" s="75"/>
      <c r="N45" s="82"/>
      <c r="O45" s="75"/>
      <c r="U45" s="75"/>
      <c r="W45" s="75"/>
      <c r="AE45" s="85"/>
      <c r="AF45" s="85"/>
      <c r="AG45" s="85"/>
      <c r="AI45" s="85"/>
      <c r="AL45" s="75"/>
      <c r="AM45" s="63"/>
      <c r="AN45" s="63"/>
      <c r="AO45" s="75"/>
      <c r="AP45" s="63"/>
      <c r="AT45" s="85"/>
      <c r="AU45" s="83"/>
      <c r="AV45" s="63"/>
      <c r="AW45" s="63"/>
    </row>
    <row r="46" spans="1:100" s="369" customFormat="1" x14ac:dyDescent="0.3">
      <c r="B46" s="124" t="s">
        <v>948</v>
      </c>
      <c r="C46" s="369">
        <v>1</v>
      </c>
      <c r="E46" s="369">
        <v>38353</v>
      </c>
      <c r="F46" s="134" t="str">
        <f>IF($BJ155=$G46,"X","")</f>
        <v/>
      </c>
      <c r="G46" s="197">
        <v>10214</v>
      </c>
      <c r="H46" s="76"/>
      <c r="I46" s="76"/>
      <c r="J46" s="82"/>
      <c r="K46" s="47"/>
      <c r="L46" s="82"/>
      <c r="M46" s="75"/>
      <c r="N46" s="82"/>
      <c r="O46" s="75"/>
      <c r="U46" s="75"/>
      <c r="W46" s="75"/>
      <c r="AE46" s="85"/>
      <c r="AF46" s="85"/>
      <c r="AG46" s="85"/>
      <c r="AI46" s="85"/>
      <c r="AL46" s="75"/>
      <c r="AM46" s="63"/>
      <c r="AN46" s="63"/>
      <c r="AO46" s="75"/>
      <c r="AP46" s="63"/>
      <c r="AT46" s="85"/>
      <c r="AU46" s="83"/>
      <c r="AV46" s="63"/>
      <c r="AW46" s="63"/>
    </row>
    <row r="47" spans="1:100" s="369" customFormat="1" x14ac:dyDescent="0.3">
      <c r="B47" s="124" t="s">
        <v>949</v>
      </c>
      <c r="C47" s="369">
        <v>5</v>
      </c>
      <c r="E47" s="369">
        <v>191764.9</v>
      </c>
      <c r="F47" s="134" t="str">
        <f>IF($BJ156=$G47,"X","")</f>
        <v/>
      </c>
      <c r="G47" s="197">
        <v>7562</v>
      </c>
      <c r="H47" s="76"/>
      <c r="I47" s="76"/>
      <c r="J47" s="82"/>
      <c r="K47" s="47"/>
      <c r="L47" s="82"/>
      <c r="M47" s="75"/>
      <c r="N47" s="82"/>
      <c r="O47" s="75"/>
      <c r="U47" s="75"/>
      <c r="W47" s="75"/>
      <c r="AE47" s="85"/>
      <c r="AF47" s="85"/>
      <c r="AG47" s="85"/>
      <c r="AI47" s="85"/>
      <c r="AL47" s="75"/>
      <c r="AM47" s="63"/>
      <c r="AN47" s="63"/>
      <c r="AO47" s="75"/>
      <c r="AP47" s="63"/>
      <c r="AT47" s="85"/>
      <c r="AU47" s="83"/>
      <c r="AV47" s="63"/>
      <c r="AW47" s="63"/>
    </row>
    <row r="48" spans="1:100" s="369" customFormat="1" x14ac:dyDescent="0.3">
      <c r="B48" s="124" t="s">
        <v>950</v>
      </c>
      <c r="C48" s="369">
        <v>5</v>
      </c>
      <c r="E48" s="369">
        <v>191764.9</v>
      </c>
      <c r="F48" s="134" t="str">
        <f>IF($BJ157=$G48,"X","")</f>
        <v/>
      </c>
      <c r="G48" s="197">
        <v>5753</v>
      </c>
      <c r="H48" s="76"/>
      <c r="I48" s="76"/>
      <c r="J48" s="82"/>
      <c r="K48" s="47"/>
      <c r="L48" s="82"/>
      <c r="M48" s="75"/>
      <c r="N48" s="82"/>
      <c r="O48" s="75"/>
      <c r="U48" s="75"/>
      <c r="W48" s="75"/>
      <c r="AE48" s="85"/>
      <c r="AF48" s="85"/>
      <c r="AG48" s="85"/>
      <c r="AI48" s="85"/>
      <c r="AL48" s="75"/>
      <c r="AM48" s="63"/>
      <c r="AN48" s="63"/>
      <c r="AO48" s="75"/>
      <c r="AP48" s="63"/>
      <c r="AT48" s="85"/>
      <c r="AU48" s="83"/>
      <c r="AV48" s="63"/>
      <c r="AW48" s="63"/>
    </row>
    <row r="49" spans="1:116" s="369" customFormat="1" x14ac:dyDescent="0.3">
      <c r="B49" s="175" t="s">
        <v>951</v>
      </c>
      <c r="C49" s="151">
        <v>1</v>
      </c>
      <c r="D49" s="151"/>
      <c r="E49" s="151">
        <v>38353</v>
      </c>
      <c r="F49" s="134" t="str">
        <f>IF($BJ158=$G49,"X","")</f>
        <v/>
      </c>
      <c r="G49" s="252">
        <v>18416</v>
      </c>
      <c r="H49" s="76"/>
      <c r="I49" s="76"/>
      <c r="J49" s="82"/>
      <c r="K49" s="47"/>
      <c r="L49" s="82"/>
      <c r="M49" s="75"/>
      <c r="N49" s="82"/>
      <c r="O49" s="75"/>
      <c r="U49" s="75"/>
      <c r="W49" s="75"/>
      <c r="AE49" s="85"/>
      <c r="AF49" s="85"/>
      <c r="AG49" s="85"/>
      <c r="AI49" s="85"/>
      <c r="AL49" s="75"/>
      <c r="AM49" s="63"/>
      <c r="AN49" s="63"/>
      <c r="AO49" s="75"/>
      <c r="AP49" s="63"/>
      <c r="AT49" s="85"/>
      <c r="AU49" s="83"/>
      <c r="AV49" s="63"/>
      <c r="AW49" s="63"/>
    </row>
    <row r="50" spans="1:116" s="369" customFormat="1" x14ac:dyDescent="0.3">
      <c r="B50" s="85"/>
      <c r="C50" s="83"/>
      <c r="D50" s="83"/>
      <c r="E50" s="83"/>
      <c r="F50" s="82"/>
      <c r="G50" s="76"/>
      <c r="H50" s="76"/>
      <c r="I50" s="76"/>
      <c r="J50" s="82"/>
      <c r="K50" s="47"/>
      <c r="L50" s="82"/>
      <c r="M50" s="75"/>
      <c r="N50" s="82"/>
      <c r="O50" s="75"/>
      <c r="U50" s="75"/>
      <c r="W50" s="75"/>
      <c r="AE50" s="85"/>
      <c r="AF50" s="85"/>
      <c r="AG50" s="85"/>
      <c r="AI50" s="85"/>
      <c r="AL50" s="75"/>
      <c r="AM50" s="63"/>
      <c r="AN50" s="63"/>
      <c r="AO50" s="75"/>
      <c r="AP50" s="63"/>
      <c r="AT50" s="85"/>
      <c r="AU50" s="83"/>
      <c r="AV50" s="63"/>
      <c r="AW50" s="63"/>
    </row>
    <row r="51" spans="1:116" s="369" customFormat="1" x14ac:dyDescent="0.3">
      <c r="B51" s="85"/>
      <c r="C51" s="83"/>
      <c r="D51" s="83"/>
      <c r="E51" s="83"/>
      <c r="F51" s="82"/>
      <c r="G51" s="76"/>
      <c r="H51" s="76"/>
      <c r="I51" s="76"/>
      <c r="J51" s="82"/>
      <c r="K51" s="47"/>
      <c r="L51" s="82"/>
      <c r="M51" s="75"/>
      <c r="N51" s="82"/>
      <c r="O51" s="75"/>
      <c r="U51" s="75"/>
      <c r="W51" s="75"/>
      <c r="AE51" s="85"/>
      <c r="AF51" s="85"/>
      <c r="AG51" s="85"/>
      <c r="AI51" s="85"/>
      <c r="AL51" s="75"/>
      <c r="AM51" s="63"/>
      <c r="AN51" s="63"/>
      <c r="AO51" s="75"/>
      <c r="AP51" s="63"/>
      <c r="AT51" s="85"/>
      <c r="AU51" s="83"/>
      <c r="AV51" s="63"/>
      <c r="AW51" s="63"/>
    </row>
    <row r="52" spans="1:116" s="369" customFormat="1" x14ac:dyDescent="0.3">
      <c r="B52" s="85"/>
      <c r="C52" s="83"/>
      <c r="D52" s="83"/>
      <c r="E52" s="83"/>
      <c r="F52" s="82"/>
      <c r="G52" s="76"/>
      <c r="H52" s="76"/>
      <c r="I52" s="76"/>
      <c r="J52" s="82"/>
      <c r="K52" s="47"/>
      <c r="L52" s="82"/>
      <c r="M52" s="75"/>
      <c r="N52" s="82"/>
      <c r="O52" s="75"/>
      <c r="U52" s="75"/>
      <c r="W52" s="75"/>
      <c r="AE52" s="85"/>
      <c r="AF52" s="85"/>
      <c r="AG52" s="85"/>
      <c r="AI52" s="85"/>
      <c r="AL52" s="75"/>
      <c r="AM52" s="63"/>
      <c r="AN52" s="63"/>
      <c r="AO52" s="75"/>
      <c r="AP52" s="63"/>
      <c r="AT52" s="85"/>
      <c r="AU52" s="83"/>
      <c r="AV52" s="63"/>
      <c r="AW52" s="63"/>
    </row>
    <row r="53" spans="1:116" s="86" customFormat="1" x14ac:dyDescent="0.3">
      <c r="A53" s="290"/>
      <c r="B53" s="342" t="s">
        <v>48</v>
      </c>
      <c r="C53" s="290"/>
      <c r="D53" s="290"/>
      <c r="E53" s="290"/>
      <c r="F53" s="290"/>
      <c r="G53" s="342" t="str">
        <f>IF(COUNTIF(F58:F82,"Error")&gt;0,"ERROR-"&amp;COUNTIF(F58:F82,"Error"),"")</f>
        <v/>
      </c>
      <c r="H53" s="342"/>
      <c r="I53" s="342"/>
      <c r="J53" s="290"/>
      <c r="K53" s="342" t="str">
        <f>IF(COUNTIF(J58:J82,"Error")&gt;0,"ERROR-"&amp;COUNTIF(J58:J82,"Error"),"")</f>
        <v/>
      </c>
      <c r="L53" s="290"/>
      <c r="M53" s="342" t="str">
        <f>IF(COUNTIF(L58:L82,"Error")&gt;0,"ERROR-"&amp;COUNTIF(L58:L82,"Error"),"")</f>
        <v/>
      </c>
      <c r="N53" s="290"/>
      <c r="O53" s="342" t="str">
        <f>IF(COUNTIF(N58:N82,"Error")&gt;0,"ERROR-"&amp;COUNTIF(N58:N82,"Error"),"")</f>
        <v/>
      </c>
      <c r="P53" s="290"/>
      <c r="Q53" s="342" t="str">
        <f>IF(COUNTIF(P58:P82,"Error")&gt;0,"ERROR-"&amp;COUNTIF(P58:P82,"Error"),"")</f>
        <v/>
      </c>
      <c r="R53" s="290"/>
      <c r="S53" s="342" t="str">
        <f>IF(COUNTIF(R58:R82,"Error")&gt;0,"ERROR-"&amp;COUNTIF(R58:R82,"Error"),"")</f>
        <v/>
      </c>
      <c r="T53" s="290"/>
      <c r="U53" s="342" t="str">
        <f>IF(COUNTIF(T58:T82,"Error")&gt;0,"ERROR-"&amp;COUNTIF(T58:T82,"Error"),"")</f>
        <v/>
      </c>
      <c r="V53" s="290"/>
      <c r="W53" s="342" t="str">
        <f>IF(COUNTIF(V58:V82,"Error")&gt;0,"ERROR-"&amp;COUNTIF(V58:V82,"Error"),"")</f>
        <v/>
      </c>
      <c r="X53" s="290"/>
      <c r="Y53" s="342" t="str">
        <f>IF(COUNTIF(X58:X82,"Error")&gt;0,"ERROR-"&amp;COUNTIF(X58:X82,"Error"),"")</f>
        <v/>
      </c>
      <c r="Z53" s="290"/>
      <c r="AA53" s="342" t="str">
        <f>IF(COUNTIF(Z58:Z82,"Error")&gt;0,"ERROR-"&amp;COUNTIF(Z58:Z82,"Error"),"")</f>
        <v/>
      </c>
      <c r="AB53" s="290"/>
      <c r="AC53" s="342" t="str">
        <f>IF(COUNTIF(AD58:AD82,"Error")&gt;0,"ERROR-"&amp;COUNTIF(AD58:AD82,"Error"),"")</f>
        <v/>
      </c>
      <c r="AD53" s="290"/>
      <c r="AE53" s="342" t="str">
        <f>IF(COUNTIF(AF58:AF82,"Error")&gt;0,"ERROR-"&amp;COUNTIF(AF58:AF82,"Error"),"")</f>
        <v/>
      </c>
      <c r="AF53" s="342"/>
      <c r="AG53" s="342" t="str">
        <f>IF(COUNTIF(AH58:AH82,"Error")&gt;0,"ERROR-"&amp;COUNTIF(AH58:AH82,"Error"),"")</f>
        <v/>
      </c>
      <c r="AH53" s="290"/>
      <c r="AI53" s="342" t="str">
        <f>IF(COUNTIF(AJ58:AJ82,"Error")&gt;0,"ERROR-"&amp;COUNTIF(AJ58:AJ82,"Error"),"")</f>
        <v/>
      </c>
      <c r="AJ53" s="290"/>
      <c r="AK53" s="342" t="str">
        <f>IF(COUNTIF(AL58:AL82,"Error")&gt;0,"ERROR-"&amp;COUNTIF(AL58:AL82,"Error"),"")</f>
        <v/>
      </c>
      <c r="AL53" s="342" t="str">
        <f t="shared" ref="AL53:AM53" si="17">IF(COUNTIF(AM58:AM82,"Error")&gt;0,"ERROR-"&amp;COUNTIF(AM58:AM82,"Error"),"")</f>
        <v/>
      </c>
      <c r="AM53" s="342" t="str">
        <f t="shared" si="17"/>
        <v/>
      </c>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87"/>
      <c r="CC53" s="87"/>
      <c r="CD53" s="49"/>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row>
    <row r="54" spans="1:116" s="82" customFormat="1" x14ac:dyDescent="0.3">
      <c r="A54" s="71"/>
      <c r="B54" s="49" t="s">
        <v>114</v>
      </c>
      <c r="C54" s="71"/>
      <c r="D54" s="71"/>
      <c r="E54" s="71"/>
      <c r="F54" s="84"/>
      <c r="J54" s="84"/>
      <c r="K54" s="47"/>
      <c r="L54" s="84"/>
      <c r="N54" s="84"/>
      <c r="P54" s="84"/>
      <c r="R54" s="84"/>
      <c r="T54" s="84"/>
      <c r="V54" s="84"/>
      <c r="AL54" s="86"/>
      <c r="AM54" s="86"/>
      <c r="AN54" s="86"/>
      <c r="AO54" s="86"/>
      <c r="AP54" s="86"/>
      <c r="AT54" s="605" t="s">
        <v>338</v>
      </c>
      <c r="AU54" s="362"/>
      <c r="AV54" s="362"/>
      <c r="AW54" s="362"/>
      <c r="AX54" s="362"/>
      <c r="AY54" s="362"/>
      <c r="AZ54" s="362"/>
      <c r="BA54" s="362"/>
      <c r="BB54" s="362"/>
      <c r="BC54" s="362"/>
      <c r="BD54" s="362"/>
      <c r="BE54" s="362"/>
      <c r="BF54" s="362"/>
      <c r="BG54" s="362"/>
      <c r="BH54" s="362"/>
      <c r="BI54" s="362"/>
      <c r="BJ54" s="362"/>
      <c r="BK54" s="362"/>
      <c r="BL54" s="362"/>
      <c r="BM54" s="362"/>
      <c r="BN54" s="362"/>
      <c r="BO54" s="362"/>
      <c r="BP54" s="362"/>
      <c r="BQ54" s="362"/>
      <c r="BR54" s="362"/>
      <c r="CD54" s="605" t="s">
        <v>338</v>
      </c>
      <c r="CE54" s="362"/>
      <c r="CF54" s="362"/>
      <c r="CG54" s="362"/>
      <c r="CH54" s="362"/>
      <c r="CI54" s="362"/>
      <c r="CJ54" s="362"/>
      <c r="CK54" s="362"/>
      <c r="CL54" s="362"/>
      <c r="CM54" s="362"/>
      <c r="CN54" s="362"/>
      <c r="CO54" s="362"/>
      <c r="CP54" s="362"/>
      <c r="CQ54" s="362"/>
      <c r="CR54" s="362"/>
      <c r="CS54" s="362"/>
      <c r="CT54" s="362"/>
      <c r="CU54" s="362"/>
    </row>
    <row r="55" spans="1:116" s="82" customFormat="1" x14ac:dyDescent="0.3">
      <c r="B55" s="77" t="s">
        <v>212</v>
      </c>
      <c r="F55" s="84"/>
      <c r="J55" s="84"/>
      <c r="K55" s="47"/>
      <c r="L55" s="84"/>
      <c r="N55" s="84"/>
      <c r="P55" s="84"/>
      <c r="R55" s="84"/>
      <c r="T55" s="84"/>
      <c r="V55" s="84"/>
      <c r="AL55" s="86"/>
      <c r="AM55" s="86"/>
      <c r="AN55" s="86"/>
      <c r="AO55" s="86"/>
      <c r="AP55" s="86"/>
      <c r="AT55" s="362" t="s">
        <v>212</v>
      </c>
      <c r="AU55" s="362"/>
      <c r="AV55" s="362"/>
      <c r="AW55" s="362"/>
      <c r="AX55" s="362"/>
      <c r="AY55" s="362"/>
      <c r="AZ55" s="362" t="s">
        <v>339</v>
      </c>
      <c r="BA55" s="362"/>
      <c r="BB55" s="362"/>
      <c r="BC55" s="362"/>
      <c r="BD55" s="362"/>
      <c r="BE55" s="362" t="s">
        <v>340</v>
      </c>
      <c r="BF55" s="362"/>
      <c r="BG55" s="362" t="s">
        <v>959</v>
      </c>
      <c r="BH55" s="362"/>
      <c r="BI55" s="362"/>
      <c r="BJ55" s="362"/>
      <c r="BK55" s="362"/>
      <c r="BL55" s="362"/>
      <c r="BM55" s="362" t="s">
        <v>341</v>
      </c>
      <c r="BN55" s="362"/>
      <c r="BO55" s="362"/>
      <c r="BP55" s="362" t="s">
        <v>202</v>
      </c>
      <c r="BQ55" s="362"/>
      <c r="BR55" s="362"/>
      <c r="BS55" s="76"/>
      <c r="BT55" s="76"/>
      <c r="BU55" s="76"/>
      <c r="BV55" s="362"/>
      <c r="BW55" s="362"/>
      <c r="BX55" s="362"/>
      <c r="BY55" s="362"/>
      <c r="BZ55" s="362"/>
      <c r="CA55" s="362"/>
      <c r="CB55" s="362"/>
      <c r="CC55" s="362"/>
      <c r="CD55" s="362" t="s">
        <v>212</v>
      </c>
      <c r="CE55" s="362"/>
      <c r="CF55" s="362"/>
      <c r="CG55" s="362"/>
      <c r="CH55" s="362"/>
      <c r="CI55" s="362"/>
      <c r="CJ55" s="362" t="s">
        <v>339</v>
      </c>
      <c r="CK55" s="362"/>
      <c r="CL55" s="362"/>
      <c r="CM55" s="362"/>
      <c r="CN55" s="362"/>
      <c r="CO55" s="362" t="s">
        <v>340</v>
      </c>
      <c r="CP55" s="362"/>
      <c r="CQ55" s="362" t="s">
        <v>959</v>
      </c>
      <c r="CR55" s="362"/>
      <c r="CS55" s="362"/>
      <c r="CT55" s="362"/>
      <c r="CU55" s="362"/>
      <c r="CW55" s="82" t="s">
        <v>341</v>
      </c>
      <c r="CZ55" s="82" t="s">
        <v>202</v>
      </c>
    </row>
    <row r="56" spans="1:116" s="85" customFormat="1" ht="41.4" x14ac:dyDescent="0.3">
      <c r="B56" s="108" t="s">
        <v>138</v>
      </c>
      <c r="C56" s="116" t="s">
        <v>190</v>
      </c>
      <c r="D56" s="108"/>
      <c r="E56" s="116" t="s">
        <v>601</v>
      </c>
      <c r="F56" s="280"/>
      <c r="G56" s="324" t="s">
        <v>591</v>
      </c>
      <c r="H56" s="538"/>
      <c r="I56" s="324" t="s">
        <v>977</v>
      </c>
      <c r="J56" s="280"/>
      <c r="K56" s="168" t="s">
        <v>155</v>
      </c>
      <c r="L56" s="280"/>
      <c r="M56" s="110" t="s">
        <v>592</v>
      </c>
      <c r="N56" s="223"/>
      <c r="O56" s="168" t="s">
        <v>593</v>
      </c>
      <c r="P56" s="280"/>
      <c r="Q56" s="110" t="s">
        <v>594</v>
      </c>
      <c r="R56" s="223"/>
      <c r="S56" s="168" t="s">
        <v>123</v>
      </c>
      <c r="T56" s="280"/>
      <c r="U56" s="110" t="s">
        <v>595</v>
      </c>
      <c r="V56" s="223"/>
      <c r="W56" s="168" t="s">
        <v>124</v>
      </c>
      <c r="X56" s="280"/>
      <c r="Y56" s="110" t="s">
        <v>596</v>
      </c>
      <c r="Z56" s="223"/>
      <c r="AA56" s="319" t="s">
        <v>242</v>
      </c>
      <c r="AB56" s="280"/>
      <c r="AC56" s="168" t="s">
        <v>1347</v>
      </c>
      <c r="AD56" s="280"/>
      <c r="AE56" s="110" t="s">
        <v>1029</v>
      </c>
      <c r="AF56" s="280"/>
      <c r="AG56" s="168" t="s">
        <v>1021</v>
      </c>
      <c r="AH56" s="280"/>
      <c r="AI56" s="168" t="s">
        <v>1345</v>
      </c>
      <c r="AJ56" s="280"/>
      <c r="AK56" s="110" t="s">
        <v>241</v>
      </c>
      <c r="AL56" s="280"/>
      <c r="AM56" s="110" t="s">
        <v>240</v>
      </c>
      <c r="AN56" s="74"/>
      <c r="AO56" s="87"/>
      <c r="AP56" s="107"/>
      <c r="AQ56" s="74"/>
      <c r="AR56" s="87"/>
      <c r="AV56" s="362" t="s">
        <v>203</v>
      </c>
      <c r="AW56" s="362" t="s">
        <v>291</v>
      </c>
      <c r="AX56" s="362" t="s">
        <v>190</v>
      </c>
      <c r="AY56" s="362" t="s">
        <v>330</v>
      </c>
      <c r="AZ56" s="362" t="s">
        <v>941</v>
      </c>
      <c r="BA56" s="362" t="s">
        <v>331</v>
      </c>
      <c r="BB56" s="362" t="s">
        <v>635</v>
      </c>
      <c r="BC56" s="362" t="s">
        <v>942</v>
      </c>
      <c r="BD56" s="362" t="s">
        <v>333</v>
      </c>
      <c r="BE56" s="362" t="s">
        <v>636</v>
      </c>
      <c r="BF56" s="362" t="s">
        <v>637</v>
      </c>
      <c r="BG56" s="362" t="s">
        <v>638</v>
      </c>
      <c r="BH56" s="362" t="s">
        <v>639</v>
      </c>
      <c r="BI56" s="362" t="s">
        <v>960</v>
      </c>
      <c r="BJ56" s="362" t="s">
        <v>961</v>
      </c>
      <c r="BK56" s="362" t="s">
        <v>962</v>
      </c>
      <c r="BL56" s="362" t="s">
        <v>963</v>
      </c>
      <c r="BM56" s="362" t="s">
        <v>964</v>
      </c>
      <c r="BN56" s="362" t="s">
        <v>965</v>
      </c>
      <c r="BO56" s="362" t="s">
        <v>640</v>
      </c>
      <c r="BP56" s="362" t="s">
        <v>333</v>
      </c>
      <c r="BQ56" s="362" t="s">
        <v>641</v>
      </c>
      <c r="BR56" s="362" t="s">
        <v>642</v>
      </c>
      <c r="BS56" s="362" t="s">
        <v>643</v>
      </c>
      <c r="BT56" s="362"/>
      <c r="CF56" s="362" t="s">
        <v>203</v>
      </c>
      <c r="CG56" s="362" t="s">
        <v>291</v>
      </c>
      <c r="CH56" s="362" t="s">
        <v>190</v>
      </c>
      <c r="CI56" s="362" t="s">
        <v>330</v>
      </c>
      <c r="CJ56" s="362" t="s">
        <v>941</v>
      </c>
      <c r="CK56" s="362" t="s">
        <v>331</v>
      </c>
      <c r="CL56" s="362" t="s">
        <v>635</v>
      </c>
      <c r="CM56" s="362" t="s">
        <v>942</v>
      </c>
      <c r="CN56" s="362" t="s">
        <v>333</v>
      </c>
      <c r="CO56" s="362" t="s">
        <v>636</v>
      </c>
      <c r="CP56" s="362" t="s">
        <v>637</v>
      </c>
      <c r="CQ56" s="362" t="s">
        <v>638</v>
      </c>
      <c r="CR56" s="362" t="s">
        <v>639</v>
      </c>
      <c r="CS56" s="362" t="s">
        <v>960</v>
      </c>
      <c r="CT56" s="362" t="s">
        <v>961</v>
      </c>
      <c r="CU56" s="362" t="s">
        <v>962</v>
      </c>
      <c r="CV56" s="362" t="s">
        <v>963</v>
      </c>
      <c r="CW56" s="362" t="s">
        <v>964</v>
      </c>
      <c r="CX56" s="85" t="s">
        <v>965</v>
      </c>
      <c r="CY56" s="85" t="s">
        <v>640</v>
      </c>
      <c r="CZ56" s="85" t="s">
        <v>333</v>
      </c>
      <c r="DA56" s="85" t="s">
        <v>641</v>
      </c>
      <c r="DB56" s="85" t="s">
        <v>642</v>
      </c>
      <c r="DC56" s="85" t="s">
        <v>643</v>
      </c>
    </row>
    <row r="57" spans="1:116" s="76" customFormat="1" ht="28.2" thickBot="1" x14ac:dyDescent="0.35">
      <c r="B57" s="320" t="s">
        <v>213</v>
      </c>
      <c r="C57" s="117"/>
      <c r="D57" s="126"/>
      <c r="E57" s="117"/>
      <c r="F57" s="320"/>
      <c r="G57" s="117" t="s">
        <v>145</v>
      </c>
      <c r="H57" s="126"/>
      <c r="I57" s="117"/>
      <c r="J57" s="320"/>
      <c r="K57" s="117" t="s">
        <v>146</v>
      </c>
      <c r="L57" s="320"/>
      <c r="M57" s="117" t="s">
        <v>147</v>
      </c>
      <c r="N57" s="320"/>
      <c r="O57" s="117" t="s">
        <v>148</v>
      </c>
      <c r="P57" s="320"/>
      <c r="Q57" s="117" t="s">
        <v>149</v>
      </c>
      <c r="R57" s="320"/>
      <c r="S57" s="117" t="s">
        <v>150</v>
      </c>
      <c r="T57" s="320"/>
      <c r="U57" s="117" t="s">
        <v>151</v>
      </c>
      <c r="V57" s="320"/>
      <c r="W57" s="117" t="s">
        <v>152</v>
      </c>
      <c r="X57" s="320"/>
      <c r="Y57" s="117" t="s">
        <v>315</v>
      </c>
      <c r="Z57" s="320"/>
      <c r="AA57" s="117" t="s">
        <v>316</v>
      </c>
      <c r="AB57" s="320"/>
      <c r="AC57" s="117" t="s">
        <v>1351</v>
      </c>
      <c r="AD57" s="320"/>
      <c r="AE57" s="117" t="s">
        <v>998</v>
      </c>
      <c r="AF57" s="320"/>
      <c r="AG57" s="117" t="s">
        <v>999</v>
      </c>
      <c r="AH57" s="320"/>
      <c r="AI57" s="117"/>
      <c r="AJ57" s="320"/>
      <c r="AK57" s="117" t="s">
        <v>317</v>
      </c>
      <c r="AL57" s="320"/>
      <c r="AM57" s="143" t="s">
        <v>318</v>
      </c>
      <c r="AO57" s="75"/>
      <c r="AP57" s="75"/>
      <c r="AQ57" s="75"/>
      <c r="AR57" s="75"/>
      <c r="AV57" s="362"/>
      <c r="AW57" s="362"/>
      <c r="AX57" s="362"/>
      <c r="AY57" s="362" t="s">
        <v>109</v>
      </c>
      <c r="AZ57" s="362"/>
      <c r="BA57" s="362"/>
      <c r="BB57" s="362" t="s">
        <v>115</v>
      </c>
      <c r="BC57" s="362" t="s">
        <v>943</v>
      </c>
      <c r="BD57" s="362"/>
      <c r="BE57" s="362" t="s">
        <v>944</v>
      </c>
      <c r="BF57" s="362" t="s">
        <v>944</v>
      </c>
      <c r="BG57" s="362" t="s">
        <v>945</v>
      </c>
      <c r="BH57" s="362"/>
      <c r="BI57" s="362" t="s">
        <v>154</v>
      </c>
      <c r="BJ57" s="362" t="s">
        <v>946</v>
      </c>
      <c r="BK57" s="362" t="s">
        <v>154</v>
      </c>
      <c r="BL57" s="362" t="s">
        <v>946</v>
      </c>
      <c r="BM57" s="362" t="s">
        <v>966</v>
      </c>
      <c r="BN57" s="362" t="s">
        <v>966</v>
      </c>
      <c r="BO57" s="362"/>
      <c r="BP57" s="362"/>
      <c r="BQ57" s="362" t="s">
        <v>154</v>
      </c>
      <c r="BR57" s="362"/>
      <c r="BS57" s="362"/>
      <c r="BT57" s="362"/>
      <c r="BU57" s="369"/>
      <c r="BV57" s="369"/>
      <c r="BW57" s="369"/>
      <c r="BX57" s="362"/>
      <c r="BY57" s="362"/>
      <c r="BZ57" s="362"/>
      <c r="CA57" s="362"/>
      <c r="CB57" s="362"/>
      <c r="CC57" s="362"/>
      <c r="CD57" s="362"/>
      <c r="CE57" s="362"/>
      <c r="CF57" s="362"/>
      <c r="CG57" s="362"/>
      <c r="CH57" s="362"/>
      <c r="CI57" s="362" t="s">
        <v>109</v>
      </c>
      <c r="CJ57" s="362"/>
      <c r="CK57" s="362"/>
      <c r="CL57" s="362" t="s">
        <v>115</v>
      </c>
      <c r="CM57" s="362" t="s">
        <v>943</v>
      </c>
      <c r="CN57" s="362"/>
      <c r="CO57" s="362" t="s">
        <v>944</v>
      </c>
      <c r="CP57" s="362" t="s">
        <v>944</v>
      </c>
      <c r="CQ57" s="362" t="s">
        <v>945</v>
      </c>
      <c r="CR57" s="362"/>
      <c r="CS57" s="362" t="s">
        <v>154</v>
      </c>
      <c r="CT57" s="362" t="s">
        <v>946</v>
      </c>
      <c r="CU57" s="362" t="s">
        <v>154</v>
      </c>
      <c r="CV57" s="362" t="s">
        <v>946</v>
      </c>
      <c r="CW57" s="362" t="s">
        <v>966</v>
      </c>
      <c r="CX57" s="76" t="s">
        <v>966</v>
      </c>
      <c r="DA57" s="76" t="s">
        <v>154</v>
      </c>
    </row>
    <row r="58" spans="1:116" s="369" customFormat="1" ht="28.2" thickTop="1" x14ac:dyDescent="0.3">
      <c r="B58" s="127" t="s">
        <v>84</v>
      </c>
      <c r="C58" s="247" t="s">
        <v>117</v>
      </c>
      <c r="D58" s="349" t="str">
        <f>IF(ROUND($CM58,1)=$I58,"X","")</f>
        <v/>
      </c>
      <c r="E58" s="536">
        <v>38353</v>
      </c>
      <c r="F58" s="313" t="str">
        <f>IF($CL58=$G58,"X","")</f>
        <v/>
      </c>
      <c r="G58" s="810">
        <f>10*0.5</f>
        <v>5</v>
      </c>
      <c r="H58" s="603" t="str">
        <f>IF(ROUND($CM58,1)=$I58,"X","")</f>
        <v/>
      </c>
      <c r="I58" s="608">
        <f>ROUND(E58/1000*G58,1)</f>
        <v>191.8</v>
      </c>
      <c r="J58" s="136" t="str">
        <f>IF($CN58=$K58,"X","")</f>
        <v/>
      </c>
      <c r="K58" s="371" t="s">
        <v>127</v>
      </c>
      <c r="L58" s="349" t="str">
        <f>IF($CO58=$M58,"X","")</f>
        <v/>
      </c>
      <c r="M58" s="399">
        <v>250</v>
      </c>
      <c r="N58" s="176" t="str">
        <f>IF($CP58=$O58,"X","")</f>
        <v/>
      </c>
      <c r="O58" s="370">
        <v>200</v>
      </c>
      <c r="P58" s="349" t="str">
        <f>IF($CK16=$Q58,"X","")</f>
        <v/>
      </c>
      <c r="Q58" s="810">
        <v>0.75</v>
      </c>
      <c r="R58" s="176" t="str">
        <f>IF($CL16=$S58,"X","")</f>
        <v/>
      </c>
      <c r="S58" s="378" t="s">
        <v>130</v>
      </c>
      <c r="T58" s="349" t="str">
        <f>IF($CS16=$U58,"X","")</f>
        <v/>
      </c>
      <c r="U58" s="811">
        <v>1.5</v>
      </c>
      <c r="V58" s="176" t="str">
        <f>IF($CT16=$W58,"X","")</f>
        <v/>
      </c>
      <c r="W58" s="370" t="s">
        <v>134</v>
      </c>
      <c r="X58" s="349" t="str">
        <f>IF($CQ58=$Y58,"X","")</f>
        <v/>
      </c>
      <c r="Y58" s="817">
        <v>0.18</v>
      </c>
      <c r="Z58" s="176" t="str">
        <f>IF($CR58=$AA58,"X","")</f>
        <v/>
      </c>
      <c r="AA58" s="370" t="s">
        <v>305</v>
      </c>
      <c r="AB58" s="890"/>
      <c r="AC58" s="565" t="s">
        <v>1356</v>
      </c>
      <c r="AD58" s="349"/>
      <c r="AE58" s="352">
        <v>0</v>
      </c>
      <c r="AF58" s="134" t="str">
        <f>IF(CZ196=$AG58,"X","")</f>
        <v/>
      </c>
      <c r="AG58" s="541">
        <v>0.15</v>
      </c>
      <c r="AH58" s="134" t="str">
        <f>IF(ROUND(MAX(CY196*CM196,CZ196*CI196),0)=$AI58,"X","")</f>
        <v/>
      </c>
      <c r="AI58" s="56">
        <f>ROUND(MAX(I58*AE58,AG58*E58),0)</f>
        <v>5753</v>
      </c>
      <c r="AJ58" s="313" t="str">
        <f>IF($DB58=$AK58,"X","")</f>
        <v/>
      </c>
      <c r="AK58" s="399" t="s">
        <v>298</v>
      </c>
      <c r="AL58" s="313" t="str">
        <f>IF($DC58=$AM58,"X","")</f>
        <v/>
      </c>
      <c r="AM58" s="366" t="s">
        <v>299</v>
      </c>
      <c r="AN58" s="370"/>
      <c r="AP58" s="539"/>
      <c r="AQ58" s="370"/>
      <c r="AR58" s="58"/>
      <c r="AV58" s="362"/>
      <c r="AW58" s="362"/>
      <c r="AX58" s="362"/>
      <c r="AY58" s="362"/>
      <c r="AZ58" s="362"/>
      <c r="BA58" s="362"/>
      <c r="BB58" s="362"/>
      <c r="BC58" s="362"/>
      <c r="BD58" s="362"/>
      <c r="BE58" s="362"/>
      <c r="BF58" s="362"/>
      <c r="BG58" s="362"/>
      <c r="BH58" s="362"/>
      <c r="BI58" s="362"/>
      <c r="BJ58" s="362"/>
      <c r="BK58" s="362"/>
      <c r="BL58" s="362"/>
      <c r="BM58" s="362"/>
      <c r="BN58" s="362"/>
      <c r="BO58" s="362"/>
      <c r="BP58" s="362"/>
      <c r="BQ58" s="362"/>
      <c r="BR58" s="362"/>
      <c r="BS58" s="362"/>
      <c r="BT58" s="362"/>
      <c r="BU58" s="378"/>
      <c r="BV58" s="378"/>
      <c r="BW58" s="378"/>
      <c r="BX58" s="362"/>
      <c r="BY58" s="362"/>
      <c r="BZ58" s="362"/>
      <c r="CA58" s="362"/>
      <c r="CB58" s="362"/>
      <c r="CC58" s="362"/>
      <c r="CD58" s="362"/>
      <c r="CE58" s="362"/>
      <c r="CF58" s="362"/>
      <c r="CG58" s="362"/>
      <c r="CH58" s="362"/>
      <c r="CI58" s="362"/>
      <c r="CJ58" s="362"/>
      <c r="CK58" s="362"/>
      <c r="CL58" s="362"/>
      <c r="CM58" s="362"/>
      <c r="CN58" s="362"/>
      <c r="CO58" s="362"/>
      <c r="CP58" s="362"/>
      <c r="CQ58" s="362"/>
      <c r="CR58" s="362"/>
      <c r="CS58" s="362"/>
      <c r="CT58" s="362"/>
      <c r="CU58" s="362"/>
      <c r="CV58" s="362"/>
      <c r="CW58" s="362"/>
    </row>
    <row r="59" spans="1:116" s="369" customFormat="1" ht="27.6" x14ac:dyDescent="0.3">
      <c r="B59" s="127" t="s">
        <v>85</v>
      </c>
      <c r="C59" s="247" t="s">
        <v>116</v>
      </c>
      <c r="D59" s="134" t="str">
        <f>IF(ROUND($CM59,1)=$I59,"X","")</f>
        <v/>
      </c>
      <c r="E59" s="536">
        <v>27257.6387</v>
      </c>
      <c r="F59" s="136" t="str">
        <f>IF($CL59=$G59,"X","")</f>
        <v/>
      </c>
      <c r="G59" s="198">
        <f>ROUND(33.33*0.5,3)</f>
        <v>16.664999999999999</v>
      </c>
      <c r="H59" s="603" t="str">
        <f>IF(ROUND($CM59,1)=$I59,"X","")</f>
        <v/>
      </c>
      <c r="I59" s="608">
        <f>ROUND(E59/1000*G59,1)</f>
        <v>454.2</v>
      </c>
      <c r="J59" s="136" t="str">
        <f>IF($CN59=$K59,"X","")</f>
        <v/>
      </c>
      <c r="K59" s="371" t="s">
        <v>125</v>
      </c>
      <c r="L59" s="136" t="str">
        <f>IF($CO59=$M59,"X","")</f>
        <v/>
      </c>
      <c r="M59" s="366">
        <v>250</v>
      </c>
      <c r="N59" s="176" t="str">
        <f>IF($CP59=$O59,"X","")</f>
        <v/>
      </c>
      <c r="O59" s="370">
        <v>200</v>
      </c>
      <c r="P59" s="136" t="str">
        <f>IF($CK17=$Q59,"X","")</f>
        <v/>
      </c>
      <c r="Q59" s="198">
        <v>1.2</v>
      </c>
      <c r="R59" s="176" t="str">
        <f>IF($CL17=$S59,"X","")</f>
        <v/>
      </c>
      <c r="S59" s="378" t="s">
        <v>129</v>
      </c>
      <c r="T59" s="136" t="str">
        <f>IF($CS17=$U59,"X","")</f>
        <v/>
      </c>
      <c r="U59" s="812">
        <v>1</v>
      </c>
      <c r="V59" s="176" t="str">
        <f>IF($CT17=$W59,"X","")</f>
        <v/>
      </c>
      <c r="W59" s="370" t="s">
        <v>133</v>
      </c>
      <c r="X59" s="136" t="str">
        <f>IF($CQ59=$Y59,"X","")</f>
        <v/>
      </c>
      <c r="Y59" s="304">
        <v>0.18</v>
      </c>
      <c r="Z59" s="176" t="str">
        <f>IF($CR59=$AA59,"X","")</f>
        <v/>
      </c>
      <c r="AA59" s="370" t="s">
        <v>306</v>
      </c>
      <c r="AB59" s="931"/>
      <c r="AC59" s="813" t="s">
        <v>1356</v>
      </c>
      <c r="AD59" s="136" t="str">
        <f>IF(CY197=$AE59,"X","")</f>
        <v/>
      </c>
      <c r="AE59" s="197">
        <v>15</v>
      </c>
      <c r="AF59" s="134" t="str">
        <f>IF(CZ197=$AG59,"X","")</f>
        <v/>
      </c>
      <c r="AG59" s="431">
        <v>0.2</v>
      </c>
      <c r="AH59" s="134" t="str">
        <f>IF(ROUND(MAX(CY197*CM197,CZ197*CI197),0)=$AI59,"X","")</f>
        <v/>
      </c>
      <c r="AI59" s="56">
        <f>ROUNDDOWN(MAX(I59*AE59,AG59*E59),0)</f>
        <v>6813</v>
      </c>
      <c r="AJ59" s="136" t="str">
        <f>IF($DB59=$AK59,"X","")</f>
        <v/>
      </c>
      <c r="AK59" s="366" t="s">
        <v>307</v>
      </c>
      <c r="AL59" s="136" t="str">
        <f>IF($DC59=$AM59,"X","")</f>
        <v/>
      </c>
      <c r="AM59" s="366" t="s">
        <v>308</v>
      </c>
      <c r="AN59" s="370"/>
      <c r="AP59" s="59"/>
      <c r="AQ59" s="370"/>
      <c r="AR59" s="59"/>
      <c r="AV59" s="362"/>
      <c r="AW59" s="362"/>
      <c r="AX59" s="362"/>
      <c r="AY59" s="362"/>
      <c r="AZ59" s="362"/>
      <c r="BA59" s="362"/>
      <c r="BB59" s="362"/>
      <c r="BC59" s="362"/>
      <c r="BD59" s="362"/>
      <c r="BE59" s="362"/>
      <c r="BF59" s="362"/>
      <c r="BG59" s="362"/>
      <c r="BH59" s="362"/>
      <c r="BI59" s="362"/>
      <c r="BJ59" s="362"/>
      <c r="BK59" s="362"/>
      <c r="BL59" s="362"/>
      <c r="BM59" s="362"/>
      <c r="BN59" s="362"/>
      <c r="BO59" s="362"/>
      <c r="BP59" s="362"/>
      <c r="BQ59" s="362"/>
      <c r="BR59" s="362"/>
      <c r="BS59" s="362"/>
      <c r="BT59" s="362"/>
      <c r="BX59" s="362"/>
      <c r="BY59" s="362"/>
      <c r="BZ59" s="362"/>
      <c r="CA59" s="362"/>
      <c r="CB59" s="362"/>
      <c r="CC59" s="362"/>
      <c r="CD59" s="362"/>
      <c r="CE59" s="362"/>
      <c r="CF59" s="362"/>
      <c r="CG59" s="362"/>
      <c r="CH59" s="362"/>
      <c r="CI59" s="362"/>
      <c r="CJ59" s="362"/>
      <c r="CK59" s="362"/>
      <c r="CL59" s="362"/>
      <c r="CM59" s="362"/>
      <c r="CN59" s="362"/>
      <c r="CO59" s="362"/>
      <c r="CP59" s="362"/>
      <c r="CQ59" s="362"/>
      <c r="CR59" s="362"/>
      <c r="CS59" s="362"/>
      <c r="CT59" s="362"/>
      <c r="CU59" s="362"/>
      <c r="CV59" s="362"/>
      <c r="CW59" s="362"/>
    </row>
    <row r="60" spans="1:116" s="369" customFormat="1" ht="27.6" x14ac:dyDescent="0.3">
      <c r="B60" s="321" t="s">
        <v>86</v>
      </c>
      <c r="C60" s="64" t="s">
        <v>118</v>
      </c>
      <c r="D60" s="333" t="s">
        <v>14</v>
      </c>
      <c r="E60" s="412" t="s">
        <v>14</v>
      </c>
      <c r="F60" s="333" t="s">
        <v>14</v>
      </c>
      <c r="G60" s="814" t="s">
        <v>14</v>
      </c>
      <c r="H60" s="333" t="s">
        <v>14</v>
      </c>
      <c r="I60" s="412" t="s">
        <v>14</v>
      </c>
      <c r="J60" s="333" t="s">
        <v>14</v>
      </c>
      <c r="K60" s="432" t="s">
        <v>14</v>
      </c>
      <c r="L60" s="333" t="s">
        <v>14</v>
      </c>
      <c r="M60" s="412" t="s">
        <v>14</v>
      </c>
      <c r="N60" s="271" t="s">
        <v>14</v>
      </c>
      <c r="O60" s="432" t="s">
        <v>14</v>
      </c>
      <c r="P60" s="333" t="s">
        <v>14</v>
      </c>
      <c r="Q60" s="814" t="s">
        <v>14</v>
      </c>
      <c r="R60" s="271" t="s">
        <v>14</v>
      </c>
      <c r="S60" s="432" t="s">
        <v>14</v>
      </c>
      <c r="T60" s="333" t="s">
        <v>14</v>
      </c>
      <c r="U60" s="815" t="s">
        <v>14</v>
      </c>
      <c r="V60" s="271" t="s">
        <v>14</v>
      </c>
      <c r="W60" s="432" t="s">
        <v>14</v>
      </c>
      <c r="X60" s="818" t="s">
        <v>14</v>
      </c>
      <c r="Y60" s="819" t="s">
        <v>14</v>
      </c>
      <c r="Z60" s="818" t="s">
        <v>14</v>
      </c>
      <c r="AA60" s="432" t="s">
        <v>14</v>
      </c>
      <c r="AB60" s="333" t="s">
        <v>14</v>
      </c>
      <c r="AC60" s="432" t="s">
        <v>14</v>
      </c>
      <c r="AD60" s="818" t="s">
        <v>14</v>
      </c>
      <c r="AE60" s="432" t="s">
        <v>14</v>
      </c>
      <c r="AF60" s="818" t="s">
        <v>14</v>
      </c>
      <c r="AG60" s="820" t="s">
        <v>14</v>
      </c>
      <c r="AH60" s="333" t="s">
        <v>14</v>
      </c>
      <c r="AI60" s="432"/>
      <c r="AJ60" s="818" t="s">
        <v>14</v>
      </c>
      <c r="AK60" s="432" t="s">
        <v>14</v>
      </c>
      <c r="AL60" s="818" t="s">
        <v>14</v>
      </c>
      <c r="AM60" s="412" t="s">
        <v>14</v>
      </c>
      <c r="AN60" s="68"/>
      <c r="AP60" s="68"/>
      <c r="AQ60" s="68"/>
      <c r="AR60" s="68"/>
      <c r="AV60" s="362"/>
      <c r="AW60" s="362"/>
      <c r="AX60" s="362"/>
      <c r="AY60" s="362"/>
      <c r="AZ60" s="362"/>
      <c r="BA60" s="362"/>
      <c r="BB60" s="362"/>
      <c r="BC60" s="362"/>
      <c r="BD60" s="362"/>
      <c r="BE60" s="362"/>
      <c r="BF60" s="362"/>
      <c r="BG60" s="362"/>
      <c r="BH60" s="362"/>
      <c r="BI60" s="362"/>
      <c r="BJ60" s="362"/>
      <c r="BK60" s="362"/>
      <c r="BL60" s="362"/>
      <c r="BM60" s="362"/>
      <c r="BN60" s="362"/>
      <c r="BO60" s="362"/>
      <c r="BP60" s="362"/>
      <c r="BQ60" s="362"/>
      <c r="BR60" s="362"/>
      <c r="BS60" s="362"/>
      <c r="BT60" s="362"/>
      <c r="BX60" s="362"/>
      <c r="BY60" s="362"/>
      <c r="BZ60" s="362"/>
      <c r="CA60" s="362"/>
      <c r="CB60" s="362"/>
      <c r="CC60" s="362"/>
      <c r="CD60" s="362"/>
      <c r="CE60" s="362"/>
      <c r="CF60" s="362"/>
      <c r="CG60" s="362"/>
      <c r="CH60" s="362"/>
      <c r="CI60" s="362"/>
      <c r="CJ60" s="362"/>
      <c r="CK60" s="362"/>
      <c r="CL60" s="362"/>
      <c r="CM60" s="362"/>
      <c r="CN60" s="362"/>
      <c r="CO60" s="362"/>
      <c r="CP60" s="362"/>
      <c r="CQ60" s="362"/>
      <c r="CR60" s="362"/>
      <c r="CS60" s="362"/>
      <c r="CT60" s="362"/>
      <c r="CU60" s="362"/>
      <c r="CV60" s="362"/>
      <c r="CW60" s="362"/>
    </row>
    <row r="61" spans="1:116" ht="14.4" x14ac:dyDescent="0.3">
      <c r="B61" s="127" t="s">
        <v>87</v>
      </c>
      <c r="C61" s="247" t="s">
        <v>119</v>
      </c>
      <c r="D61" s="136" t="str">
        <f>IF(ROUND($CM61,1)=$I61,"X","")</f>
        <v/>
      </c>
      <c r="E61" s="536">
        <v>3373.6</v>
      </c>
      <c r="F61" s="136" t="str">
        <f>IF($CL61=$G61,"X","")</f>
        <v/>
      </c>
      <c r="G61" s="198">
        <f>66.67*0.5</f>
        <v>33.335000000000001</v>
      </c>
      <c r="H61" s="603" t="str">
        <f>IF(ROUND($CM61,1)=$I61,"X","")</f>
        <v/>
      </c>
      <c r="I61" s="608">
        <f>ROUND(E61/1000*G61,1)</f>
        <v>112.5</v>
      </c>
      <c r="J61" s="136" t="str">
        <f>IF($CN61=$K61,"X","")</f>
        <v/>
      </c>
      <c r="K61" s="180" t="s">
        <v>125</v>
      </c>
      <c r="L61" s="313" t="str">
        <f>IF($CO61=$M61,"X","")</f>
        <v/>
      </c>
      <c r="M61" s="366">
        <v>250</v>
      </c>
      <c r="N61" s="176" t="str">
        <f>IF($CP61=$O61,"X","")</f>
        <v/>
      </c>
      <c r="O61" s="370">
        <v>250</v>
      </c>
      <c r="P61" s="136" t="str">
        <f>IF($CK19=$Q61,"X","")</f>
        <v/>
      </c>
      <c r="Q61" s="198">
        <v>0.95</v>
      </c>
      <c r="R61" s="176" t="str">
        <f>IF($CL19=$S61,"X","")</f>
        <v/>
      </c>
      <c r="S61" s="378" t="s">
        <v>129</v>
      </c>
      <c r="T61" s="313" t="str">
        <f>IF($CS19=$U61,"X","")</f>
        <v/>
      </c>
      <c r="U61" s="812">
        <v>0.5</v>
      </c>
      <c r="V61" s="176" t="str">
        <f>IF($CT19=$W61,"X","")</f>
        <v/>
      </c>
      <c r="W61" s="370" t="s">
        <v>133</v>
      </c>
      <c r="X61" s="313" t="str">
        <f>IF($CQ61=$Y61,"X","")</f>
        <v/>
      </c>
      <c r="Y61" s="304">
        <v>0.09</v>
      </c>
      <c r="Z61" s="176" t="str">
        <f>IF($CR61=$AA61,"X","")</f>
        <v/>
      </c>
      <c r="AA61" s="370" t="s">
        <v>306</v>
      </c>
      <c r="AB61" s="931"/>
      <c r="AC61" s="813" t="s">
        <v>1356</v>
      </c>
      <c r="AD61" s="136" t="str">
        <f>IF(CY199=$AE61,"X","")</f>
        <v/>
      </c>
      <c r="AE61" s="197">
        <v>15</v>
      </c>
      <c r="AF61" s="134" t="str">
        <f>IF(CZ199=$AG61,"X","")</f>
        <v/>
      </c>
      <c r="AG61" s="431">
        <v>0.15</v>
      </c>
      <c r="AH61" s="134" t="str">
        <f>IF(ROUND(MAX(CY199*CM199,CZ199*CI199),0)=$AI61,"X","")</f>
        <v/>
      </c>
      <c r="AI61" s="56">
        <f>ROUND(MAX(I61*AE61,AG61*E61),0)</f>
        <v>1688</v>
      </c>
      <c r="AJ61" s="313" t="str">
        <f>IF($DB61=$AK61,"X","")</f>
        <v/>
      </c>
      <c r="AK61" s="366" t="s">
        <v>307</v>
      </c>
      <c r="AL61" s="176" t="str">
        <f>IF($DC61=$AM61,"X","")</f>
        <v/>
      </c>
      <c r="AM61" s="366" t="s">
        <v>308</v>
      </c>
      <c r="AO61" s="369"/>
      <c r="AP61" s="681"/>
      <c r="AR61" s="58"/>
      <c r="AT61" s="370"/>
      <c r="AU61" s="370"/>
      <c r="AV61" s="362"/>
      <c r="AW61" s="362"/>
      <c r="AX61" s="362"/>
      <c r="AY61" s="362"/>
      <c r="AZ61" s="362"/>
      <c r="BA61" s="362"/>
      <c r="BB61" s="362"/>
      <c r="BC61" s="362"/>
      <c r="BD61" s="362"/>
      <c r="BE61" s="362"/>
      <c r="BF61" s="362"/>
      <c r="BG61" s="362"/>
      <c r="BH61" s="362"/>
      <c r="BI61" s="362"/>
      <c r="BJ61" s="362"/>
      <c r="BK61" s="362"/>
      <c r="BL61" s="362"/>
      <c r="BM61" s="362"/>
      <c r="BN61" s="362"/>
      <c r="BO61" s="362"/>
      <c r="BP61" s="362"/>
      <c r="BQ61" s="362"/>
      <c r="BR61" s="362"/>
      <c r="BS61" s="362"/>
      <c r="BT61" s="362"/>
      <c r="BU61" s="369"/>
      <c r="BV61" s="369"/>
      <c r="BW61" s="369"/>
      <c r="BX61" s="362"/>
      <c r="BY61" s="362"/>
      <c r="BZ61" s="362"/>
      <c r="CA61" s="362"/>
      <c r="CB61" s="362"/>
      <c r="CC61" s="362"/>
      <c r="CD61" s="362"/>
      <c r="CE61" s="362"/>
      <c r="CF61" s="362"/>
      <c r="CG61" s="362"/>
      <c r="CH61" s="362"/>
      <c r="CI61" s="362"/>
      <c r="CJ61" s="362"/>
      <c r="CK61" s="362"/>
      <c r="CL61" s="362"/>
      <c r="CM61" s="362"/>
      <c r="CN61" s="362"/>
      <c r="CO61" s="362"/>
      <c r="CP61" s="362"/>
      <c r="CQ61" s="362"/>
      <c r="CR61" s="362"/>
      <c r="CS61" s="362"/>
      <c r="CT61" s="362"/>
      <c r="CU61" s="362"/>
      <c r="CV61" s="362"/>
      <c r="CW61" s="362"/>
    </row>
    <row r="62" spans="1:116" s="369" customFormat="1" ht="27.6" x14ac:dyDescent="0.3">
      <c r="B62" s="127" t="s">
        <v>88</v>
      </c>
      <c r="C62" s="247" t="s">
        <v>120</v>
      </c>
      <c r="D62" s="136" t="str">
        <f>IF(ROUND($CM62,1)=$I62,"X","")</f>
        <v/>
      </c>
      <c r="E62" s="536">
        <v>2174.1</v>
      </c>
      <c r="F62" s="136" t="str">
        <f>IF($CL62=$G62,"X","")</f>
        <v/>
      </c>
      <c r="G62" s="198">
        <f>10*0.5</f>
        <v>5</v>
      </c>
      <c r="H62" s="603" t="str">
        <f>IF(ROUND($CM62,1)=$I62,"X","")</f>
        <v/>
      </c>
      <c r="I62" s="608">
        <f>ROUND(E62/1000*G62,1)</f>
        <v>10.9</v>
      </c>
      <c r="J62" s="136" t="str">
        <f>IF($CN62=$K62,"X","")</f>
        <v/>
      </c>
      <c r="K62" s="180" t="s">
        <v>125</v>
      </c>
      <c r="L62" s="136" t="str">
        <f>IF($CO62=$M62,"X","")</f>
        <v/>
      </c>
      <c r="M62" s="366">
        <v>250</v>
      </c>
      <c r="N62" s="176" t="str">
        <f>IF($CP62=$O62,"X","")</f>
        <v/>
      </c>
      <c r="O62" s="370">
        <v>250</v>
      </c>
      <c r="P62" s="136" t="str">
        <f>IF($CK20=$Q62,"X","")</f>
        <v/>
      </c>
      <c r="Q62" s="198">
        <v>0.6</v>
      </c>
      <c r="R62" s="176" t="str">
        <f>IF($CL20=$S62,"X","")</f>
        <v/>
      </c>
      <c r="S62" s="378" t="s">
        <v>129</v>
      </c>
      <c r="T62" s="136" t="str">
        <f>IF($CS20=$U62,"X","")</f>
        <v/>
      </c>
      <c r="U62" s="812">
        <v>0.2</v>
      </c>
      <c r="V62" s="176" t="str">
        <f>IF($CT20=$W62,"X","")</f>
        <v/>
      </c>
      <c r="W62" s="22" t="s">
        <v>133</v>
      </c>
      <c r="X62" s="136"/>
      <c r="Y62" s="304">
        <v>0</v>
      </c>
      <c r="Z62" s="176" t="str">
        <f>IF($CR62=$AA62,"X","")</f>
        <v/>
      </c>
      <c r="AA62" s="370" t="s">
        <v>306</v>
      </c>
      <c r="AB62" s="931"/>
      <c r="AC62" s="813" t="s">
        <v>1356</v>
      </c>
      <c r="AD62" s="136"/>
      <c r="AE62" s="197">
        <v>0</v>
      </c>
      <c r="AF62" s="134" t="str">
        <f>IF(CZ200=$AG62,"X","")</f>
        <v/>
      </c>
      <c r="AG62" s="431">
        <v>0.15</v>
      </c>
      <c r="AH62" s="134" t="str">
        <f>IF(ROUND(MAX(CY200*CM200,CZ200*CI200),0)=$AI62,"X","")</f>
        <v/>
      </c>
      <c r="AI62" s="56">
        <f>ROUND(MAX(I62*AE62,AG62*E62),0)</f>
        <v>326</v>
      </c>
      <c r="AJ62" s="136" t="str">
        <f>IF($DB62=$AK62,"X","")</f>
        <v/>
      </c>
      <c r="AK62" s="366" t="s">
        <v>307</v>
      </c>
      <c r="AL62" s="176" t="str">
        <f>IF($DC62=$AM62,"X","")</f>
        <v/>
      </c>
      <c r="AM62" s="366" t="s">
        <v>308</v>
      </c>
      <c r="AN62" s="370"/>
      <c r="AP62" s="681"/>
      <c r="AQ62" s="370"/>
      <c r="AR62" s="58"/>
      <c r="AV62" s="362"/>
      <c r="AW62" s="362"/>
      <c r="AX62" s="362"/>
      <c r="AY62" s="362"/>
      <c r="AZ62" s="362"/>
      <c r="BA62" s="362"/>
      <c r="BB62" s="362"/>
      <c r="BC62" s="362"/>
      <c r="BD62" s="362"/>
      <c r="BE62" s="362"/>
      <c r="BF62" s="362"/>
      <c r="BG62" s="362"/>
      <c r="BH62" s="362"/>
      <c r="BI62" s="362"/>
      <c r="BJ62" s="362"/>
      <c r="BK62" s="362"/>
      <c r="BL62" s="362"/>
      <c r="BM62" s="362"/>
      <c r="BN62" s="362"/>
      <c r="BO62" s="362"/>
      <c r="BP62" s="362"/>
      <c r="BX62" s="362"/>
      <c r="BY62" s="362"/>
      <c r="BZ62" s="362"/>
      <c r="CA62" s="362"/>
      <c r="CB62" s="362"/>
      <c r="CC62" s="362"/>
      <c r="CD62" s="362"/>
      <c r="CE62" s="362"/>
      <c r="CF62" s="362"/>
      <c r="CG62" s="362"/>
      <c r="CH62" s="362"/>
      <c r="CI62" s="362"/>
      <c r="CJ62" s="362"/>
      <c r="CK62" s="362"/>
      <c r="CL62" s="362"/>
      <c r="CM62" s="362"/>
      <c r="CN62" s="362"/>
      <c r="CO62" s="362"/>
      <c r="CP62" s="362"/>
      <c r="CQ62" s="362"/>
      <c r="CR62" s="362"/>
      <c r="CS62" s="362"/>
      <c r="CT62" s="362"/>
      <c r="CU62" s="362"/>
      <c r="CV62" s="362"/>
      <c r="CW62" s="362"/>
    </row>
    <row r="63" spans="1:116" s="369" customFormat="1" ht="27.6" x14ac:dyDescent="0.3">
      <c r="B63" s="127" t="s">
        <v>89</v>
      </c>
      <c r="C63" s="247" t="s">
        <v>116</v>
      </c>
      <c r="D63" s="136" t="str">
        <f>IF(ROUND($CM63,1)=$I63,"X","")</f>
        <v/>
      </c>
      <c r="E63" s="536">
        <v>3373.6</v>
      </c>
      <c r="F63" s="136" t="str">
        <f>IF($CL63=$G63,"X","")</f>
        <v/>
      </c>
      <c r="G63" s="198">
        <f>ROUND(33.33*0.5,3)</f>
        <v>16.664999999999999</v>
      </c>
      <c r="H63" s="603" t="str">
        <f>IF(ROUND($CM63,1)=$I63,"X","")</f>
        <v/>
      </c>
      <c r="I63" s="608">
        <f>ROUND(E63/1000*G63,1)</f>
        <v>56.2</v>
      </c>
      <c r="J63" s="136" t="str">
        <f>IF($CN63=$K63,"X","")</f>
        <v/>
      </c>
      <c r="K63" s="371" t="s">
        <v>125</v>
      </c>
      <c r="L63" s="136" t="str">
        <f>IF($CO63=$M63,"X","")</f>
        <v/>
      </c>
      <c r="M63" s="366">
        <v>250</v>
      </c>
      <c r="N63" s="176" t="str">
        <f>IF($CP63=$O63,"X","")</f>
        <v/>
      </c>
      <c r="O63" s="370">
        <v>200</v>
      </c>
      <c r="P63" s="136" t="str">
        <f>IF($CK21=$Q63,"X","")</f>
        <v/>
      </c>
      <c r="Q63" s="198">
        <v>1.2</v>
      </c>
      <c r="R63" s="176" t="str">
        <f>IF($CL21=$S63,"X","")</f>
        <v/>
      </c>
      <c r="S63" s="378" t="s">
        <v>129</v>
      </c>
      <c r="T63" s="136" t="str">
        <f>IF($CS21=$U63,"X","")</f>
        <v/>
      </c>
      <c r="U63" s="812">
        <v>1</v>
      </c>
      <c r="V63" s="176" t="str">
        <f>IF($CT21=$W63,"X","")</f>
        <v/>
      </c>
      <c r="W63" s="370" t="s">
        <v>133</v>
      </c>
      <c r="X63" s="136" t="str">
        <f>IF($CQ63=$Y63,"X","")</f>
        <v/>
      </c>
      <c r="Y63" s="304">
        <v>0.18</v>
      </c>
      <c r="Z63" s="176" t="str">
        <f>IF($CR63=$AA63,"X","")</f>
        <v/>
      </c>
      <c r="AA63" s="370" t="s">
        <v>306</v>
      </c>
      <c r="AB63" s="931"/>
      <c r="AC63" s="813" t="s">
        <v>1356</v>
      </c>
      <c r="AD63" s="136" t="str">
        <f>IF(CY201=$AE63,"X","")</f>
        <v/>
      </c>
      <c r="AE63" s="197">
        <v>15</v>
      </c>
      <c r="AF63" s="134" t="str">
        <f>IF(CZ201=$AG63,"X","")</f>
        <v/>
      </c>
      <c r="AG63" s="431">
        <v>0.2</v>
      </c>
      <c r="AH63" s="134" t="str">
        <f>IF(ROUND(MAX(CY201*CM201,CZ201*CI201),0)=$AI63,"X","")</f>
        <v/>
      </c>
      <c r="AI63" s="56">
        <f>ROUND(MAX(I63*AE63,AG63*E63),0)</f>
        <v>843</v>
      </c>
      <c r="AJ63" s="136" t="str">
        <f>IF($DB63=$AK63,"X","")</f>
        <v/>
      </c>
      <c r="AK63" s="366" t="s">
        <v>307</v>
      </c>
      <c r="AL63" s="176" t="str">
        <f>IF($DC63=$AM63,"X","")</f>
        <v/>
      </c>
      <c r="AM63" s="366" t="s">
        <v>308</v>
      </c>
      <c r="AN63" s="370"/>
      <c r="AP63" s="59"/>
      <c r="AQ63" s="370"/>
      <c r="AR63" s="59"/>
      <c r="AV63" s="362"/>
      <c r="AW63" s="362"/>
      <c r="AX63" s="362"/>
      <c r="AY63" s="362"/>
      <c r="AZ63" s="362"/>
      <c r="BA63" s="362"/>
      <c r="BB63" s="362"/>
      <c r="BC63" s="362"/>
      <c r="BD63" s="362"/>
      <c r="BE63" s="362"/>
      <c r="BF63" s="362"/>
      <c r="BG63" s="362"/>
      <c r="BH63" s="362"/>
      <c r="BI63" s="362"/>
      <c r="BJ63" s="362"/>
      <c r="BK63" s="362"/>
      <c r="BL63" s="362"/>
      <c r="BM63" s="362"/>
      <c r="BN63" s="362"/>
      <c r="BO63" s="362"/>
      <c r="BP63" s="362"/>
      <c r="BX63" s="362"/>
      <c r="BY63" s="362"/>
      <c r="BZ63" s="362"/>
      <c r="CA63" s="362"/>
      <c r="CB63" s="362"/>
      <c r="CC63" s="362"/>
      <c r="CD63" s="362"/>
      <c r="CE63" s="362"/>
      <c r="CF63" s="362"/>
      <c r="CG63" s="362"/>
      <c r="CH63" s="362"/>
      <c r="CI63" s="362"/>
      <c r="CJ63" s="362"/>
      <c r="CK63" s="362"/>
      <c r="CL63" s="362"/>
      <c r="CM63" s="362"/>
      <c r="CN63" s="362"/>
      <c r="CO63" s="362"/>
      <c r="CP63" s="362"/>
      <c r="CQ63" s="362"/>
      <c r="CR63" s="362"/>
      <c r="CS63" s="362"/>
      <c r="CT63" s="362"/>
      <c r="CU63" s="362"/>
      <c r="CV63" s="362"/>
      <c r="CW63" s="362"/>
    </row>
    <row r="64" spans="1:116" s="369" customFormat="1" ht="27.6" x14ac:dyDescent="0.3">
      <c r="B64" s="127" t="s">
        <v>90</v>
      </c>
      <c r="C64" s="247" t="s">
        <v>116</v>
      </c>
      <c r="D64" s="136" t="str">
        <f>IF(ROUND($CM64,1)=$I64,"X","")</f>
        <v/>
      </c>
      <c r="E64" s="536">
        <v>2174</v>
      </c>
      <c r="F64" s="136" t="str">
        <f>IF($CL64=$G64,"X","")</f>
        <v/>
      </c>
      <c r="G64" s="198">
        <f>ROUND(33.33*0.5,3)</f>
        <v>16.664999999999999</v>
      </c>
      <c r="H64" s="603" t="str">
        <f>IF(ROUND($CM64,1)=$I64,"X","")</f>
        <v/>
      </c>
      <c r="I64" s="608">
        <f>ROUND(E64/1000*G64,1)</f>
        <v>36.200000000000003</v>
      </c>
      <c r="J64" s="136" t="str">
        <f>IF($CN64=$K64,"X","")</f>
        <v/>
      </c>
      <c r="K64" s="371" t="s">
        <v>125</v>
      </c>
      <c r="L64" s="136" t="str">
        <f>IF($CO64=$M64,"X","")</f>
        <v/>
      </c>
      <c r="M64" s="366">
        <v>250</v>
      </c>
      <c r="N64" s="176" t="str">
        <f>IF($CP64=$O64,"X","")</f>
        <v/>
      </c>
      <c r="O64" s="370">
        <v>200</v>
      </c>
      <c r="P64" s="136" t="str">
        <f>IF($CK22=$Q64,"X","")</f>
        <v/>
      </c>
      <c r="Q64" s="198">
        <v>1.2</v>
      </c>
      <c r="R64" s="176" t="str">
        <f>IF($CL22=$S64,"X","")</f>
        <v/>
      </c>
      <c r="S64" s="378" t="s">
        <v>129</v>
      </c>
      <c r="T64" s="136" t="str">
        <f>IF($CS22=$U64,"X","")</f>
        <v/>
      </c>
      <c r="U64" s="812">
        <v>1</v>
      </c>
      <c r="V64" s="176" t="str">
        <f>IF($CT22=$W64,"X","")</f>
        <v/>
      </c>
      <c r="W64" s="370" t="s">
        <v>133</v>
      </c>
      <c r="X64" s="136" t="str">
        <f>IF($CQ64=$Y64,"X","")</f>
        <v/>
      </c>
      <c r="Y64" s="304">
        <v>0.18</v>
      </c>
      <c r="Z64" s="176" t="str">
        <f>IF($CR64=$AA64,"X","")</f>
        <v/>
      </c>
      <c r="AA64" s="370" t="s">
        <v>306</v>
      </c>
      <c r="AB64" s="931"/>
      <c r="AC64" s="813" t="s">
        <v>1356</v>
      </c>
      <c r="AD64" s="136" t="str">
        <f>IF(CY202=$AE64,"X","")</f>
        <v/>
      </c>
      <c r="AE64" s="197">
        <v>15</v>
      </c>
      <c r="AF64" s="134" t="str">
        <f>IF(CZ202=$AG64,"X","")</f>
        <v/>
      </c>
      <c r="AG64" s="431">
        <v>0.2</v>
      </c>
      <c r="AH64" s="134" t="str">
        <f>IF(ROUND(MAX(CY202*CM202,CZ202*CI202),0)=$AI64,"X","")</f>
        <v/>
      </c>
      <c r="AI64" s="56">
        <f>ROUND(MAX(I64*AE64,AG64*E64),0)</f>
        <v>543</v>
      </c>
      <c r="AJ64" s="136" t="str">
        <f>IF($DB64=$AK64,"X","")</f>
        <v/>
      </c>
      <c r="AK64" s="366" t="s">
        <v>307</v>
      </c>
      <c r="AL64" s="176" t="str">
        <f>IF($DC64=$AM64,"X","")</f>
        <v/>
      </c>
      <c r="AM64" s="366" t="s">
        <v>308</v>
      </c>
      <c r="AN64" s="370"/>
      <c r="AP64" s="59"/>
      <c r="AQ64" s="370"/>
      <c r="AR64" s="59"/>
      <c r="AV64" s="362"/>
      <c r="AW64" s="362"/>
      <c r="AX64" s="362"/>
      <c r="AY64" s="362"/>
      <c r="AZ64" s="362"/>
      <c r="BA64" s="362"/>
      <c r="BB64" s="362"/>
      <c r="BC64" s="362"/>
      <c r="BD64" s="362"/>
      <c r="BE64" s="362"/>
      <c r="BF64" s="362"/>
      <c r="BG64" s="362"/>
      <c r="BH64" s="362"/>
      <c r="BI64" s="362"/>
      <c r="BJ64" s="362"/>
      <c r="BK64" s="362"/>
      <c r="BL64" s="362"/>
      <c r="BM64" s="362"/>
      <c r="BN64" s="362"/>
      <c r="BO64" s="362"/>
      <c r="BP64" s="362"/>
      <c r="BX64" s="362"/>
      <c r="BY64" s="362"/>
      <c r="BZ64" s="362"/>
      <c r="CA64" s="362"/>
      <c r="CB64" s="362"/>
      <c r="CC64" s="362"/>
      <c r="CD64" s="362"/>
      <c r="CE64" s="362"/>
      <c r="CF64" s="362"/>
      <c r="CG64" s="362"/>
      <c r="CH64" s="362"/>
      <c r="CI64" s="362"/>
      <c r="CJ64" s="362"/>
      <c r="CK64" s="362"/>
      <c r="CL64" s="362"/>
      <c r="CM64" s="362"/>
      <c r="CN64" s="362"/>
      <c r="CO64" s="362"/>
      <c r="CP64" s="362"/>
      <c r="CQ64" s="362"/>
      <c r="CR64" s="362"/>
      <c r="CS64" s="362"/>
      <c r="CT64" s="362"/>
      <c r="CU64" s="362"/>
      <c r="CV64" s="362"/>
      <c r="CW64" s="362"/>
    </row>
    <row r="65" spans="2:101" s="369" customFormat="1" ht="14.4" x14ac:dyDescent="0.3">
      <c r="B65" s="127" t="s">
        <v>97</v>
      </c>
      <c r="C65" s="247" t="s">
        <v>121</v>
      </c>
      <c r="D65" s="136" t="str">
        <f>IF(ROUND($CM65,1)=$I65,"X","")</f>
        <v/>
      </c>
      <c r="E65" s="536">
        <v>27257.599999999999</v>
      </c>
      <c r="F65" s="136" t="str">
        <f>IF($CL65=$G65,"X","")</f>
        <v/>
      </c>
      <c r="G65" s="198">
        <f>10*0.5</f>
        <v>5</v>
      </c>
      <c r="H65" s="603" t="str">
        <f>IF(ROUND($CM65,1)=$I65,"X","")</f>
        <v/>
      </c>
      <c r="I65" s="608">
        <f>ROUND(E65/1000*G65,1)</f>
        <v>136.30000000000001</v>
      </c>
      <c r="J65" s="136" t="str">
        <f>IF($CN65=$K65,"X","")</f>
        <v/>
      </c>
      <c r="K65" s="371" t="s">
        <v>128</v>
      </c>
      <c r="L65" s="136" t="str">
        <f>IF($CO65=$M65,"X","")</f>
        <v/>
      </c>
      <c r="M65" s="366">
        <v>250</v>
      </c>
      <c r="N65" s="176" t="str">
        <f>IF($CP65=$O65,"X","")</f>
        <v/>
      </c>
      <c r="O65" s="370">
        <v>200</v>
      </c>
      <c r="P65" s="136" t="str">
        <f>IF($CK23=$Q65,"X","")</f>
        <v/>
      </c>
      <c r="Q65" s="198">
        <v>1.2</v>
      </c>
      <c r="R65" s="176" t="str">
        <f>IF($CL23=$S65,"X","")</f>
        <v/>
      </c>
      <c r="S65" s="378" t="s">
        <v>131</v>
      </c>
      <c r="T65" s="136" t="str">
        <f>IF($CS23=$U65,"X","")</f>
        <v/>
      </c>
      <c r="U65" s="812">
        <v>1.5</v>
      </c>
      <c r="V65" s="176" t="str">
        <f>IF($CT23=$W65,"X","")</f>
        <v/>
      </c>
      <c r="W65" s="370" t="s">
        <v>135</v>
      </c>
      <c r="X65" s="136" t="str">
        <f>IF($CQ65=$Y65,"X","")</f>
        <v/>
      </c>
      <c r="Y65" s="304">
        <v>0.24</v>
      </c>
      <c r="Z65" s="176" t="str">
        <f>IF($CR65=$AA65,"X","")</f>
        <v/>
      </c>
      <c r="AA65" s="370" t="s">
        <v>310</v>
      </c>
      <c r="AB65" s="931"/>
      <c r="AC65" s="813" t="s">
        <v>1356</v>
      </c>
      <c r="AD65" s="136"/>
      <c r="AE65" s="197">
        <v>0</v>
      </c>
      <c r="AF65" s="134" t="str">
        <f>IF(CZ203=$AG65,"X","")</f>
        <v/>
      </c>
      <c r="AG65" s="541">
        <v>0.15215600000000001</v>
      </c>
      <c r="AH65" s="134" t="str">
        <f>IF(ROUND(MAX(CY203*CM203,CZ203*CI203),0)=$AI65,"X","")</f>
        <v/>
      </c>
      <c r="AI65" s="56">
        <f>ROUND(MAX(I65*AE65,AG65*E65),0)</f>
        <v>4147</v>
      </c>
      <c r="AJ65" s="136" t="str">
        <f>IF($DB65=$AK65,"X","")</f>
        <v/>
      </c>
      <c r="AK65" s="366" t="s">
        <v>303</v>
      </c>
      <c r="AL65" s="136" t="str">
        <f>IF($DC65=$AM65,"X","")</f>
        <v/>
      </c>
      <c r="AM65" s="366" t="s">
        <v>304</v>
      </c>
      <c r="AN65" s="370"/>
      <c r="AP65" s="683"/>
      <c r="AQ65" s="370"/>
      <c r="AR65" s="58"/>
      <c r="AV65" s="362"/>
      <c r="AW65" s="362"/>
      <c r="AX65" s="362"/>
      <c r="AY65" s="362"/>
      <c r="AZ65" s="362"/>
      <c r="BA65" s="362"/>
      <c r="BB65" s="362"/>
      <c r="BC65" s="362"/>
      <c r="BD65" s="362"/>
      <c r="BE65" s="362"/>
      <c r="BF65" s="362"/>
      <c r="BG65" s="362"/>
      <c r="BH65" s="362"/>
      <c r="BI65" s="362"/>
      <c r="BJ65" s="362"/>
      <c r="BK65" s="362"/>
      <c r="BL65" s="362"/>
      <c r="BM65" s="362"/>
      <c r="BN65" s="362"/>
      <c r="BO65" s="362"/>
      <c r="BP65" s="362"/>
      <c r="BQ65" s="362"/>
      <c r="BR65" s="362"/>
      <c r="BS65" s="362"/>
      <c r="BT65" s="362"/>
      <c r="BX65" s="362"/>
      <c r="BY65" s="362"/>
      <c r="BZ65" s="362"/>
      <c r="CA65" s="362"/>
      <c r="CB65" s="362"/>
      <c r="CC65" s="362"/>
      <c r="CD65" s="362"/>
      <c r="CE65" s="362"/>
      <c r="CF65" s="362"/>
      <c r="CG65" s="362"/>
      <c r="CH65" s="362"/>
      <c r="CI65" s="362"/>
      <c r="CJ65" s="362"/>
      <c r="CK65" s="362"/>
      <c r="CL65" s="362"/>
      <c r="CM65" s="362"/>
      <c r="CN65" s="362"/>
      <c r="CO65" s="362"/>
      <c r="CP65" s="362"/>
      <c r="CQ65" s="362"/>
      <c r="CR65" s="362"/>
      <c r="CS65" s="362"/>
      <c r="CT65" s="362"/>
      <c r="CU65" s="362"/>
      <c r="CV65" s="362"/>
      <c r="CW65" s="362"/>
    </row>
    <row r="66" spans="2:101" s="369" customFormat="1" ht="27.6" x14ac:dyDescent="0.3">
      <c r="B66" s="321" t="s">
        <v>98</v>
      </c>
      <c r="C66" s="64" t="s">
        <v>118</v>
      </c>
      <c r="D66" s="333" t="s">
        <v>14</v>
      </c>
      <c r="E66" s="412" t="s">
        <v>14</v>
      </c>
      <c r="F66" s="333" t="s">
        <v>14</v>
      </c>
      <c r="G66" s="814" t="s">
        <v>14</v>
      </c>
      <c r="H66" s="333" t="s">
        <v>14</v>
      </c>
      <c r="I66" s="412" t="s">
        <v>14</v>
      </c>
      <c r="J66" s="333" t="s">
        <v>14</v>
      </c>
      <c r="K66" s="432" t="s">
        <v>14</v>
      </c>
      <c r="L66" s="333" t="s">
        <v>14</v>
      </c>
      <c r="M66" s="412" t="s">
        <v>14</v>
      </c>
      <c r="N66" s="271" t="s">
        <v>14</v>
      </c>
      <c r="O66" s="432" t="s">
        <v>14</v>
      </c>
      <c r="P66" s="333" t="s">
        <v>14</v>
      </c>
      <c r="Q66" s="814" t="s">
        <v>14</v>
      </c>
      <c r="R66" s="271" t="s">
        <v>14</v>
      </c>
      <c r="S66" s="432" t="s">
        <v>14</v>
      </c>
      <c r="T66" s="333" t="s">
        <v>14</v>
      </c>
      <c r="U66" s="815" t="s">
        <v>14</v>
      </c>
      <c r="V66" s="271" t="s">
        <v>14</v>
      </c>
      <c r="W66" s="432" t="s">
        <v>14</v>
      </c>
      <c r="X66" s="818" t="s">
        <v>14</v>
      </c>
      <c r="Y66" s="819" t="s">
        <v>14</v>
      </c>
      <c r="Z66" s="818" t="s">
        <v>14</v>
      </c>
      <c r="AA66" s="432" t="s">
        <v>14</v>
      </c>
      <c r="AB66" s="333" t="s">
        <v>14</v>
      </c>
      <c r="AC66" s="432" t="s">
        <v>14</v>
      </c>
      <c r="AD66" s="818" t="s">
        <v>14</v>
      </c>
      <c r="AE66" s="432" t="s">
        <v>14</v>
      </c>
      <c r="AF66" s="818" t="s">
        <v>14</v>
      </c>
      <c r="AG66" s="820" t="s">
        <v>14</v>
      </c>
      <c r="AH66" s="818" t="s">
        <v>14</v>
      </c>
      <c r="AI66" s="432"/>
      <c r="AJ66" s="818" t="s">
        <v>14</v>
      </c>
      <c r="AK66" s="432" t="s">
        <v>14</v>
      </c>
      <c r="AL66" s="818" t="s">
        <v>14</v>
      </c>
      <c r="AM66" s="412" t="s">
        <v>14</v>
      </c>
      <c r="AN66" s="68"/>
      <c r="AP66" s="68"/>
      <c r="AQ66" s="68"/>
      <c r="AR66" s="68"/>
      <c r="AV66" s="362"/>
      <c r="AW66" s="362"/>
      <c r="AX66" s="362"/>
      <c r="AY66" s="362"/>
      <c r="AZ66" s="362"/>
      <c r="BA66" s="362"/>
      <c r="BB66" s="362"/>
      <c r="BC66" s="362"/>
      <c r="BD66" s="362"/>
      <c r="BE66" s="362"/>
      <c r="BF66" s="362"/>
      <c r="BG66" s="362"/>
      <c r="BH66" s="362"/>
      <c r="BI66" s="362"/>
      <c r="BJ66" s="362"/>
      <c r="BK66" s="362"/>
      <c r="BL66" s="362"/>
      <c r="BM66" s="362"/>
      <c r="BN66" s="362"/>
      <c r="BO66" s="362"/>
      <c r="BP66" s="362"/>
      <c r="BQ66" s="362"/>
      <c r="BR66" s="362"/>
      <c r="BS66" s="362"/>
      <c r="BT66" s="362"/>
      <c r="BX66" s="362"/>
      <c r="BY66" s="362"/>
      <c r="BZ66" s="362"/>
      <c r="CA66" s="362"/>
      <c r="CB66" s="362"/>
      <c r="CC66" s="362"/>
      <c r="CD66" s="362"/>
      <c r="CE66" s="362"/>
      <c r="CF66" s="362"/>
      <c r="CG66" s="362"/>
      <c r="CH66" s="362"/>
      <c r="CI66" s="362"/>
      <c r="CJ66" s="362"/>
      <c r="CK66" s="362"/>
      <c r="CL66" s="362"/>
      <c r="CM66" s="362"/>
      <c r="CN66" s="362"/>
      <c r="CO66" s="362"/>
      <c r="CP66" s="362"/>
      <c r="CQ66" s="362"/>
      <c r="CR66" s="362"/>
      <c r="CS66" s="362"/>
      <c r="CT66" s="362"/>
      <c r="CU66" s="362"/>
      <c r="CV66" s="362"/>
      <c r="CW66" s="362"/>
    </row>
    <row r="67" spans="2:101" s="369" customFormat="1" ht="14.4" x14ac:dyDescent="0.3">
      <c r="B67" s="127" t="s">
        <v>99</v>
      </c>
      <c r="C67" s="247" t="s">
        <v>121</v>
      </c>
      <c r="D67" s="136" t="str">
        <f>IF(ROUND($CM67,1)=$I67,"X","")</f>
        <v/>
      </c>
      <c r="E67" s="537">
        <v>3373.6</v>
      </c>
      <c r="F67" s="136" t="str">
        <f>IF($CL67=$G67,"X","")</f>
        <v/>
      </c>
      <c r="G67" s="198">
        <f>10*0.5</f>
        <v>5</v>
      </c>
      <c r="H67" s="603" t="str">
        <f>IF(ROUND($CM67,1)=$I67,"X","")</f>
        <v/>
      </c>
      <c r="I67" s="608">
        <f>ROUND(E67/1000*G67,1)</f>
        <v>16.899999999999999</v>
      </c>
      <c r="J67" s="136" t="str">
        <f>IF($CN67=$K67,"X","")</f>
        <v/>
      </c>
      <c r="K67" s="371" t="s">
        <v>128</v>
      </c>
      <c r="L67" s="136" t="str">
        <f>IF($CO67=$M67,"X","")</f>
        <v/>
      </c>
      <c r="M67" s="366">
        <v>250</v>
      </c>
      <c r="N67" s="176" t="str">
        <f>IF($CP67=$O67,"X","")</f>
        <v/>
      </c>
      <c r="O67" s="370">
        <v>200</v>
      </c>
      <c r="P67" s="136" t="str">
        <f>IF($CL25=$S67,"X","")</f>
        <v/>
      </c>
      <c r="Q67" s="198">
        <v>1.2</v>
      </c>
      <c r="R67" s="176" t="str">
        <f>IF($CL25=$S67,"X","")</f>
        <v/>
      </c>
      <c r="S67" s="378" t="s">
        <v>131</v>
      </c>
      <c r="T67" s="136" t="str">
        <f>IF($CS25=$U67,"X","")</f>
        <v/>
      </c>
      <c r="U67" s="812">
        <v>1.5</v>
      </c>
      <c r="V67" s="176" t="str">
        <f>IF($CT25=$W67,"X","")</f>
        <v/>
      </c>
      <c r="W67" s="370" t="s">
        <v>135</v>
      </c>
      <c r="X67" s="136" t="str">
        <f>IF($CQ67=$Y67,"X","")</f>
        <v/>
      </c>
      <c r="Y67" s="304">
        <v>0.24</v>
      </c>
      <c r="Z67" s="176" t="str">
        <f>IF($CR67=$AA67,"X","")</f>
        <v/>
      </c>
      <c r="AA67" s="370" t="s">
        <v>310</v>
      </c>
      <c r="AB67" s="931"/>
      <c r="AC67" s="813" t="s">
        <v>1356</v>
      </c>
      <c r="AD67" s="136"/>
      <c r="AE67" s="197">
        <v>0</v>
      </c>
      <c r="AF67" s="134" t="str">
        <f>IF(CZ205=$AG67,"X","")</f>
        <v/>
      </c>
      <c r="AG67" s="541">
        <v>0.15215600000000001</v>
      </c>
      <c r="AH67" s="134" t="str">
        <f>IF(ROUND(MAX(CY205*CM205,CZ205*CI205),0)=$AI67,"X","")</f>
        <v/>
      </c>
      <c r="AI67" s="56">
        <f>ROUND(MAX(I67*AE67,AG67*E67),0)</f>
        <v>513</v>
      </c>
      <c r="AJ67" s="136" t="str">
        <f>IF($DB67=$AK67,"X","")</f>
        <v/>
      </c>
      <c r="AK67" s="366" t="s">
        <v>303</v>
      </c>
      <c r="AL67" s="136" t="str">
        <f>IF($DC67=$AM67,"X","")</f>
        <v/>
      </c>
      <c r="AM67" s="366" t="s">
        <v>304</v>
      </c>
      <c r="AN67" s="370"/>
      <c r="AP67" s="683"/>
      <c r="AQ67" s="370"/>
      <c r="AR67" s="58"/>
      <c r="AV67" s="362"/>
      <c r="AW67" s="362"/>
      <c r="AX67" s="362"/>
      <c r="AY67" s="362"/>
      <c r="AZ67" s="362"/>
      <c r="BA67" s="362"/>
      <c r="BB67" s="362"/>
      <c r="BC67" s="362"/>
      <c r="BD67" s="362"/>
      <c r="BE67" s="362"/>
      <c r="BF67" s="362"/>
      <c r="BG67" s="362"/>
      <c r="BH67" s="362"/>
      <c r="BI67" s="362"/>
      <c r="BJ67" s="362"/>
      <c r="BK67" s="362"/>
      <c r="BL67" s="362"/>
      <c r="BM67" s="362"/>
      <c r="BN67" s="362"/>
      <c r="BO67" s="362"/>
      <c r="BP67" s="362"/>
      <c r="BQ67" s="362"/>
      <c r="BR67" s="362"/>
      <c r="BS67" s="362"/>
      <c r="BT67" s="362"/>
      <c r="BX67" s="362"/>
      <c r="BY67" s="362"/>
      <c r="BZ67" s="362"/>
      <c r="CA67" s="362"/>
      <c r="CB67" s="362"/>
      <c r="CC67" s="362"/>
      <c r="CD67" s="362"/>
      <c r="CE67" s="362"/>
      <c r="CF67" s="362"/>
      <c r="CG67" s="362"/>
      <c r="CH67" s="362"/>
      <c r="CI67" s="362"/>
      <c r="CJ67" s="362"/>
      <c r="CK67" s="362"/>
      <c r="CL67" s="362"/>
      <c r="CM67" s="362"/>
      <c r="CN67" s="362"/>
      <c r="CO67" s="362"/>
      <c r="CP67" s="362"/>
      <c r="CQ67" s="362"/>
      <c r="CR67" s="362"/>
      <c r="CS67" s="362"/>
      <c r="CT67" s="362"/>
      <c r="CU67" s="362"/>
      <c r="CV67" s="362"/>
      <c r="CW67" s="362"/>
    </row>
    <row r="68" spans="2:101" s="369" customFormat="1" ht="27.6" x14ac:dyDescent="0.3">
      <c r="B68" s="127" t="s">
        <v>100</v>
      </c>
      <c r="C68" s="247" t="s">
        <v>120</v>
      </c>
      <c r="D68" s="136" t="str">
        <f>IF(ROUND($CM68,1)=$I68,"X","")</f>
        <v/>
      </c>
      <c r="E68" s="536">
        <v>2174.1</v>
      </c>
      <c r="F68" s="136" t="str">
        <f>IF($CL68=$G68,"X","")</f>
        <v/>
      </c>
      <c r="G68" s="198">
        <f>10*0.5</f>
        <v>5</v>
      </c>
      <c r="H68" s="603" t="str">
        <f>IF(ROUND($CM68,1)=$I68,"X","")</f>
        <v/>
      </c>
      <c r="I68" s="608">
        <f>ROUND(E68/1000*G68,1)</f>
        <v>10.9</v>
      </c>
      <c r="J68" s="136" t="str">
        <f>IF($CN68=$K68,"X","")</f>
        <v/>
      </c>
      <c r="K68" s="180" t="s">
        <v>128</v>
      </c>
      <c r="L68" s="136" t="str">
        <f>IF($CO68=$M68,"X","")</f>
        <v/>
      </c>
      <c r="M68" s="366">
        <v>250</v>
      </c>
      <c r="N68" s="176" t="str">
        <f>IF($CP68=$O68,"X","")</f>
        <v/>
      </c>
      <c r="O68" s="370">
        <v>250</v>
      </c>
      <c r="P68" s="136" t="str">
        <f>IF($CL26=$S68,"X","")</f>
        <v/>
      </c>
      <c r="Q68" s="198">
        <v>0.6</v>
      </c>
      <c r="R68" s="176" t="str">
        <f>IF($CL26=$S68,"X","")</f>
        <v/>
      </c>
      <c r="S68" s="378" t="s">
        <v>131</v>
      </c>
      <c r="T68" s="136" t="str">
        <f>IF($CS26=$U68,"X","")</f>
        <v/>
      </c>
      <c r="U68" s="812">
        <v>0.2</v>
      </c>
      <c r="V68" s="176" t="str">
        <f>IF($CT26=$W68,"X","")</f>
        <v/>
      </c>
      <c r="W68" s="22" t="s">
        <v>135</v>
      </c>
      <c r="X68" s="136"/>
      <c r="Y68" s="304">
        <v>0</v>
      </c>
      <c r="Z68" s="176" t="str">
        <f>IF($CR68=$AA68,"X","")</f>
        <v/>
      </c>
      <c r="AA68" s="370" t="s">
        <v>310</v>
      </c>
      <c r="AB68" s="931"/>
      <c r="AC68" s="813" t="s">
        <v>1356</v>
      </c>
      <c r="AD68" s="136"/>
      <c r="AE68" s="197">
        <v>0</v>
      </c>
      <c r="AF68" s="134" t="str">
        <f>IF(CZ206=$AG68,"X","")</f>
        <v/>
      </c>
      <c r="AG68" s="541">
        <v>0.114117</v>
      </c>
      <c r="AH68" s="134" t="str">
        <f>IF(ROUND(MAX(CY206*CM206,CZ206*CI206),0)=$AI68,"X","")</f>
        <v/>
      </c>
      <c r="AI68" s="56">
        <f>ROUND(MAX(I68*AE68,AG68*E68),0)</f>
        <v>248</v>
      </c>
      <c r="AJ68" s="136" t="str">
        <f>IF($DB68=$AK68,"X","")</f>
        <v/>
      </c>
      <c r="AK68" s="366" t="s">
        <v>303</v>
      </c>
      <c r="AL68" s="136" t="str">
        <f>IF($DC68=$AM68,"X","")</f>
        <v/>
      </c>
      <c r="AM68" s="366" t="s">
        <v>304</v>
      </c>
      <c r="AN68" s="370"/>
      <c r="AP68" s="681"/>
      <c r="AQ68" s="370"/>
      <c r="AR68" s="58"/>
      <c r="AV68" s="362"/>
      <c r="AW68" s="362"/>
      <c r="AX68" s="362"/>
      <c r="AY68" s="362"/>
      <c r="AZ68" s="362"/>
      <c r="BA68" s="362"/>
      <c r="BB68" s="362"/>
      <c r="BC68" s="362"/>
      <c r="BD68" s="362"/>
      <c r="BE68" s="362"/>
      <c r="BF68" s="362"/>
      <c r="BG68" s="362"/>
      <c r="BH68" s="362"/>
      <c r="BI68" s="362"/>
      <c r="BJ68" s="362"/>
      <c r="BK68" s="362"/>
      <c r="BL68" s="362"/>
      <c r="BM68" s="362"/>
      <c r="BN68" s="362"/>
      <c r="BO68" s="362"/>
      <c r="BP68" s="362"/>
      <c r="BQ68" s="362"/>
      <c r="BR68" s="362"/>
      <c r="BS68" s="362"/>
      <c r="BT68" s="362"/>
      <c r="BX68" s="362"/>
      <c r="BY68" s="362"/>
      <c r="BZ68" s="362"/>
      <c r="CA68" s="362"/>
      <c r="CB68" s="362"/>
      <c r="CC68" s="362"/>
      <c r="CD68" s="362"/>
      <c r="CE68" s="362"/>
      <c r="CF68" s="362"/>
      <c r="CG68" s="362"/>
      <c r="CH68" s="362"/>
      <c r="CI68" s="362"/>
      <c r="CJ68" s="362"/>
      <c r="CK68" s="362"/>
      <c r="CL68" s="362"/>
      <c r="CM68" s="362"/>
      <c r="CN68" s="362"/>
      <c r="CO68" s="362"/>
      <c r="CP68" s="362"/>
      <c r="CQ68" s="362"/>
      <c r="CR68" s="362"/>
      <c r="CS68" s="362"/>
      <c r="CT68" s="362"/>
      <c r="CU68" s="362"/>
      <c r="CV68" s="362"/>
      <c r="CW68" s="362"/>
    </row>
    <row r="69" spans="2:101" s="369" customFormat="1" ht="14.4" x14ac:dyDescent="0.3">
      <c r="B69" s="127" t="s">
        <v>101</v>
      </c>
      <c r="C69" s="247" t="s">
        <v>121</v>
      </c>
      <c r="D69" s="136" t="str">
        <f>IF(ROUND($CM69,1)=$I69,"X","")</f>
        <v/>
      </c>
      <c r="E69" s="537">
        <v>3373.6</v>
      </c>
      <c r="F69" s="136" t="str">
        <f>IF($CL69=$G69,"X","")</f>
        <v/>
      </c>
      <c r="G69" s="198">
        <f>10*0.5</f>
        <v>5</v>
      </c>
      <c r="H69" s="603" t="str">
        <f>IF(ROUND($CM69,1)=$I69,"X","")</f>
        <v/>
      </c>
      <c r="I69" s="608">
        <f>ROUND(E69/1000*G69,1)</f>
        <v>16.899999999999999</v>
      </c>
      <c r="J69" s="136" t="str">
        <f>IF($CN69=$K69,"X","")</f>
        <v/>
      </c>
      <c r="K69" s="371" t="s">
        <v>128</v>
      </c>
      <c r="L69" s="136" t="str">
        <f>IF($CO69=$M69,"X","")</f>
        <v/>
      </c>
      <c r="M69" s="366">
        <v>250</v>
      </c>
      <c r="N69" s="176" t="str">
        <f>IF($CP69=$O69,"X","")</f>
        <v/>
      </c>
      <c r="O69" s="370">
        <v>200</v>
      </c>
      <c r="P69" s="136" t="str">
        <f>IF($CL27=$S69,"X","")</f>
        <v/>
      </c>
      <c r="Q69" s="198">
        <v>1.2</v>
      </c>
      <c r="R69" s="176" t="str">
        <f>IF($CL27=$S69,"X","")</f>
        <v/>
      </c>
      <c r="S69" s="378" t="s">
        <v>131</v>
      </c>
      <c r="T69" s="136" t="str">
        <f>IF($CS27=$U69,"X","")</f>
        <v/>
      </c>
      <c r="U69" s="812">
        <v>1.5</v>
      </c>
      <c r="V69" s="176" t="str">
        <f>IF($CT27=$W69,"X","")</f>
        <v/>
      </c>
      <c r="W69" s="370" t="s">
        <v>135</v>
      </c>
      <c r="X69" s="136" t="str">
        <f>IF($CQ69=$Y69,"X","")</f>
        <v/>
      </c>
      <c r="Y69" s="304">
        <v>0.24</v>
      </c>
      <c r="Z69" s="176" t="str">
        <f>IF($CR69=$AA69,"X","")</f>
        <v/>
      </c>
      <c r="AA69" s="370" t="s">
        <v>310</v>
      </c>
      <c r="AB69" s="931"/>
      <c r="AC69" s="813" t="s">
        <v>1356</v>
      </c>
      <c r="AD69" s="136"/>
      <c r="AE69" s="197">
        <v>0</v>
      </c>
      <c r="AF69" s="134" t="str">
        <f>IF(CZ207=$AG69,"X","")</f>
        <v/>
      </c>
      <c r="AG69" s="541">
        <v>0.15215600000000001</v>
      </c>
      <c r="AH69" s="134" t="str">
        <f>IF(ROUND(MAX(CY207*CM207,CZ207*CI207),0)=$AI69,"X","")</f>
        <v/>
      </c>
      <c r="AI69" s="56">
        <f>ROUND(MAX(I69*AE69,AG69*E69),0)</f>
        <v>513</v>
      </c>
      <c r="AJ69" s="136" t="str">
        <f>IF($DB69=$AK69,"X","")</f>
        <v/>
      </c>
      <c r="AK69" s="366" t="s">
        <v>303</v>
      </c>
      <c r="AL69" s="136" t="str">
        <f>IF($DC69=$AM69,"X","")</f>
        <v/>
      </c>
      <c r="AM69" s="366" t="s">
        <v>304</v>
      </c>
      <c r="AN69" s="370"/>
      <c r="AP69" s="683"/>
      <c r="AQ69" s="370"/>
      <c r="AR69" s="58"/>
      <c r="AV69" s="362"/>
      <c r="AW69" s="362"/>
      <c r="AX69" s="362"/>
      <c r="AY69" s="362"/>
      <c r="AZ69" s="362"/>
      <c r="BA69" s="362"/>
      <c r="BB69" s="362"/>
      <c r="BC69" s="362"/>
      <c r="BD69" s="362"/>
      <c r="BE69" s="362"/>
      <c r="BF69" s="362"/>
      <c r="BG69" s="362"/>
      <c r="BH69" s="362"/>
      <c r="BI69" s="362"/>
      <c r="BJ69" s="362"/>
      <c r="BK69" s="362"/>
      <c r="BL69" s="362"/>
      <c r="BM69" s="362"/>
      <c r="BN69" s="362"/>
      <c r="BO69" s="362"/>
      <c r="BP69" s="362"/>
      <c r="BX69" s="362"/>
      <c r="BY69" s="362"/>
      <c r="BZ69" s="362"/>
      <c r="CA69" s="362"/>
      <c r="CB69" s="362"/>
      <c r="CC69" s="362"/>
      <c r="CD69" s="362"/>
      <c r="CE69" s="362"/>
      <c r="CF69" s="362"/>
      <c r="CG69" s="362"/>
      <c r="CH69" s="362"/>
      <c r="CI69" s="362"/>
      <c r="CJ69" s="362"/>
      <c r="CK69" s="362"/>
      <c r="CL69" s="362"/>
      <c r="CM69" s="362"/>
      <c r="CN69" s="362"/>
      <c r="CO69" s="362"/>
      <c r="CP69" s="362"/>
      <c r="CQ69" s="362"/>
      <c r="CR69" s="362"/>
      <c r="CS69" s="362"/>
      <c r="CT69" s="362"/>
      <c r="CU69" s="362"/>
      <c r="CV69" s="362"/>
      <c r="CW69" s="362"/>
    </row>
    <row r="70" spans="2:101" s="369" customFormat="1" ht="14.4" x14ac:dyDescent="0.3">
      <c r="B70" s="127" t="s">
        <v>102</v>
      </c>
      <c r="C70" s="247" t="s">
        <v>121</v>
      </c>
      <c r="D70" s="136" t="str">
        <f>IF(ROUND($CM70,1)=$I70,"X","")</f>
        <v/>
      </c>
      <c r="E70" s="537">
        <v>2174</v>
      </c>
      <c r="F70" s="136" t="str">
        <f>IF($CL70=$G70,"X","")</f>
        <v/>
      </c>
      <c r="G70" s="1">
        <f>10*0.5</f>
        <v>5</v>
      </c>
      <c r="H70" s="603" t="str">
        <f>IF(ROUND($CM70,1)=$I70,"X","")</f>
        <v/>
      </c>
      <c r="I70" s="608">
        <f>ROUND(E70/1000*G70,1)</f>
        <v>10.9</v>
      </c>
      <c r="J70" s="136" t="str">
        <f>IF($CN70=$K70,"X","")</f>
        <v/>
      </c>
      <c r="K70" s="371" t="s">
        <v>128</v>
      </c>
      <c r="L70" s="136" t="str">
        <f>IF($CO70=$M70,"X","")</f>
        <v/>
      </c>
      <c r="M70" s="366">
        <v>250</v>
      </c>
      <c r="N70" s="176" t="str">
        <f>IF($CP70=$O70,"X","")</f>
        <v/>
      </c>
      <c r="O70" s="370">
        <v>200</v>
      </c>
      <c r="P70" s="136" t="str">
        <f>IF($CL28=$S70,"X","")</f>
        <v/>
      </c>
      <c r="Q70" s="198">
        <v>1.2</v>
      </c>
      <c r="R70" s="176" t="str">
        <f>IF($CL28=$S70,"X","")</f>
        <v/>
      </c>
      <c r="S70" s="378" t="s">
        <v>131</v>
      </c>
      <c r="T70" s="136" t="str">
        <f>IF($CS28=$U70,"X","")</f>
        <v/>
      </c>
      <c r="U70" s="812">
        <v>1.5</v>
      </c>
      <c r="V70" s="176" t="str">
        <f>IF($CT28=$W70,"X","")</f>
        <v/>
      </c>
      <c r="W70" s="370" t="s">
        <v>135</v>
      </c>
      <c r="X70" s="136" t="str">
        <f>IF($CQ70=$Y70,"X","")</f>
        <v/>
      </c>
      <c r="Y70" s="304">
        <v>0.24</v>
      </c>
      <c r="Z70" s="176" t="str">
        <f>IF($CR70=$AA70,"X","")</f>
        <v/>
      </c>
      <c r="AA70" s="370" t="s">
        <v>310</v>
      </c>
      <c r="AB70" s="931"/>
      <c r="AC70" s="813" t="s">
        <v>1356</v>
      </c>
      <c r="AD70" s="136"/>
      <c r="AE70" s="197">
        <v>0</v>
      </c>
      <c r="AF70" s="134" t="str">
        <f>IF(CZ208=$AG70,"X","")</f>
        <v/>
      </c>
      <c r="AG70" s="541">
        <v>0.15215600000000001</v>
      </c>
      <c r="AH70" s="134" t="str">
        <f>IF(ROUND(MAX(CY208*CM208,CZ208*CI208),0)=$AI70,"X","")</f>
        <v/>
      </c>
      <c r="AI70" s="56">
        <f>ROUND(MAX(I70*AE70,AG70*E70),0)</f>
        <v>331</v>
      </c>
      <c r="AJ70" s="136" t="str">
        <f>IF($DB70=$AK70,"X","")</f>
        <v/>
      </c>
      <c r="AK70" s="366" t="s">
        <v>303</v>
      </c>
      <c r="AL70" s="136" t="str">
        <f>IF($DC70=$AM70,"X","")</f>
        <v/>
      </c>
      <c r="AM70" s="366" t="s">
        <v>304</v>
      </c>
      <c r="AN70" s="370"/>
      <c r="AP70" s="683"/>
      <c r="AQ70" s="370"/>
      <c r="AR70" s="58"/>
      <c r="AV70" s="362"/>
      <c r="AW70" s="362"/>
      <c r="AX70" s="362"/>
      <c r="AY70" s="362"/>
      <c r="AZ70" s="362"/>
      <c r="BA70" s="362"/>
      <c r="BB70" s="362"/>
      <c r="BC70" s="362"/>
      <c r="BD70" s="362"/>
      <c r="BE70" s="362"/>
      <c r="BF70" s="362"/>
      <c r="BG70" s="362"/>
      <c r="BH70" s="362"/>
      <c r="BI70" s="362"/>
      <c r="BJ70" s="362"/>
      <c r="BK70" s="362"/>
      <c r="BL70" s="362"/>
      <c r="BM70" s="362"/>
      <c r="BN70" s="362"/>
      <c r="BO70" s="362"/>
      <c r="BP70" s="362"/>
      <c r="BX70" s="362"/>
      <c r="BY70" s="362"/>
      <c r="BZ70" s="362"/>
      <c r="CA70" s="362"/>
      <c r="CB70" s="362"/>
      <c r="CC70" s="362"/>
      <c r="CD70" s="362"/>
      <c r="CE70" s="362"/>
      <c r="CF70" s="362"/>
      <c r="CG70" s="362"/>
      <c r="CH70" s="362"/>
      <c r="CI70" s="362"/>
      <c r="CJ70" s="362"/>
      <c r="CK70" s="362"/>
      <c r="CL70" s="362"/>
      <c r="CM70" s="362"/>
      <c r="CN70" s="362"/>
      <c r="CO70" s="362"/>
      <c r="CP70" s="362"/>
      <c r="CQ70" s="362"/>
      <c r="CR70" s="362"/>
      <c r="CS70" s="362"/>
      <c r="CT70" s="362"/>
      <c r="CU70" s="362"/>
      <c r="CV70" s="362"/>
      <c r="CW70" s="362"/>
    </row>
    <row r="71" spans="2:101" s="369" customFormat="1" ht="27.6" x14ac:dyDescent="0.3">
      <c r="B71" s="127" t="s">
        <v>91</v>
      </c>
      <c r="C71" s="247" t="s">
        <v>117</v>
      </c>
      <c r="D71" s="136" t="str">
        <f>IF(ROUND($CM71,1)=$I71,"X","")</f>
        <v/>
      </c>
      <c r="E71" s="536">
        <v>27257.599999999999</v>
      </c>
      <c r="F71" s="136" t="str">
        <f>IF($CL71=$G71,"X","")</f>
        <v/>
      </c>
      <c r="G71" s="1">
        <f>10*0.5</f>
        <v>5</v>
      </c>
      <c r="H71" s="603" t="str">
        <f>IF(ROUND($CM71,1)=$I71,"X","")</f>
        <v/>
      </c>
      <c r="I71" s="608">
        <f>ROUND(E71/1000*G71,1)</f>
        <v>136.30000000000001</v>
      </c>
      <c r="J71" s="136" t="str">
        <f>IF($CN71=$K71,"X","")</f>
        <v/>
      </c>
      <c r="K71" s="371" t="s">
        <v>127</v>
      </c>
      <c r="L71" s="136" t="str">
        <f>IF($CO71=$M71,"X","")</f>
        <v/>
      </c>
      <c r="M71" s="366">
        <v>250</v>
      </c>
      <c r="N71" s="176" t="str">
        <f>IF($CP71=$O71,"X","")</f>
        <v/>
      </c>
      <c r="O71" s="370">
        <v>200</v>
      </c>
      <c r="P71" s="136" t="str">
        <f>IF($CL29=$S71,"X","")</f>
        <v/>
      </c>
      <c r="Q71" s="198">
        <v>0.75</v>
      </c>
      <c r="R71" s="176" t="str">
        <f>IF($CL29=$S71,"X","")</f>
        <v/>
      </c>
      <c r="S71" s="378" t="s">
        <v>130</v>
      </c>
      <c r="T71" s="136" t="str">
        <f>IF($CS29=$U71,"X","")</f>
        <v/>
      </c>
      <c r="U71" s="812">
        <v>1.5</v>
      </c>
      <c r="V71" s="176" t="str">
        <f>IF($CT29=$W71,"X","")</f>
        <v/>
      </c>
      <c r="W71" s="370" t="s">
        <v>134</v>
      </c>
      <c r="X71" s="136" t="str">
        <f>IF($CQ71=$Y71,"X","")</f>
        <v/>
      </c>
      <c r="Y71" s="304">
        <v>0.18</v>
      </c>
      <c r="Z71" s="176" t="str">
        <f>IF($CR71=$AA71,"X","")</f>
        <v/>
      </c>
      <c r="AA71" s="370" t="s">
        <v>305</v>
      </c>
      <c r="AB71" s="931"/>
      <c r="AC71" s="813" t="s">
        <v>1356</v>
      </c>
      <c r="AD71" s="136"/>
      <c r="AE71" s="197">
        <v>0</v>
      </c>
      <c r="AF71" s="134" t="str">
        <f>IF(CZ209=$AG71,"X","")</f>
        <v/>
      </c>
      <c r="AG71" s="541">
        <v>0.16197300000000001</v>
      </c>
      <c r="AH71" s="134" t="str">
        <f>IF(ROUND(MAX(CY209*CM209,CZ209*CI209),0)=$AI71,"X","")</f>
        <v/>
      </c>
      <c r="AI71" s="56">
        <f>ROUND(MAX(I71*AE71,AG71*E71),0)</f>
        <v>4415</v>
      </c>
      <c r="AJ71" s="136" t="str">
        <f>IF($DB71=$AK71,"X","")</f>
        <v/>
      </c>
      <c r="AK71" s="366" t="s">
        <v>298</v>
      </c>
      <c r="AL71" s="136" t="str">
        <f>IF($DC71=$AM71,"X","")</f>
        <v/>
      </c>
      <c r="AM71" s="366" t="s">
        <v>299</v>
      </c>
      <c r="AN71" s="370"/>
      <c r="AP71" s="539"/>
      <c r="AQ71" s="370"/>
      <c r="AR71" s="58"/>
      <c r="AV71" s="362"/>
      <c r="AW71" s="362"/>
      <c r="AX71" s="362"/>
      <c r="AY71" s="362"/>
      <c r="AZ71" s="362"/>
      <c r="BA71" s="362"/>
      <c r="BB71" s="362"/>
      <c r="BC71" s="362"/>
      <c r="BD71" s="362"/>
      <c r="BE71" s="362"/>
      <c r="BF71" s="362"/>
      <c r="BG71" s="362"/>
      <c r="BH71" s="362"/>
      <c r="BI71" s="362"/>
      <c r="BJ71" s="362"/>
      <c r="BK71" s="362"/>
      <c r="BL71" s="362"/>
      <c r="BM71" s="362"/>
      <c r="BN71" s="362"/>
      <c r="BO71" s="362"/>
      <c r="BP71" s="362"/>
      <c r="BX71" s="362"/>
      <c r="BY71" s="362"/>
      <c r="BZ71" s="362"/>
      <c r="CA71" s="362"/>
      <c r="CB71" s="362"/>
      <c r="CC71" s="362"/>
      <c r="CD71" s="362"/>
      <c r="CE71" s="362"/>
      <c r="CF71" s="362"/>
      <c r="CG71" s="362"/>
      <c r="CH71" s="362"/>
      <c r="CI71" s="362"/>
      <c r="CJ71" s="362"/>
      <c r="CK71" s="362"/>
      <c r="CL71" s="362"/>
      <c r="CM71" s="362"/>
      <c r="CN71" s="362"/>
      <c r="CO71" s="362"/>
      <c r="CP71" s="362"/>
      <c r="CQ71" s="362"/>
      <c r="CR71" s="362"/>
      <c r="CS71" s="362"/>
      <c r="CT71" s="362"/>
      <c r="CU71" s="362"/>
      <c r="CV71" s="362"/>
      <c r="CW71" s="362"/>
    </row>
    <row r="72" spans="2:101" s="369" customFormat="1" ht="27.6" x14ac:dyDescent="0.3">
      <c r="B72" s="321" t="s">
        <v>92</v>
      </c>
      <c r="C72" s="64" t="s">
        <v>118</v>
      </c>
      <c r="D72" s="333" t="s">
        <v>14</v>
      </c>
      <c r="E72" s="412" t="s">
        <v>14</v>
      </c>
      <c r="F72" s="333" t="s">
        <v>14</v>
      </c>
      <c r="G72" s="814" t="s">
        <v>14</v>
      </c>
      <c r="H72" s="333" t="s">
        <v>14</v>
      </c>
      <c r="I72" s="412" t="s">
        <v>14</v>
      </c>
      <c r="J72" s="333" t="s">
        <v>14</v>
      </c>
      <c r="K72" s="432" t="s">
        <v>14</v>
      </c>
      <c r="L72" s="333" t="s">
        <v>14</v>
      </c>
      <c r="M72" s="412" t="s">
        <v>14</v>
      </c>
      <c r="N72" s="271" t="s">
        <v>14</v>
      </c>
      <c r="O72" s="432" t="s">
        <v>14</v>
      </c>
      <c r="P72" s="333" t="s">
        <v>14</v>
      </c>
      <c r="Q72" s="814" t="s">
        <v>14</v>
      </c>
      <c r="R72" s="271" t="s">
        <v>14</v>
      </c>
      <c r="S72" s="432" t="s">
        <v>14</v>
      </c>
      <c r="T72" s="333" t="s">
        <v>14</v>
      </c>
      <c r="U72" s="815" t="s">
        <v>14</v>
      </c>
      <c r="V72" s="271" t="s">
        <v>14</v>
      </c>
      <c r="W72" s="432" t="s">
        <v>14</v>
      </c>
      <c r="X72" s="818" t="s">
        <v>14</v>
      </c>
      <c r="Y72" s="819" t="s">
        <v>14</v>
      </c>
      <c r="Z72" s="818" t="s">
        <v>14</v>
      </c>
      <c r="AA72" s="432" t="s">
        <v>14</v>
      </c>
      <c r="AB72" s="333" t="s">
        <v>14</v>
      </c>
      <c r="AC72" s="432" t="s">
        <v>14</v>
      </c>
      <c r="AD72" s="818" t="s">
        <v>14</v>
      </c>
      <c r="AE72" s="432" t="s">
        <v>14</v>
      </c>
      <c r="AF72" s="818" t="s">
        <v>14</v>
      </c>
      <c r="AG72" s="820" t="s">
        <v>14</v>
      </c>
      <c r="AH72" s="818" t="s">
        <v>14</v>
      </c>
      <c r="AI72" s="432"/>
      <c r="AJ72" s="818" t="s">
        <v>14</v>
      </c>
      <c r="AK72" s="432" t="s">
        <v>14</v>
      </c>
      <c r="AL72" s="818" t="s">
        <v>14</v>
      </c>
      <c r="AM72" s="412" t="s">
        <v>14</v>
      </c>
      <c r="AN72" s="68"/>
      <c r="AP72" s="68"/>
      <c r="AQ72" s="68"/>
      <c r="AR72" s="68"/>
      <c r="AV72" s="362"/>
      <c r="AW72" s="362"/>
      <c r="AX72" s="362"/>
      <c r="AY72" s="362"/>
      <c r="AZ72" s="362"/>
      <c r="BA72" s="362"/>
      <c r="BB72" s="362"/>
      <c r="BC72" s="362"/>
      <c r="BD72" s="362"/>
      <c r="BE72" s="362"/>
      <c r="BF72" s="362"/>
      <c r="BG72" s="362"/>
      <c r="BH72" s="362"/>
      <c r="BI72" s="362"/>
      <c r="BJ72" s="362"/>
      <c r="BK72" s="362"/>
      <c r="BL72" s="362"/>
      <c r="BM72" s="362"/>
      <c r="BN72" s="362"/>
      <c r="BO72" s="362"/>
      <c r="BP72" s="362"/>
      <c r="BQ72" s="362"/>
      <c r="BR72" s="362"/>
      <c r="BS72" s="362"/>
      <c r="BX72" s="362"/>
      <c r="BY72" s="362"/>
      <c r="BZ72" s="362"/>
      <c r="CA72" s="362"/>
      <c r="CB72" s="362"/>
      <c r="CC72" s="362"/>
      <c r="CD72" s="362"/>
      <c r="CE72" s="362"/>
      <c r="CF72" s="362"/>
      <c r="CG72" s="362"/>
      <c r="CH72" s="362"/>
      <c r="CI72" s="362"/>
      <c r="CJ72" s="362"/>
      <c r="CK72" s="362"/>
      <c r="CL72" s="362"/>
      <c r="CM72" s="362"/>
      <c r="CN72" s="362"/>
      <c r="CO72" s="362"/>
      <c r="CP72" s="362"/>
      <c r="CQ72" s="362"/>
      <c r="CR72" s="362"/>
      <c r="CS72" s="362"/>
      <c r="CT72" s="362"/>
      <c r="CU72" s="362"/>
      <c r="CV72" s="362"/>
      <c r="CW72" s="362"/>
    </row>
    <row r="73" spans="2:101" s="369" customFormat="1" ht="27.6" x14ac:dyDescent="0.3">
      <c r="B73" s="127" t="s">
        <v>93</v>
      </c>
      <c r="C73" s="247" t="s">
        <v>117</v>
      </c>
      <c r="D73" s="134" t="str">
        <f t="shared" ref="D73:D81" si="18">IF(ROUND($CM73,1)=$I73,"X","")</f>
        <v/>
      </c>
      <c r="E73" s="536">
        <v>3373.6</v>
      </c>
      <c r="F73" s="136" t="str">
        <f t="shared" ref="F73:F81" si="19">IF($CL73=$G73,"X","")</f>
        <v/>
      </c>
      <c r="G73" s="1">
        <f>10*0.5</f>
        <v>5</v>
      </c>
      <c r="H73" s="603" t="str">
        <f t="shared" ref="H73:H81" si="20">IF(ROUND($CM73,1)=$I73,"X","")</f>
        <v/>
      </c>
      <c r="I73" s="608">
        <f>ROUND(E73/1000*G73,1)</f>
        <v>16.899999999999999</v>
      </c>
      <c r="J73" s="136" t="str">
        <f t="shared" ref="J73:J81" si="21">IF($CN73=$K73,"X","")</f>
        <v/>
      </c>
      <c r="K73" s="371" t="s">
        <v>127</v>
      </c>
      <c r="L73" s="136" t="str">
        <f t="shared" ref="L73:L81" si="22">IF($CO73=$M73,"X","")</f>
        <v/>
      </c>
      <c r="M73" s="366">
        <v>250</v>
      </c>
      <c r="N73" s="176" t="str">
        <f t="shared" ref="N73:N81" si="23">IF($CP73=$O73,"X","")</f>
        <v/>
      </c>
      <c r="O73" s="370">
        <v>200</v>
      </c>
      <c r="P73" s="136" t="str">
        <f t="shared" ref="P73:P81" si="24">IF($CK31=$Q73,"X","")</f>
        <v/>
      </c>
      <c r="Q73" s="198">
        <v>0.75</v>
      </c>
      <c r="R73" s="176" t="str">
        <f t="shared" ref="R73:R81" si="25">IF($CL31=$S73,"X","")</f>
        <v/>
      </c>
      <c r="S73" s="378" t="s">
        <v>130</v>
      </c>
      <c r="T73" s="136" t="str">
        <f t="shared" ref="T73:T81" si="26">IF($CS31=$U73,"X","")</f>
        <v/>
      </c>
      <c r="U73" s="812">
        <v>1.5</v>
      </c>
      <c r="V73" s="176" t="str">
        <f t="shared" ref="V73:V81" si="27">IF($CT31=$W73,"X","")</f>
        <v/>
      </c>
      <c r="W73" s="370" t="s">
        <v>134</v>
      </c>
      <c r="X73" s="136" t="str">
        <f t="shared" ref="X73:X78" si="28">IF($CQ73=$Y73,"X","")</f>
        <v/>
      </c>
      <c r="Y73" s="304">
        <v>0.18</v>
      </c>
      <c r="Z73" s="176" t="str">
        <f t="shared" ref="Z73:Z81" si="29">IF($CR73=$AA73,"X","")</f>
        <v/>
      </c>
      <c r="AA73" s="370" t="s">
        <v>305</v>
      </c>
      <c r="AB73" s="931"/>
      <c r="AC73" s="813" t="s">
        <v>1356</v>
      </c>
      <c r="AD73" s="136"/>
      <c r="AE73" s="197">
        <v>0</v>
      </c>
      <c r="AF73" s="134" t="str">
        <f t="shared" ref="AF73:AF81" si="30">IF(CZ211=$AG73,"X","")</f>
        <v/>
      </c>
      <c r="AG73" s="541">
        <v>0.15</v>
      </c>
      <c r="AH73" s="134" t="str">
        <f t="shared" ref="AH73:AH81" si="31">IF(ROUND(MAX(CY211*CM211,CZ211*CI211),0)=$AI73,"X","")</f>
        <v/>
      </c>
      <c r="AI73" s="56">
        <f t="shared" ref="AI73:AI81" si="32">ROUND(MAX(I73*AE73,AG73*E73),0)</f>
        <v>506</v>
      </c>
      <c r="AJ73" s="136" t="str">
        <f t="shared" ref="AJ73:AJ81" si="33">IF($DB73=$AK73,"X","")</f>
        <v/>
      </c>
      <c r="AK73" s="366" t="s">
        <v>298</v>
      </c>
      <c r="AL73" s="136" t="str">
        <f t="shared" ref="AL73:AL81" si="34">IF($DC73=$AM73,"X","")</f>
        <v/>
      </c>
      <c r="AM73" s="366" t="s">
        <v>299</v>
      </c>
      <c r="AN73" s="370"/>
      <c r="AP73" s="539"/>
      <c r="AQ73" s="370"/>
      <c r="AR73" s="58"/>
      <c r="AV73" s="362"/>
      <c r="AW73" s="362"/>
      <c r="AX73" s="362"/>
      <c r="AY73" s="362"/>
      <c r="AZ73" s="362"/>
      <c r="BA73" s="362"/>
      <c r="BB73" s="362"/>
      <c r="BC73" s="362"/>
      <c r="BD73" s="362"/>
      <c r="BE73" s="362"/>
      <c r="BF73" s="362"/>
      <c r="BG73" s="362"/>
      <c r="BH73" s="362"/>
      <c r="BI73" s="362"/>
      <c r="BJ73" s="362"/>
      <c r="BK73" s="362"/>
      <c r="BL73" s="362"/>
      <c r="BM73" s="362"/>
      <c r="BN73" s="362"/>
      <c r="BO73" s="362"/>
      <c r="BP73" s="362"/>
      <c r="BQ73" s="362"/>
      <c r="BR73" s="362"/>
      <c r="BS73" s="362"/>
      <c r="BX73" s="362"/>
      <c r="BY73" s="362"/>
      <c r="BZ73" s="362"/>
      <c r="CA73" s="362"/>
      <c r="CB73" s="362"/>
      <c r="CC73" s="362"/>
      <c r="CD73" s="362"/>
      <c r="CE73" s="362"/>
      <c r="CF73" s="362"/>
      <c r="CG73" s="362"/>
      <c r="CH73" s="362"/>
      <c r="CI73" s="362"/>
      <c r="CJ73" s="362"/>
      <c r="CK73" s="362"/>
      <c r="CL73" s="362"/>
      <c r="CM73" s="362"/>
      <c r="CN73" s="362"/>
      <c r="CO73" s="362"/>
      <c r="CP73" s="362"/>
      <c r="CQ73" s="362"/>
      <c r="CR73" s="362"/>
      <c r="CS73" s="362"/>
      <c r="CT73" s="362"/>
      <c r="CU73" s="362"/>
      <c r="CV73" s="362"/>
      <c r="CW73" s="362"/>
    </row>
    <row r="74" spans="2:101" s="369" customFormat="1" ht="27.6" x14ac:dyDescent="0.3">
      <c r="B74" s="127" t="s">
        <v>94</v>
      </c>
      <c r="C74" s="247" t="s">
        <v>120</v>
      </c>
      <c r="D74" s="134" t="str">
        <f t="shared" si="18"/>
        <v/>
      </c>
      <c r="E74" s="536">
        <v>2174.1</v>
      </c>
      <c r="F74" s="136" t="str">
        <f t="shared" si="19"/>
        <v/>
      </c>
      <c r="G74" s="198">
        <f>10*0.5</f>
        <v>5</v>
      </c>
      <c r="H74" s="603" t="str">
        <f t="shared" si="20"/>
        <v/>
      </c>
      <c r="I74" s="608">
        <f t="shared" ref="I74:I81" si="35">ROUND(E74/1000*G74,1)</f>
        <v>10.9</v>
      </c>
      <c r="J74" s="136" t="str">
        <f t="shared" si="21"/>
        <v/>
      </c>
      <c r="K74" s="381" t="s">
        <v>127</v>
      </c>
      <c r="L74" s="136" t="str">
        <f t="shared" si="22"/>
        <v/>
      </c>
      <c r="M74" s="366">
        <v>250</v>
      </c>
      <c r="N74" s="176" t="str">
        <f t="shared" si="23"/>
        <v/>
      </c>
      <c r="O74" s="370">
        <v>250</v>
      </c>
      <c r="P74" s="136" t="str">
        <f t="shared" si="24"/>
        <v/>
      </c>
      <c r="Q74" s="198">
        <v>0.6</v>
      </c>
      <c r="R74" s="176" t="str">
        <f t="shared" si="25"/>
        <v/>
      </c>
      <c r="S74" s="378" t="s">
        <v>130</v>
      </c>
      <c r="T74" s="136" t="str">
        <f t="shared" si="26"/>
        <v/>
      </c>
      <c r="U74" s="812">
        <v>0.2</v>
      </c>
      <c r="V74" s="176" t="str">
        <f t="shared" si="27"/>
        <v/>
      </c>
      <c r="W74" s="22" t="s">
        <v>134</v>
      </c>
      <c r="X74" s="136" t="str">
        <f t="shared" si="28"/>
        <v>X</v>
      </c>
      <c r="Y74" s="304">
        <v>0</v>
      </c>
      <c r="Z74" s="176" t="str">
        <f t="shared" si="29"/>
        <v/>
      </c>
      <c r="AA74" s="370" t="s">
        <v>305</v>
      </c>
      <c r="AB74" s="931"/>
      <c r="AC74" s="813" t="s">
        <v>1356</v>
      </c>
      <c r="AD74" s="136"/>
      <c r="AE74" s="197">
        <v>0</v>
      </c>
      <c r="AF74" s="134" t="str">
        <f t="shared" si="30"/>
        <v>X</v>
      </c>
      <c r="AG74" s="541">
        <v>0</v>
      </c>
      <c r="AH74" s="134" t="str">
        <f t="shared" si="31"/>
        <v>X</v>
      </c>
      <c r="AI74" s="56">
        <f t="shared" si="32"/>
        <v>0</v>
      </c>
      <c r="AJ74" s="136" t="str">
        <f t="shared" si="33"/>
        <v/>
      </c>
      <c r="AK74" s="366" t="s">
        <v>309</v>
      </c>
      <c r="AL74" s="136" t="str">
        <f t="shared" si="34"/>
        <v/>
      </c>
      <c r="AM74" s="366" t="s">
        <v>309</v>
      </c>
      <c r="AN74" s="370"/>
      <c r="AP74" s="681"/>
      <c r="AQ74" s="370"/>
      <c r="AR74" s="58"/>
      <c r="AV74" s="362"/>
      <c r="AW74" s="362"/>
      <c r="AX74" s="362"/>
      <c r="AY74" s="362"/>
      <c r="AZ74" s="362"/>
      <c r="BA74" s="362"/>
      <c r="BB74" s="362"/>
      <c r="BC74" s="362"/>
      <c r="BD74" s="362"/>
      <c r="BE74" s="362"/>
      <c r="BF74" s="362"/>
      <c r="BG74" s="362"/>
      <c r="BH74" s="362"/>
      <c r="BI74" s="362"/>
      <c r="BJ74" s="362"/>
      <c r="BK74" s="362"/>
      <c r="BL74" s="362"/>
      <c r="BM74" s="362"/>
      <c r="BN74" s="362"/>
      <c r="BO74" s="362"/>
      <c r="BP74" s="362"/>
      <c r="BQ74" s="362"/>
      <c r="BR74" s="362"/>
      <c r="BS74" s="362"/>
      <c r="BX74" s="362"/>
      <c r="BY74" s="362"/>
      <c r="BZ74" s="362"/>
      <c r="CA74" s="362"/>
      <c r="CB74" s="362"/>
      <c r="CC74" s="362"/>
      <c r="CD74" s="362"/>
      <c r="CE74" s="362"/>
      <c r="CF74" s="362"/>
      <c r="CG74" s="362"/>
      <c r="CH74" s="362"/>
      <c r="CI74" s="362"/>
      <c r="CJ74" s="362"/>
      <c r="CK74" s="362"/>
      <c r="CL74" s="362"/>
      <c r="CM74" s="362"/>
      <c r="CN74" s="362"/>
      <c r="CO74" s="362"/>
      <c r="CP74" s="362"/>
      <c r="CQ74" s="362"/>
      <c r="CR74" s="362"/>
      <c r="CS74" s="362"/>
      <c r="CT74" s="362"/>
      <c r="CU74" s="362"/>
      <c r="CV74" s="362"/>
      <c r="CW74" s="362"/>
    </row>
    <row r="75" spans="2:101" s="369" customFormat="1" ht="27.6" x14ac:dyDescent="0.3">
      <c r="B75" s="127" t="s">
        <v>95</v>
      </c>
      <c r="C75" s="247" t="s">
        <v>117</v>
      </c>
      <c r="D75" s="134" t="str">
        <f t="shared" si="18"/>
        <v/>
      </c>
      <c r="E75" s="536">
        <v>3373.6</v>
      </c>
      <c r="F75" s="136" t="str">
        <f t="shared" si="19"/>
        <v/>
      </c>
      <c r="G75" s="1">
        <f>10*0.5</f>
        <v>5</v>
      </c>
      <c r="H75" s="603" t="str">
        <f t="shared" si="20"/>
        <v/>
      </c>
      <c r="I75" s="608">
        <f t="shared" si="35"/>
        <v>16.899999999999999</v>
      </c>
      <c r="J75" s="136" t="str">
        <f t="shared" si="21"/>
        <v/>
      </c>
      <c r="K75" s="371" t="s">
        <v>127</v>
      </c>
      <c r="L75" s="136" t="str">
        <f t="shared" si="22"/>
        <v/>
      </c>
      <c r="M75" s="366">
        <v>250</v>
      </c>
      <c r="N75" s="176" t="str">
        <f t="shared" si="23"/>
        <v/>
      </c>
      <c r="O75" s="370">
        <v>200</v>
      </c>
      <c r="P75" s="136" t="str">
        <f t="shared" si="24"/>
        <v/>
      </c>
      <c r="Q75" s="198">
        <v>0.75</v>
      </c>
      <c r="R75" s="176" t="str">
        <f t="shared" si="25"/>
        <v/>
      </c>
      <c r="S75" s="378" t="s">
        <v>130</v>
      </c>
      <c r="T75" s="136" t="str">
        <f t="shared" si="26"/>
        <v/>
      </c>
      <c r="U75" s="812">
        <v>1.5</v>
      </c>
      <c r="V75" s="176" t="str">
        <f t="shared" si="27"/>
        <v/>
      </c>
      <c r="W75" s="370" t="s">
        <v>134</v>
      </c>
      <c r="X75" s="136" t="str">
        <f t="shared" si="28"/>
        <v/>
      </c>
      <c r="Y75" s="304">
        <v>0.18</v>
      </c>
      <c r="Z75" s="176" t="str">
        <f t="shared" si="29"/>
        <v/>
      </c>
      <c r="AA75" s="370" t="s">
        <v>305</v>
      </c>
      <c r="AB75" s="931"/>
      <c r="AC75" s="813" t="s">
        <v>1356</v>
      </c>
      <c r="AD75" s="136"/>
      <c r="AE75" s="197">
        <v>0</v>
      </c>
      <c r="AF75" s="134" t="str">
        <f t="shared" si="30"/>
        <v/>
      </c>
      <c r="AG75" s="541">
        <v>0.15</v>
      </c>
      <c r="AH75" s="134" t="str">
        <f t="shared" si="31"/>
        <v/>
      </c>
      <c r="AI75" s="56">
        <f t="shared" si="32"/>
        <v>506</v>
      </c>
      <c r="AJ75" s="136" t="str">
        <f t="shared" si="33"/>
        <v/>
      </c>
      <c r="AK75" s="366" t="s">
        <v>298</v>
      </c>
      <c r="AL75" s="136" t="str">
        <f t="shared" si="34"/>
        <v/>
      </c>
      <c r="AM75" s="366" t="s">
        <v>299</v>
      </c>
      <c r="AN75" s="370"/>
      <c r="AP75" s="539"/>
      <c r="AQ75" s="370"/>
      <c r="AR75" s="58"/>
      <c r="AV75" s="362"/>
      <c r="AW75" s="362"/>
      <c r="AX75" s="362"/>
      <c r="AY75" s="362"/>
      <c r="AZ75" s="362"/>
      <c r="BA75" s="362"/>
      <c r="BB75" s="362"/>
      <c r="BC75" s="362"/>
      <c r="BD75" s="362"/>
      <c r="BE75" s="362"/>
      <c r="BF75" s="362"/>
      <c r="BG75" s="362"/>
      <c r="BH75" s="362"/>
      <c r="BI75" s="362"/>
      <c r="BJ75" s="362"/>
      <c r="BK75" s="362"/>
      <c r="BL75" s="362"/>
      <c r="BM75" s="362"/>
      <c r="BN75" s="362"/>
      <c r="BO75" s="362"/>
      <c r="BP75" s="362"/>
      <c r="BQ75" s="362"/>
      <c r="BR75" s="362"/>
      <c r="BS75" s="362"/>
      <c r="BX75" s="362"/>
      <c r="BY75" s="362"/>
      <c r="BZ75" s="362"/>
      <c r="CA75" s="362"/>
      <c r="CB75" s="362"/>
      <c r="CC75" s="362"/>
      <c r="CD75" s="362"/>
      <c r="CE75" s="362"/>
      <c r="CF75" s="362"/>
      <c r="CG75" s="362"/>
      <c r="CH75" s="362"/>
      <c r="CI75" s="362"/>
      <c r="CJ75" s="362"/>
      <c r="CK75" s="362"/>
      <c r="CL75" s="362"/>
      <c r="CM75" s="362"/>
      <c r="CN75" s="362"/>
      <c r="CO75" s="362"/>
      <c r="CP75" s="362"/>
      <c r="CQ75" s="362"/>
      <c r="CR75" s="362"/>
      <c r="CS75" s="362"/>
      <c r="CT75" s="362"/>
      <c r="CU75" s="362"/>
      <c r="CV75" s="362"/>
      <c r="CW75" s="362"/>
    </row>
    <row r="76" spans="2:101" s="369" customFormat="1" ht="27.6" x14ac:dyDescent="0.3">
      <c r="B76" s="127" t="s">
        <v>96</v>
      </c>
      <c r="C76" s="247" t="s">
        <v>117</v>
      </c>
      <c r="D76" s="134" t="str">
        <f t="shared" si="18"/>
        <v/>
      </c>
      <c r="E76" s="536">
        <v>2174</v>
      </c>
      <c r="F76" s="136" t="str">
        <f t="shared" si="19"/>
        <v/>
      </c>
      <c r="G76" s="1">
        <f>10*0.5</f>
        <v>5</v>
      </c>
      <c r="H76" s="603" t="str">
        <f t="shared" si="20"/>
        <v/>
      </c>
      <c r="I76" s="608">
        <f t="shared" si="35"/>
        <v>10.9</v>
      </c>
      <c r="J76" s="136" t="str">
        <f t="shared" si="21"/>
        <v/>
      </c>
      <c r="K76" s="371" t="s">
        <v>127</v>
      </c>
      <c r="L76" s="136" t="str">
        <f t="shared" si="22"/>
        <v/>
      </c>
      <c r="M76" s="366">
        <v>250</v>
      </c>
      <c r="N76" s="176" t="str">
        <f t="shared" si="23"/>
        <v/>
      </c>
      <c r="O76" s="370">
        <v>200</v>
      </c>
      <c r="P76" s="136" t="str">
        <f t="shared" si="24"/>
        <v/>
      </c>
      <c r="Q76" s="198">
        <v>0.75</v>
      </c>
      <c r="R76" s="176" t="str">
        <f t="shared" si="25"/>
        <v/>
      </c>
      <c r="S76" s="378" t="s">
        <v>130</v>
      </c>
      <c r="T76" s="136" t="str">
        <f t="shared" si="26"/>
        <v/>
      </c>
      <c r="U76" s="812">
        <v>1.5</v>
      </c>
      <c r="V76" s="176" t="str">
        <f t="shared" si="27"/>
        <v/>
      </c>
      <c r="W76" s="370" t="s">
        <v>134</v>
      </c>
      <c r="X76" s="136" t="str">
        <f t="shared" si="28"/>
        <v/>
      </c>
      <c r="Y76" s="304">
        <v>0.18</v>
      </c>
      <c r="Z76" s="176" t="str">
        <f t="shared" si="29"/>
        <v/>
      </c>
      <c r="AA76" s="370" t="s">
        <v>305</v>
      </c>
      <c r="AB76" s="931"/>
      <c r="AC76" s="813" t="s">
        <v>1356</v>
      </c>
      <c r="AD76" s="136"/>
      <c r="AE76" s="197">
        <v>0</v>
      </c>
      <c r="AF76" s="134" t="str">
        <f t="shared" si="30"/>
        <v/>
      </c>
      <c r="AG76" s="541">
        <v>0.15</v>
      </c>
      <c r="AH76" s="134" t="str">
        <f t="shared" si="31"/>
        <v/>
      </c>
      <c r="AI76" s="56">
        <f t="shared" si="32"/>
        <v>326</v>
      </c>
      <c r="AJ76" s="136" t="str">
        <f t="shared" si="33"/>
        <v/>
      </c>
      <c r="AK76" s="366" t="s">
        <v>298</v>
      </c>
      <c r="AL76" s="136" t="str">
        <f t="shared" si="34"/>
        <v/>
      </c>
      <c r="AM76" s="366" t="s">
        <v>299</v>
      </c>
      <c r="AN76" s="370"/>
      <c r="AP76" s="539"/>
      <c r="AQ76" s="370"/>
      <c r="AR76" s="58"/>
      <c r="AV76" s="362"/>
      <c r="AW76" s="362"/>
      <c r="AX76" s="362"/>
      <c r="AY76" s="362"/>
      <c r="AZ76" s="362"/>
      <c r="BA76" s="362"/>
      <c r="BB76" s="362"/>
      <c r="BC76" s="362"/>
      <c r="BD76" s="362"/>
      <c r="BE76" s="362"/>
      <c r="BF76" s="362"/>
      <c r="BG76" s="362"/>
      <c r="BH76" s="362"/>
      <c r="BI76" s="362"/>
      <c r="BJ76" s="362"/>
      <c r="BK76" s="362"/>
      <c r="BL76" s="362"/>
      <c r="BM76" s="362"/>
      <c r="BN76" s="362"/>
      <c r="BO76" s="362"/>
      <c r="BP76" s="362"/>
      <c r="BQ76" s="362"/>
      <c r="BR76" s="362"/>
      <c r="BS76" s="362"/>
      <c r="BX76" s="362"/>
      <c r="BY76" s="362"/>
      <c r="BZ76" s="362"/>
      <c r="CA76" s="362"/>
      <c r="CB76" s="362"/>
      <c r="CC76" s="362"/>
      <c r="CD76" s="362"/>
      <c r="CE76" s="362"/>
      <c r="CF76" s="362"/>
      <c r="CG76" s="362"/>
      <c r="CH76" s="362"/>
      <c r="CI76" s="362"/>
      <c r="CJ76" s="362"/>
      <c r="CK76" s="362"/>
      <c r="CL76" s="362"/>
      <c r="CM76" s="362"/>
      <c r="CN76" s="362"/>
      <c r="CO76" s="362"/>
      <c r="CP76" s="362"/>
      <c r="CQ76" s="362"/>
      <c r="CR76" s="362"/>
      <c r="CS76" s="362"/>
      <c r="CT76" s="362"/>
      <c r="CU76" s="362"/>
      <c r="CV76" s="362"/>
      <c r="CW76" s="362"/>
    </row>
    <row r="77" spans="2:101" s="369" customFormat="1" ht="41.4" x14ac:dyDescent="0.3">
      <c r="B77" s="127" t="s">
        <v>103</v>
      </c>
      <c r="C77" s="247" t="s">
        <v>122</v>
      </c>
      <c r="D77" s="134" t="str">
        <f t="shared" si="18"/>
        <v/>
      </c>
      <c r="E77" s="536">
        <v>27257.599999999999</v>
      </c>
      <c r="F77" s="136" t="str">
        <f t="shared" si="19"/>
        <v/>
      </c>
      <c r="G77" s="198">
        <f>66.67*0.5</f>
        <v>33.335000000000001</v>
      </c>
      <c r="H77" s="603" t="str">
        <f t="shared" si="20"/>
        <v/>
      </c>
      <c r="I77" s="608">
        <f t="shared" si="35"/>
        <v>908.6</v>
      </c>
      <c r="J77" s="136" t="str">
        <f t="shared" si="21"/>
        <v/>
      </c>
      <c r="K77" s="66" t="s">
        <v>126</v>
      </c>
      <c r="L77" s="136" t="str">
        <f t="shared" si="22"/>
        <v/>
      </c>
      <c r="M77" s="366">
        <v>245</v>
      </c>
      <c r="N77" s="176" t="str">
        <f t="shared" si="23"/>
        <v/>
      </c>
      <c r="O77" s="370">
        <v>155</v>
      </c>
      <c r="P77" s="136" t="str">
        <f t="shared" si="24"/>
        <v/>
      </c>
      <c r="Q77" s="198">
        <v>1.2</v>
      </c>
      <c r="R77" s="176" t="str">
        <f t="shared" si="25"/>
        <v/>
      </c>
      <c r="S77" s="378" t="s">
        <v>132</v>
      </c>
      <c r="T77" s="136" t="str">
        <f t="shared" si="26"/>
        <v/>
      </c>
      <c r="U77" s="812">
        <v>1</v>
      </c>
      <c r="V77" s="176" t="str">
        <f t="shared" si="27"/>
        <v/>
      </c>
      <c r="W77" s="370" t="s">
        <v>136</v>
      </c>
      <c r="X77" s="136" t="str">
        <f t="shared" si="28"/>
        <v/>
      </c>
      <c r="Y77" s="304">
        <v>0.09</v>
      </c>
      <c r="Z77" s="176" t="str">
        <f t="shared" si="29"/>
        <v/>
      </c>
      <c r="AA77" s="368" t="s">
        <v>311</v>
      </c>
      <c r="AB77" s="931"/>
      <c r="AC77" s="813" t="s">
        <v>1356</v>
      </c>
      <c r="AD77" s="136"/>
      <c r="AE77" s="198">
        <v>15</v>
      </c>
      <c r="AF77" s="134" t="str">
        <f t="shared" si="30"/>
        <v/>
      </c>
      <c r="AG77" s="431">
        <v>0.15</v>
      </c>
      <c r="AH77" s="134" t="str">
        <f t="shared" si="31"/>
        <v/>
      </c>
      <c r="AI77" s="56">
        <f t="shared" si="32"/>
        <v>13629</v>
      </c>
      <c r="AJ77" s="136" t="str">
        <f t="shared" si="33"/>
        <v/>
      </c>
      <c r="AK77" s="365" t="s">
        <v>312</v>
      </c>
      <c r="AL77" s="136" t="str">
        <f t="shared" si="34"/>
        <v/>
      </c>
      <c r="AM77" s="365" t="s">
        <v>313</v>
      </c>
      <c r="AN77" s="370"/>
      <c r="AP77" s="370"/>
      <c r="AQ77" s="370"/>
      <c r="AR77" s="58"/>
      <c r="AV77" s="362"/>
      <c r="AW77" s="362"/>
      <c r="AX77" s="362"/>
      <c r="AY77" s="362"/>
      <c r="AZ77" s="362"/>
      <c r="BA77" s="362"/>
      <c r="BB77" s="362"/>
      <c r="BC77" s="362"/>
      <c r="BD77" s="362"/>
      <c r="BE77" s="362"/>
      <c r="BF77" s="362"/>
      <c r="BG77" s="362"/>
      <c r="BH77" s="362"/>
      <c r="BI77" s="362"/>
      <c r="BJ77" s="362"/>
      <c r="BK77" s="362"/>
      <c r="BL77" s="362"/>
      <c r="BM77" s="362"/>
      <c r="BN77" s="362"/>
      <c r="BO77" s="362"/>
      <c r="BP77" s="362"/>
      <c r="BQ77" s="362"/>
      <c r="BR77" s="362"/>
      <c r="BS77" s="362"/>
      <c r="BX77" s="362"/>
      <c r="BY77" s="362"/>
      <c r="BZ77" s="362"/>
      <c r="CA77" s="362"/>
      <c r="CB77" s="362"/>
      <c r="CC77" s="362"/>
      <c r="CD77" s="362"/>
      <c r="CE77" s="362"/>
      <c r="CF77" s="362"/>
      <c r="CG77" s="362"/>
      <c r="CH77" s="362"/>
      <c r="CI77" s="362"/>
      <c r="CJ77" s="362"/>
      <c r="CK77" s="362"/>
      <c r="CL77" s="362"/>
      <c r="CM77" s="362"/>
      <c r="CN77" s="362"/>
      <c r="CO77" s="362"/>
      <c r="CP77" s="362"/>
      <c r="CQ77" s="362"/>
      <c r="CR77" s="362"/>
      <c r="CS77" s="362"/>
      <c r="CT77" s="362"/>
      <c r="CU77" s="362"/>
      <c r="CV77" s="362"/>
      <c r="CW77" s="362"/>
    </row>
    <row r="78" spans="2:101" s="369" customFormat="1" ht="41.4" x14ac:dyDescent="0.3">
      <c r="B78" s="127" t="s">
        <v>104</v>
      </c>
      <c r="C78" s="247" t="s">
        <v>122</v>
      </c>
      <c r="D78" s="134" t="str">
        <f t="shared" si="18"/>
        <v/>
      </c>
      <c r="E78" s="536">
        <v>3373.6</v>
      </c>
      <c r="F78" s="136" t="str">
        <f t="shared" si="19"/>
        <v/>
      </c>
      <c r="G78" s="198">
        <f>66.67*0.5</f>
        <v>33.335000000000001</v>
      </c>
      <c r="H78" s="603" t="str">
        <f t="shared" si="20"/>
        <v/>
      </c>
      <c r="I78" s="608">
        <f t="shared" si="35"/>
        <v>112.5</v>
      </c>
      <c r="J78" s="136" t="str">
        <f t="shared" si="21"/>
        <v/>
      </c>
      <c r="K78" s="66" t="s">
        <v>126</v>
      </c>
      <c r="L78" s="136" t="str">
        <f t="shared" si="22"/>
        <v/>
      </c>
      <c r="M78" s="366">
        <v>245</v>
      </c>
      <c r="N78" s="176" t="str">
        <f t="shared" si="23"/>
        <v/>
      </c>
      <c r="O78" s="370">
        <v>155</v>
      </c>
      <c r="P78" s="136" t="str">
        <f t="shared" si="24"/>
        <v/>
      </c>
      <c r="Q78" s="198">
        <v>1.2</v>
      </c>
      <c r="R78" s="176" t="str">
        <f t="shared" si="25"/>
        <v/>
      </c>
      <c r="S78" s="378" t="s">
        <v>132</v>
      </c>
      <c r="T78" s="136" t="str">
        <f t="shared" si="26"/>
        <v/>
      </c>
      <c r="U78" s="812">
        <v>1</v>
      </c>
      <c r="V78" s="176" t="str">
        <f t="shared" si="27"/>
        <v/>
      </c>
      <c r="W78" s="370" t="s">
        <v>136</v>
      </c>
      <c r="X78" s="136" t="str">
        <f t="shared" si="28"/>
        <v/>
      </c>
      <c r="Y78" s="304">
        <v>0.09</v>
      </c>
      <c r="Z78" s="176" t="str">
        <f t="shared" si="29"/>
        <v/>
      </c>
      <c r="AA78" s="368" t="s">
        <v>311</v>
      </c>
      <c r="AB78" s="931"/>
      <c r="AC78" s="813" t="s">
        <v>1356</v>
      </c>
      <c r="AD78" s="136"/>
      <c r="AE78" s="198">
        <v>15</v>
      </c>
      <c r="AF78" s="134" t="str">
        <f t="shared" si="30"/>
        <v/>
      </c>
      <c r="AG78" s="431">
        <v>0.15</v>
      </c>
      <c r="AH78" s="134" t="str">
        <f t="shared" si="31"/>
        <v/>
      </c>
      <c r="AI78" s="56">
        <f t="shared" si="32"/>
        <v>1688</v>
      </c>
      <c r="AJ78" s="136" t="str">
        <f t="shared" si="33"/>
        <v/>
      </c>
      <c r="AK78" s="365" t="s">
        <v>312</v>
      </c>
      <c r="AL78" s="136" t="str">
        <f t="shared" si="34"/>
        <v/>
      </c>
      <c r="AM78" s="365" t="s">
        <v>313</v>
      </c>
      <c r="AN78" s="370"/>
      <c r="AP78" s="370"/>
      <c r="AQ78" s="370"/>
      <c r="AR78" s="58"/>
      <c r="AV78" s="362"/>
      <c r="AW78" s="362"/>
      <c r="AX78" s="362"/>
      <c r="AY78" s="362"/>
      <c r="AZ78" s="362"/>
      <c r="BA78" s="362"/>
      <c r="BB78" s="362"/>
      <c r="BC78" s="362"/>
      <c r="BD78" s="362"/>
      <c r="BE78" s="362"/>
      <c r="BF78" s="362"/>
      <c r="BG78" s="362"/>
      <c r="BH78" s="362"/>
      <c r="BI78" s="362"/>
      <c r="BJ78" s="362"/>
      <c r="BK78" s="362"/>
      <c r="BL78" s="362"/>
      <c r="BM78" s="362"/>
      <c r="BN78" s="362"/>
      <c r="BO78" s="362"/>
      <c r="BP78" s="362"/>
      <c r="BQ78" s="362"/>
      <c r="BR78" s="362"/>
      <c r="BS78" s="362"/>
      <c r="BX78" s="362"/>
      <c r="BY78" s="362"/>
      <c r="BZ78" s="362"/>
      <c r="CA78" s="362"/>
      <c r="CB78" s="362"/>
      <c r="CC78" s="362"/>
      <c r="CD78" s="362"/>
      <c r="CE78" s="362"/>
      <c r="CF78" s="362"/>
      <c r="CG78" s="362"/>
      <c r="CH78" s="362"/>
      <c r="CI78" s="362"/>
      <c r="CJ78" s="362"/>
      <c r="CK78" s="362"/>
      <c r="CL78" s="362"/>
      <c r="CM78" s="362"/>
      <c r="CN78" s="362"/>
      <c r="CO78" s="362"/>
      <c r="CP78" s="362"/>
      <c r="CQ78" s="362"/>
      <c r="CR78" s="362"/>
      <c r="CS78" s="362"/>
      <c r="CT78" s="362"/>
      <c r="CU78" s="362"/>
      <c r="CV78" s="362"/>
      <c r="CW78" s="362"/>
    </row>
    <row r="79" spans="2:101" s="369" customFormat="1" ht="27.6" x14ac:dyDescent="0.3">
      <c r="B79" s="127" t="s">
        <v>105</v>
      </c>
      <c r="C79" s="247" t="s">
        <v>120</v>
      </c>
      <c r="D79" s="134" t="str">
        <f t="shared" si="18"/>
        <v/>
      </c>
      <c r="E79" s="536">
        <v>2174.1</v>
      </c>
      <c r="F79" s="136" t="str">
        <f t="shared" si="19"/>
        <v/>
      </c>
      <c r="G79" s="198">
        <f>10*0.5</f>
        <v>5</v>
      </c>
      <c r="H79" s="603" t="str">
        <f t="shared" si="20"/>
        <v/>
      </c>
      <c r="I79" s="608">
        <f t="shared" si="35"/>
        <v>10.9</v>
      </c>
      <c r="J79" s="136" t="str">
        <f t="shared" si="21"/>
        <v/>
      </c>
      <c r="K79" s="381" t="s">
        <v>126</v>
      </c>
      <c r="L79" s="136" t="str">
        <f t="shared" si="22"/>
        <v/>
      </c>
      <c r="M79" s="366">
        <v>250</v>
      </c>
      <c r="N79" s="176" t="str">
        <f t="shared" si="23"/>
        <v/>
      </c>
      <c r="O79" s="370">
        <v>250</v>
      </c>
      <c r="P79" s="136" t="str">
        <f t="shared" si="24"/>
        <v/>
      </c>
      <c r="Q79" s="198">
        <v>0.6</v>
      </c>
      <c r="R79" s="176" t="str">
        <f t="shared" si="25"/>
        <v/>
      </c>
      <c r="S79" s="378" t="s">
        <v>132</v>
      </c>
      <c r="T79" s="136" t="str">
        <f t="shared" si="26"/>
        <v/>
      </c>
      <c r="U79" s="812">
        <v>0.2</v>
      </c>
      <c r="V79" s="176" t="str">
        <f t="shared" si="27"/>
        <v/>
      </c>
      <c r="W79" s="22" t="s">
        <v>136</v>
      </c>
      <c r="X79" s="136"/>
      <c r="Y79" s="304">
        <v>0</v>
      </c>
      <c r="Z79" s="176" t="str">
        <f t="shared" si="29"/>
        <v/>
      </c>
      <c r="AA79" s="368" t="s">
        <v>311</v>
      </c>
      <c r="AB79" s="931"/>
      <c r="AC79" s="813" t="s">
        <v>1356</v>
      </c>
      <c r="AD79" s="136"/>
      <c r="AE79" s="197">
        <v>0</v>
      </c>
      <c r="AF79" s="134" t="str">
        <f t="shared" si="30"/>
        <v/>
      </c>
      <c r="AG79" s="431">
        <v>0.15</v>
      </c>
      <c r="AH79" s="134" t="str">
        <f t="shared" si="31"/>
        <v/>
      </c>
      <c r="AI79" s="56">
        <f t="shared" si="32"/>
        <v>326</v>
      </c>
      <c r="AJ79" s="136" t="str">
        <f t="shared" si="33"/>
        <v/>
      </c>
      <c r="AK79" s="365" t="s">
        <v>312</v>
      </c>
      <c r="AL79" s="136" t="str">
        <f t="shared" si="34"/>
        <v/>
      </c>
      <c r="AM79" s="365" t="s">
        <v>313</v>
      </c>
      <c r="AN79" s="370"/>
      <c r="AP79" s="681"/>
      <c r="AQ79" s="370"/>
      <c r="AR79" s="58"/>
      <c r="AV79" s="362"/>
      <c r="AW79" s="362"/>
      <c r="AX79" s="362"/>
      <c r="AY79" s="362"/>
      <c r="AZ79" s="362"/>
      <c r="BA79" s="362"/>
      <c r="BB79" s="362"/>
      <c r="BC79" s="362"/>
      <c r="BD79" s="362"/>
      <c r="BE79" s="362"/>
      <c r="BF79" s="362"/>
      <c r="BG79" s="362"/>
      <c r="BH79" s="362"/>
      <c r="BI79" s="362"/>
      <c r="BJ79" s="362"/>
      <c r="BK79" s="362"/>
      <c r="BL79" s="362"/>
      <c r="BM79" s="362"/>
      <c r="BN79" s="362"/>
      <c r="BO79" s="362"/>
      <c r="BP79" s="362"/>
      <c r="BQ79" s="362"/>
      <c r="BR79" s="362"/>
      <c r="BS79" s="362"/>
      <c r="BX79" s="362"/>
      <c r="BY79" s="362"/>
      <c r="BZ79" s="362"/>
      <c r="CA79" s="362"/>
      <c r="CB79" s="362"/>
      <c r="CC79" s="362"/>
      <c r="CD79" s="362"/>
      <c r="CE79" s="362"/>
      <c r="CF79" s="362"/>
      <c r="CG79" s="362"/>
      <c r="CH79" s="362"/>
      <c r="CI79" s="362"/>
      <c r="CJ79" s="362"/>
      <c r="CK79" s="362"/>
      <c r="CL79" s="362"/>
      <c r="CM79" s="362"/>
      <c r="CN79" s="362"/>
      <c r="CO79" s="362"/>
      <c r="CP79" s="362"/>
      <c r="CQ79" s="362"/>
      <c r="CR79" s="362"/>
      <c r="CS79" s="362"/>
      <c r="CT79" s="362"/>
      <c r="CU79" s="362"/>
      <c r="CV79" s="362"/>
      <c r="CW79" s="362"/>
    </row>
    <row r="80" spans="2:101" s="369" customFormat="1" ht="41.4" x14ac:dyDescent="0.3">
      <c r="B80" s="127" t="s">
        <v>106</v>
      </c>
      <c r="C80" s="247" t="s">
        <v>122</v>
      </c>
      <c r="D80" s="134" t="str">
        <f t="shared" si="18"/>
        <v/>
      </c>
      <c r="E80" s="536">
        <v>3373.6</v>
      </c>
      <c r="F80" s="136" t="str">
        <f t="shared" si="19"/>
        <v/>
      </c>
      <c r="G80" s="198">
        <f>66.67*0.5</f>
        <v>33.335000000000001</v>
      </c>
      <c r="H80" s="603" t="str">
        <f t="shared" si="20"/>
        <v/>
      </c>
      <c r="I80" s="608">
        <f t="shared" si="35"/>
        <v>112.5</v>
      </c>
      <c r="J80" s="136" t="str">
        <f t="shared" si="21"/>
        <v/>
      </c>
      <c r="K80" s="66" t="s">
        <v>126</v>
      </c>
      <c r="L80" s="136" t="str">
        <f t="shared" si="22"/>
        <v/>
      </c>
      <c r="M80" s="366">
        <v>245</v>
      </c>
      <c r="N80" s="176" t="str">
        <f t="shared" si="23"/>
        <v/>
      </c>
      <c r="O80" s="370">
        <v>155</v>
      </c>
      <c r="P80" s="136" t="str">
        <f t="shared" si="24"/>
        <v/>
      </c>
      <c r="Q80" s="198">
        <v>1.2</v>
      </c>
      <c r="R80" s="176" t="str">
        <f t="shared" si="25"/>
        <v/>
      </c>
      <c r="S80" s="378" t="s">
        <v>132</v>
      </c>
      <c r="T80" s="136" t="str">
        <f t="shared" si="26"/>
        <v/>
      </c>
      <c r="U80" s="812">
        <v>1</v>
      </c>
      <c r="V80" s="176" t="str">
        <f t="shared" si="27"/>
        <v/>
      </c>
      <c r="W80" s="370" t="s">
        <v>136</v>
      </c>
      <c r="X80" s="136" t="str">
        <f>IF($CQ80=$Y80,"X","")</f>
        <v/>
      </c>
      <c r="Y80" s="304">
        <v>0.09</v>
      </c>
      <c r="Z80" s="176" t="str">
        <f t="shared" si="29"/>
        <v/>
      </c>
      <c r="AA80" s="368" t="s">
        <v>311</v>
      </c>
      <c r="AB80" s="931"/>
      <c r="AC80" s="813" t="s">
        <v>1356</v>
      </c>
      <c r="AD80" s="136" t="str">
        <f>IF(CY218=$AE80,"X","")</f>
        <v/>
      </c>
      <c r="AE80" s="198">
        <v>15</v>
      </c>
      <c r="AF80" s="134" t="str">
        <f t="shared" si="30"/>
        <v/>
      </c>
      <c r="AG80" s="431">
        <v>0.15</v>
      </c>
      <c r="AH80" s="134" t="str">
        <f t="shared" si="31"/>
        <v/>
      </c>
      <c r="AI80" s="56">
        <f t="shared" si="32"/>
        <v>1688</v>
      </c>
      <c r="AJ80" s="136" t="str">
        <f t="shared" si="33"/>
        <v/>
      </c>
      <c r="AK80" s="365" t="s">
        <v>312</v>
      </c>
      <c r="AL80" s="136" t="str">
        <f t="shared" si="34"/>
        <v/>
      </c>
      <c r="AM80" s="365" t="s">
        <v>313</v>
      </c>
      <c r="AN80" s="370"/>
      <c r="AP80" s="370"/>
      <c r="AQ80" s="370"/>
      <c r="AR80" s="58"/>
      <c r="AV80" s="362"/>
      <c r="AW80" s="362"/>
      <c r="AX80" s="362"/>
      <c r="AY80" s="362"/>
      <c r="AZ80" s="362"/>
      <c r="BA80" s="362"/>
      <c r="BB80" s="362"/>
      <c r="BC80" s="362"/>
      <c r="BD80" s="362"/>
      <c r="BE80" s="362"/>
      <c r="BF80" s="362"/>
      <c r="BG80" s="362"/>
      <c r="BH80" s="362"/>
      <c r="BI80" s="362"/>
      <c r="BJ80" s="362"/>
      <c r="BK80" s="362"/>
      <c r="BL80" s="362"/>
      <c r="BM80" s="362"/>
      <c r="BN80" s="362"/>
      <c r="BO80" s="362"/>
      <c r="BP80" s="362"/>
      <c r="BQ80" s="362"/>
      <c r="BR80" s="362"/>
      <c r="BS80" s="362"/>
      <c r="BX80" s="362"/>
      <c r="BY80" s="362"/>
      <c r="BZ80" s="362"/>
      <c r="CA80" s="362"/>
      <c r="CB80" s="362"/>
      <c r="CC80" s="362"/>
      <c r="CD80" s="362"/>
      <c r="CE80" s="362"/>
      <c r="CF80" s="362"/>
      <c r="CG80" s="362"/>
      <c r="CH80" s="362"/>
      <c r="CI80" s="362"/>
      <c r="CJ80" s="362"/>
      <c r="CK80" s="362"/>
      <c r="CL80" s="362"/>
      <c r="CM80" s="362"/>
      <c r="CN80" s="362"/>
      <c r="CO80" s="362"/>
      <c r="CP80" s="362"/>
      <c r="CQ80" s="362"/>
      <c r="CR80" s="362"/>
      <c r="CS80" s="362"/>
      <c r="CT80" s="362"/>
      <c r="CU80" s="362"/>
      <c r="CV80" s="362"/>
      <c r="CW80" s="362"/>
    </row>
    <row r="81" spans="1:116" s="369" customFormat="1" ht="41.4" x14ac:dyDescent="0.3">
      <c r="B81" s="127" t="s">
        <v>107</v>
      </c>
      <c r="C81" s="247" t="s">
        <v>122</v>
      </c>
      <c r="D81" s="134" t="str">
        <f t="shared" si="18"/>
        <v/>
      </c>
      <c r="E81" s="536">
        <v>2174</v>
      </c>
      <c r="F81" s="136" t="str">
        <f t="shared" si="19"/>
        <v/>
      </c>
      <c r="G81" s="198">
        <f>66.67*0.5</f>
        <v>33.335000000000001</v>
      </c>
      <c r="H81" s="603" t="str">
        <f t="shared" si="20"/>
        <v/>
      </c>
      <c r="I81" s="608">
        <f t="shared" si="35"/>
        <v>72.5</v>
      </c>
      <c r="J81" s="136" t="str">
        <f t="shared" si="21"/>
        <v/>
      </c>
      <c r="K81" s="66" t="s">
        <v>126</v>
      </c>
      <c r="L81" s="136" t="str">
        <f t="shared" si="22"/>
        <v/>
      </c>
      <c r="M81" s="366">
        <v>245</v>
      </c>
      <c r="N81" s="176" t="str">
        <f t="shared" si="23"/>
        <v/>
      </c>
      <c r="O81" s="370">
        <v>155</v>
      </c>
      <c r="P81" s="136" t="str">
        <f t="shared" si="24"/>
        <v/>
      </c>
      <c r="Q81" s="198">
        <v>1.2</v>
      </c>
      <c r="R81" s="176" t="str">
        <f t="shared" si="25"/>
        <v/>
      </c>
      <c r="S81" s="378" t="s">
        <v>132</v>
      </c>
      <c r="T81" s="136" t="str">
        <f t="shared" si="26"/>
        <v/>
      </c>
      <c r="U81" s="812">
        <v>1</v>
      </c>
      <c r="V81" s="176" t="str">
        <f t="shared" si="27"/>
        <v/>
      </c>
      <c r="W81" s="370" t="s">
        <v>136</v>
      </c>
      <c r="X81" s="136" t="str">
        <f>IF($CQ81=$Y81,"X","")</f>
        <v/>
      </c>
      <c r="Y81" s="304">
        <v>0.09</v>
      </c>
      <c r="Z81" s="176" t="str">
        <f t="shared" si="29"/>
        <v/>
      </c>
      <c r="AA81" s="368" t="s">
        <v>311</v>
      </c>
      <c r="AB81" s="931"/>
      <c r="AC81" s="813" t="s">
        <v>1356</v>
      </c>
      <c r="AD81" s="136" t="str">
        <f>IF(CY219=$AE81,"X","")</f>
        <v/>
      </c>
      <c r="AE81" s="198">
        <v>15</v>
      </c>
      <c r="AF81" s="134" t="str">
        <f t="shared" si="30"/>
        <v/>
      </c>
      <c r="AG81" s="431">
        <v>0.15</v>
      </c>
      <c r="AH81" s="134" t="str">
        <f t="shared" si="31"/>
        <v/>
      </c>
      <c r="AI81" s="56">
        <f t="shared" si="32"/>
        <v>1088</v>
      </c>
      <c r="AJ81" s="136" t="str">
        <f t="shared" si="33"/>
        <v/>
      </c>
      <c r="AK81" s="365" t="s">
        <v>312</v>
      </c>
      <c r="AL81" s="136" t="str">
        <f t="shared" si="34"/>
        <v/>
      </c>
      <c r="AM81" s="365" t="s">
        <v>313</v>
      </c>
      <c r="AN81" s="370"/>
      <c r="AP81" s="370"/>
      <c r="AQ81" s="370"/>
      <c r="AR81" s="58"/>
      <c r="AV81" s="362"/>
      <c r="AW81" s="362"/>
      <c r="AX81" s="362"/>
      <c r="AY81" s="362"/>
      <c r="AZ81" s="362"/>
      <c r="BA81" s="362"/>
      <c r="BB81" s="362"/>
      <c r="BC81" s="362"/>
      <c r="BD81" s="362"/>
      <c r="BE81" s="362"/>
      <c r="BF81" s="362"/>
      <c r="BG81" s="362"/>
      <c r="BH81" s="362"/>
      <c r="BI81" s="362"/>
      <c r="BJ81" s="362"/>
      <c r="BK81" s="362"/>
      <c r="BL81" s="362"/>
      <c r="BM81" s="362"/>
      <c r="BN81" s="362"/>
      <c r="BO81" s="362"/>
      <c r="BP81" s="362"/>
      <c r="BQ81" s="362"/>
      <c r="BR81" s="362"/>
      <c r="BS81" s="362"/>
      <c r="BX81" s="362"/>
      <c r="BY81" s="362"/>
      <c r="BZ81" s="362"/>
      <c r="CA81" s="362"/>
      <c r="CB81" s="362"/>
      <c r="CC81" s="362"/>
      <c r="CD81" s="362"/>
      <c r="CE81" s="362"/>
      <c r="CF81" s="362"/>
      <c r="CG81" s="362"/>
      <c r="CH81" s="362"/>
      <c r="CI81" s="362"/>
      <c r="CJ81" s="362"/>
      <c r="CK81" s="362"/>
      <c r="CL81" s="362"/>
      <c r="CM81" s="362"/>
      <c r="CN81" s="362"/>
      <c r="CO81" s="362"/>
      <c r="CP81" s="362"/>
      <c r="CQ81" s="362"/>
      <c r="CR81" s="362"/>
      <c r="CS81" s="362"/>
      <c r="CT81" s="362"/>
      <c r="CU81" s="362"/>
      <c r="CV81" s="362"/>
      <c r="CW81" s="362"/>
    </row>
    <row r="82" spans="1:116" s="369" customFormat="1" ht="27.6" x14ac:dyDescent="0.3">
      <c r="B82" s="322" t="s">
        <v>108</v>
      </c>
      <c r="C82" s="323" t="s">
        <v>118</v>
      </c>
      <c r="D82" s="333" t="s">
        <v>14</v>
      </c>
      <c r="E82" s="412" t="s">
        <v>14</v>
      </c>
      <c r="F82" s="333" t="s">
        <v>14</v>
      </c>
      <c r="G82" s="814" t="s">
        <v>14</v>
      </c>
      <c r="H82" s="333" t="s">
        <v>14</v>
      </c>
      <c r="I82" s="412" t="s">
        <v>14</v>
      </c>
      <c r="J82" s="333" t="s">
        <v>14</v>
      </c>
      <c r="K82" s="432" t="s">
        <v>14</v>
      </c>
      <c r="L82" s="333" t="s">
        <v>14</v>
      </c>
      <c r="M82" s="412" t="s">
        <v>14</v>
      </c>
      <c r="N82" s="271" t="s">
        <v>14</v>
      </c>
      <c r="O82" s="432" t="s">
        <v>14</v>
      </c>
      <c r="P82" s="333" t="s">
        <v>14</v>
      </c>
      <c r="Q82" s="814" t="s">
        <v>14</v>
      </c>
      <c r="R82" s="271" t="s">
        <v>14</v>
      </c>
      <c r="S82" s="432" t="s">
        <v>14</v>
      </c>
      <c r="T82" s="333" t="s">
        <v>14</v>
      </c>
      <c r="U82" s="815" t="s">
        <v>14</v>
      </c>
      <c r="V82" s="271" t="s">
        <v>14</v>
      </c>
      <c r="W82" s="432" t="s">
        <v>14</v>
      </c>
      <c r="X82" s="818" t="s">
        <v>14</v>
      </c>
      <c r="Y82" s="819" t="s">
        <v>14</v>
      </c>
      <c r="Z82" s="818" t="s">
        <v>14</v>
      </c>
      <c r="AA82" s="432" t="s">
        <v>14</v>
      </c>
      <c r="AB82" s="333" t="s">
        <v>14</v>
      </c>
      <c r="AC82" s="432" t="s">
        <v>14</v>
      </c>
      <c r="AD82" s="818" t="s">
        <v>14</v>
      </c>
      <c r="AE82" s="432" t="s">
        <v>14</v>
      </c>
      <c r="AF82" s="818" t="s">
        <v>14</v>
      </c>
      <c r="AG82" s="820" t="s">
        <v>14</v>
      </c>
      <c r="AH82" s="818" t="s">
        <v>14</v>
      </c>
      <c r="AI82" s="432"/>
      <c r="AJ82" s="818" t="s">
        <v>14</v>
      </c>
      <c r="AK82" s="432" t="s">
        <v>14</v>
      </c>
      <c r="AL82" s="818" t="s">
        <v>14</v>
      </c>
      <c r="AM82" s="412" t="s">
        <v>14</v>
      </c>
      <c r="AN82" s="68"/>
      <c r="AP82" s="68"/>
      <c r="AQ82" s="68"/>
      <c r="AR82" s="68"/>
      <c r="AV82" s="362"/>
      <c r="AW82" s="362"/>
      <c r="AX82" s="362"/>
      <c r="AY82" s="362"/>
      <c r="AZ82" s="362"/>
      <c r="BA82" s="362"/>
      <c r="BB82" s="362"/>
      <c r="BC82" s="362"/>
      <c r="BD82" s="362"/>
      <c r="BE82" s="362"/>
      <c r="BF82" s="362"/>
      <c r="BG82" s="362"/>
      <c r="BH82" s="362"/>
      <c r="BI82" s="362"/>
      <c r="BJ82" s="362"/>
      <c r="BK82" s="362"/>
      <c r="BL82" s="362"/>
      <c r="BM82" s="362"/>
      <c r="BN82" s="362"/>
      <c r="BO82" s="362"/>
      <c r="BP82" s="362"/>
      <c r="BQ82" s="362"/>
      <c r="BR82" s="362"/>
      <c r="BS82" s="362"/>
    </row>
    <row r="83" spans="1:116" s="369" customFormat="1" ht="14.4" x14ac:dyDescent="0.3">
      <c r="B83" s="77"/>
      <c r="C83" s="85"/>
      <c r="D83" s="76"/>
      <c r="E83" s="76"/>
      <c r="F83" s="76"/>
      <c r="G83" s="73"/>
      <c r="AH83" s="75"/>
      <c r="AI83" s="63"/>
      <c r="AJ83" s="75"/>
      <c r="AK83" s="75"/>
      <c r="AL83" s="63"/>
      <c r="AP83" s="397"/>
      <c r="AQ83" s="397"/>
      <c r="AR83" s="397"/>
      <c r="AS83" s="397"/>
      <c r="AT83" s="362"/>
      <c r="AU83" s="362"/>
      <c r="AV83" s="362"/>
      <c r="AW83" s="362"/>
      <c r="AX83" s="362"/>
      <c r="AY83" s="362"/>
      <c r="AZ83" s="362"/>
      <c r="BA83" s="362"/>
      <c r="BB83" s="362"/>
      <c r="BC83" s="362"/>
      <c r="BD83" s="362"/>
      <c r="BE83" s="362"/>
      <c r="BF83" s="362"/>
      <c r="BG83" s="362"/>
      <c r="BH83" s="362"/>
      <c r="BI83" s="362"/>
      <c r="BJ83" s="362"/>
      <c r="BK83" s="362"/>
      <c r="BL83" s="362"/>
      <c r="BM83" s="362"/>
      <c r="BN83" s="378"/>
      <c r="BO83" s="378"/>
      <c r="BP83" s="378"/>
      <c r="BQ83" s="378"/>
      <c r="BR83" s="378"/>
      <c r="BS83" s="378"/>
      <c r="BT83" s="378"/>
      <c r="BU83" s="378"/>
      <c r="BV83" s="378"/>
    </row>
    <row r="84" spans="1:116" s="369" customFormat="1" x14ac:dyDescent="0.3">
      <c r="A84" s="49"/>
      <c r="B84" s="49" t="s">
        <v>959</v>
      </c>
      <c r="C84" s="49"/>
      <c r="D84" s="49"/>
      <c r="E84" s="49"/>
      <c r="F84" s="49"/>
      <c r="G84" s="49" t="str">
        <f>IF(COUNTIF(F88:F92,"Error")&gt;0,"ERROR-"&amp;COUNTIF(F88:F92,"Error"),"")</f>
        <v/>
      </c>
      <c r="H84" s="63"/>
      <c r="I84" s="63"/>
      <c r="J84" s="63"/>
      <c r="K84" s="63"/>
      <c r="AH84" s="75"/>
      <c r="AI84" s="63"/>
      <c r="AJ84" s="75"/>
      <c r="AK84" s="75"/>
      <c r="AL84" s="63"/>
      <c r="AT84" s="96"/>
      <c r="AU84" s="96"/>
      <c r="AV84" s="96"/>
      <c r="AW84" s="96"/>
      <c r="AX84" s="96"/>
      <c r="AY84" s="96"/>
      <c r="AZ84" s="96"/>
      <c r="BA84" s="96"/>
      <c r="BB84" s="96"/>
      <c r="BC84" s="96"/>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D84" s="49"/>
      <c r="CE84" s="49"/>
      <c r="CF84" s="49"/>
      <c r="CG84" s="49"/>
      <c r="CH84" s="49"/>
      <c r="CI84" s="49"/>
      <c r="CJ84" s="49"/>
      <c r="CK84" s="49"/>
      <c r="CL84" s="49"/>
      <c r="CM84" s="49"/>
      <c r="CN84" s="49"/>
      <c r="CO84" s="49"/>
      <c r="CP84" s="49"/>
      <c r="CQ84" s="49"/>
      <c r="CR84" s="49"/>
      <c r="CS84" s="49"/>
      <c r="CT84" s="49"/>
      <c r="CU84" s="49"/>
      <c r="CV84" s="49"/>
      <c r="CW84" s="49"/>
      <c r="CX84" s="49"/>
      <c r="CY84" s="49"/>
      <c r="CZ84" s="49"/>
      <c r="DA84" s="49"/>
      <c r="DB84" s="49"/>
      <c r="DC84" s="49"/>
      <c r="DD84" s="49"/>
      <c r="DE84" s="49"/>
      <c r="DF84" s="49"/>
      <c r="DG84" s="49"/>
      <c r="DH84" s="49"/>
      <c r="DI84" s="49"/>
      <c r="DJ84" s="49"/>
      <c r="DK84" s="49"/>
      <c r="DL84" s="49"/>
    </row>
    <row r="85" spans="1:116" s="369" customFormat="1" x14ac:dyDescent="0.3">
      <c r="B85" s="77" t="s">
        <v>1000</v>
      </c>
      <c r="C85" s="83"/>
      <c r="D85" s="83"/>
      <c r="E85" s="83"/>
      <c r="F85" s="82"/>
      <c r="G85" s="76"/>
      <c r="H85" s="63"/>
      <c r="I85" s="63"/>
      <c r="J85" s="63"/>
      <c r="K85" s="63"/>
      <c r="X85" s="378"/>
      <c r="Z85" s="378"/>
      <c r="AI85" s="63"/>
      <c r="AK85" s="63"/>
      <c r="AL85" s="63"/>
      <c r="AT85" s="605" t="s">
        <v>343</v>
      </c>
      <c r="AU85" s="362"/>
      <c r="AV85" s="362"/>
      <c r="AW85" s="362"/>
      <c r="AX85" s="362"/>
      <c r="AY85" s="362"/>
      <c r="AZ85" s="362"/>
      <c r="BA85" s="362"/>
      <c r="BB85" s="362"/>
      <c r="BC85" s="362"/>
      <c r="BD85" s="362"/>
      <c r="BE85" s="362"/>
      <c r="BF85" s="362"/>
      <c r="BG85" s="362"/>
      <c r="BH85" s="362"/>
      <c r="BI85" s="362"/>
      <c r="BJ85" s="362"/>
      <c r="BK85" s="362"/>
      <c r="BL85" s="362"/>
      <c r="BM85" s="362"/>
      <c r="BN85" s="362"/>
      <c r="BO85" s="362"/>
      <c r="BP85" s="362"/>
      <c r="BQ85" s="362"/>
      <c r="BR85" s="378"/>
      <c r="BS85" s="378"/>
      <c r="BT85" s="378"/>
      <c r="BU85" s="378"/>
      <c r="BV85" s="378"/>
      <c r="BW85" s="362"/>
      <c r="BX85" s="362"/>
      <c r="BY85" s="362"/>
      <c r="BZ85" s="362"/>
      <c r="CA85" s="362"/>
      <c r="CB85" s="362"/>
      <c r="CC85" s="362"/>
      <c r="CD85" s="605" t="s">
        <v>343</v>
      </c>
      <c r="CE85" s="362"/>
      <c r="CF85" s="362"/>
      <c r="CG85" s="362"/>
      <c r="CH85" s="362"/>
      <c r="CI85" s="362"/>
      <c r="CJ85" s="362"/>
      <c r="CK85" s="362"/>
      <c r="CL85" s="362"/>
      <c r="CM85" s="362"/>
      <c r="CN85" s="362"/>
      <c r="CO85" s="362"/>
      <c r="CP85" s="362"/>
      <c r="CQ85" s="362"/>
      <c r="CR85" s="362"/>
      <c r="CS85" s="362"/>
      <c r="CT85" s="362"/>
      <c r="CU85" s="362"/>
      <c r="CV85" s="362"/>
    </row>
    <row r="86" spans="1:116" ht="27.6" x14ac:dyDescent="0.3">
      <c r="B86" s="108" t="s">
        <v>203</v>
      </c>
      <c r="C86" s="116" t="s">
        <v>1001</v>
      </c>
      <c r="D86" s="116"/>
      <c r="E86" s="116" t="s">
        <v>1002</v>
      </c>
      <c r="F86" s="116"/>
      <c r="G86" s="109" t="s">
        <v>1003</v>
      </c>
      <c r="H86" s="370"/>
      <c r="I86" s="370"/>
      <c r="J86" s="370"/>
      <c r="K86" s="370"/>
      <c r="L86" s="362"/>
      <c r="M86" s="362"/>
      <c r="N86" s="362"/>
      <c r="O86" s="362"/>
      <c r="Q86" s="12"/>
      <c r="S86" s="12"/>
      <c r="AH86" s="12"/>
      <c r="AJ86" s="12"/>
      <c r="AK86" s="56"/>
      <c r="AT86" s="362" t="s">
        <v>212</v>
      </c>
      <c r="AU86" s="362"/>
      <c r="AV86" s="362"/>
      <c r="AW86" s="362"/>
      <c r="AX86" s="362"/>
      <c r="AY86" s="362" t="s">
        <v>324</v>
      </c>
      <c r="AZ86" s="362"/>
      <c r="BA86" s="362"/>
      <c r="BB86" s="362"/>
      <c r="BC86" s="362"/>
      <c r="BD86" s="362"/>
      <c r="BE86" s="362"/>
      <c r="BF86" s="362"/>
      <c r="BG86" s="362" t="s">
        <v>325</v>
      </c>
      <c r="BH86" s="362"/>
      <c r="BI86" s="362"/>
      <c r="BJ86" s="362"/>
      <c r="BK86" s="362"/>
      <c r="BL86" s="362"/>
      <c r="BM86" s="362"/>
      <c r="BN86" s="362"/>
      <c r="BO86" s="362"/>
      <c r="BP86" s="362"/>
      <c r="BQ86" s="362"/>
      <c r="BW86" s="362"/>
      <c r="BX86" s="362"/>
      <c r="BY86" s="362"/>
      <c r="BZ86" s="362"/>
      <c r="CA86" s="362"/>
      <c r="CB86" s="362"/>
      <c r="CC86" s="362"/>
      <c r="CD86" s="362" t="s">
        <v>212</v>
      </c>
      <c r="CE86" s="362"/>
      <c r="CF86" s="362"/>
      <c r="CG86" s="362"/>
      <c r="CH86" s="362"/>
      <c r="CI86" s="362" t="s">
        <v>324</v>
      </c>
      <c r="CJ86" s="362"/>
      <c r="CK86" s="362"/>
      <c r="CL86" s="362"/>
      <c r="CM86" s="362"/>
      <c r="CN86" s="362"/>
      <c r="CO86" s="362"/>
      <c r="CP86" s="362"/>
      <c r="CQ86" s="362"/>
      <c r="CR86" s="362"/>
      <c r="CS86" s="362"/>
      <c r="CT86" s="362" t="s">
        <v>325</v>
      </c>
      <c r="CU86" s="362"/>
      <c r="CV86" s="362"/>
    </row>
    <row r="87" spans="1:116" ht="14.4" thickBot="1" x14ac:dyDescent="0.35">
      <c r="B87" s="320"/>
      <c r="C87" s="117"/>
      <c r="D87" s="117"/>
      <c r="E87" s="117"/>
      <c r="F87" s="117"/>
      <c r="G87" s="143"/>
      <c r="H87" s="370"/>
      <c r="I87" s="68"/>
      <c r="J87" s="370"/>
      <c r="K87" s="68"/>
      <c r="L87" s="362"/>
      <c r="M87" s="362"/>
      <c r="N87" s="362"/>
      <c r="O87" s="362"/>
      <c r="Q87" s="12"/>
      <c r="S87" s="12"/>
      <c r="AH87" s="12"/>
      <c r="AJ87" s="12"/>
      <c r="AK87" s="56"/>
      <c r="AT87" s="362" t="s">
        <v>203</v>
      </c>
      <c r="AU87" s="362" t="s">
        <v>291</v>
      </c>
      <c r="AV87" s="362" t="s">
        <v>190</v>
      </c>
      <c r="AW87" s="362" t="s">
        <v>920</v>
      </c>
      <c r="AX87" s="362" t="s">
        <v>330</v>
      </c>
      <c r="AY87" s="362" t="s">
        <v>1124</v>
      </c>
      <c r="AZ87" s="362" t="s">
        <v>344</v>
      </c>
      <c r="BA87" s="362" t="s">
        <v>333</v>
      </c>
      <c r="BB87" s="362" t="s">
        <v>334</v>
      </c>
      <c r="BC87" s="362" t="s">
        <v>345</v>
      </c>
      <c r="BD87" s="362" t="s">
        <v>346</v>
      </c>
      <c r="BE87" s="362" t="s">
        <v>347</v>
      </c>
      <c r="BF87" s="362" t="s">
        <v>348</v>
      </c>
      <c r="BG87" s="362" t="s">
        <v>349</v>
      </c>
      <c r="BH87" s="362" t="s">
        <v>333</v>
      </c>
      <c r="BI87" s="362" t="s">
        <v>334</v>
      </c>
      <c r="BJ87" s="362" t="s">
        <v>350</v>
      </c>
      <c r="BK87" s="362"/>
      <c r="BL87" s="362"/>
      <c r="BM87" s="362"/>
      <c r="BN87" s="362"/>
      <c r="BO87" s="362"/>
      <c r="BP87" s="362"/>
      <c r="BQ87" s="362"/>
      <c r="BW87" s="362"/>
      <c r="BX87" s="362"/>
      <c r="BY87" s="362"/>
      <c r="BZ87" s="362"/>
      <c r="CA87" s="362"/>
      <c r="CB87" s="362"/>
      <c r="CC87" s="362"/>
      <c r="CD87" s="362" t="s">
        <v>203</v>
      </c>
      <c r="CE87" s="362" t="s">
        <v>291</v>
      </c>
      <c r="CF87" s="362" t="s">
        <v>190</v>
      </c>
      <c r="CG87" s="362" t="s">
        <v>920</v>
      </c>
      <c r="CH87" s="362" t="s">
        <v>330</v>
      </c>
      <c r="CI87" s="362" t="s">
        <v>1124</v>
      </c>
      <c r="CJ87" s="362" t="s">
        <v>344</v>
      </c>
      <c r="CK87" s="362" t="s">
        <v>333</v>
      </c>
      <c r="CL87" s="362" t="s">
        <v>334</v>
      </c>
      <c r="CM87" s="362" t="s">
        <v>345</v>
      </c>
      <c r="CN87" s="362" t="s">
        <v>346</v>
      </c>
      <c r="CO87" s="362" t="s">
        <v>385</v>
      </c>
      <c r="CP87" s="362" t="s">
        <v>386</v>
      </c>
      <c r="CQ87" s="362" t="s">
        <v>387</v>
      </c>
      <c r="CR87" s="362" t="s">
        <v>347</v>
      </c>
      <c r="CS87" s="362" t="s">
        <v>348</v>
      </c>
      <c r="CT87" s="362" t="s">
        <v>349</v>
      </c>
      <c r="CU87" s="362" t="s">
        <v>333</v>
      </c>
      <c r="CV87" s="362" t="s">
        <v>334</v>
      </c>
      <c r="CW87" s="378" t="s">
        <v>350</v>
      </c>
    </row>
    <row r="88" spans="1:116" ht="14.4" thickTop="1" x14ac:dyDescent="0.3">
      <c r="B88" s="124" t="s">
        <v>947</v>
      </c>
      <c r="C88" s="369">
        <v>1</v>
      </c>
      <c r="D88" s="369"/>
      <c r="E88" s="369">
        <v>38353</v>
      </c>
      <c r="F88" s="136" t="str">
        <f>IF($CN154=$G88,"X","")</f>
        <v/>
      </c>
      <c r="G88" s="540">
        <v>5753</v>
      </c>
      <c r="H88" s="370"/>
      <c r="I88" s="68"/>
      <c r="J88" s="370"/>
      <c r="K88" s="68"/>
      <c r="L88" s="362"/>
      <c r="M88" s="362"/>
      <c r="N88" s="362"/>
      <c r="O88" s="362"/>
      <c r="Q88" s="12"/>
      <c r="S88" s="12"/>
      <c r="AH88" s="12"/>
      <c r="AJ88" s="12"/>
      <c r="AK88" s="56"/>
      <c r="AT88" s="362"/>
      <c r="AU88" s="362"/>
      <c r="AV88" s="362"/>
      <c r="AW88" s="362"/>
      <c r="AX88" s="362" t="s">
        <v>109</v>
      </c>
      <c r="AY88" s="362"/>
      <c r="AZ88" s="362" t="s">
        <v>164</v>
      </c>
      <c r="BA88" s="362"/>
      <c r="BB88" s="362" t="s">
        <v>336</v>
      </c>
      <c r="BC88" s="362"/>
      <c r="BD88" s="362" t="s">
        <v>164</v>
      </c>
      <c r="BE88" s="362" t="s">
        <v>164</v>
      </c>
      <c r="BF88" s="362" t="s">
        <v>351</v>
      </c>
      <c r="BG88" s="362" t="s">
        <v>164</v>
      </c>
      <c r="BH88" s="362"/>
      <c r="BI88" s="362" t="s">
        <v>336</v>
      </c>
      <c r="BJ88" s="362" t="s">
        <v>351</v>
      </c>
      <c r="BK88" s="362"/>
      <c r="BL88" s="362"/>
      <c r="BM88" s="362"/>
      <c r="BN88" s="362"/>
      <c r="BO88" s="362"/>
      <c r="BP88" s="362"/>
      <c r="BQ88" s="362"/>
      <c r="BW88" s="362"/>
      <c r="BX88" s="362"/>
      <c r="BY88" s="362"/>
      <c r="BZ88" s="362"/>
      <c r="CA88" s="362"/>
      <c r="CB88" s="362"/>
      <c r="CC88" s="362"/>
      <c r="CD88" s="362"/>
      <c r="CE88" s="362"/>
      <c r="CF88" s="362"/>
      <c r="CG88" s="362"/>
      <c r="CH88" s="362" t="s">
        <v>109</v>
      </c>
      <c r="CI88" s="362"/>
      <c r="CJ88" s="362" t="s">
        <v>164</v>
      </c>
      <c r="CK88" s="362"/>
      <c r="CL88" s="362" t="s">
        <v>336</v>
      </c>
      <c r="CM88" s="362"/>
      <c r="CN88" s="362" t="s">
        <v>164</v>
      </c>
      <c r="CO88" s="362" t="s">
        <v>164</v>
      </c>
      <c r="CP88" s="362" t="s">
        <v>164</v>
      </c>
      <c r="CQ88" s="362" t="s">
        <v>164</v>
      </c>
      <c r="CR88" s="362" t="s">
        <v>164</v>
      </c>
      <c r="CS88" s="362" t="s">
        <v>351</v>
      </c>
      <c r="CT88" s="362" t="s">
        <v>164</v>
      </c>
      <c r="CU88" s="362"/>
      <c r="CV88" s="362" t="s">
        <v>336</v>
      </c>
      <c r="CW88" s="378" t="s">
        <v>351</v>
      </c>
    </row>
    <row r="89" spans="1:116" x14ac:dyDescent="0.3">
      <c r="B89" s="124" t="s">
        <v>948</v>
      </c>
      <c r="C89" s="369">
        <v>1</v>
      </c>
      <c r="D89" s="369"/>
      <c r="E89" s="369">
        <v>38353</v>
      </c>
      <c r="F89" s="136" t="str">
        <f>IF($CN155=$G89,"X","")</f>
        <v/>
      </c>
      <c r="G89" s="686">
        <v>10214</v>
      </c>
      <c r="H89" s="18"/>
      <c r="I89" s="370"/>
      <c r="J89" s="18"/>
      <c r="K89" s="370"/>
      <c r="L89" s="362"/>
      <c r="M89" s="362"/>
      <c r="N89" s="362"/>
      <c r="O89" s="362"/>
      <c r="Q89" s="12"/>
      <c r="S89" s="12"/>
      <c r="AH89" s="12"/>
      <c r="AJ89" s="12"/>
      <c r="AK89" s="56"/>
      <c r="AT89" s="362"/>
      <c r="AU89" s="362"/>
      <c r="AV89" s="362"/>
      <c r="AW89" s="362"/>
      <c r="AX89" s="362"/>
      <c r="AY89" s="362"/>
      <c r="AZ89" s="362"/>
      <c r="BA89" s="362"/>
      <c r="BB89" s="362"/>
      <c r="BC89" s="362"/>
      <c r="BD89" s="362"/>
      <c r="BE89" s="362"/>
      <c r="BF89" s="362"/>
      <c r="BG89" s="362"/>
      <c r="BH89" s="362"/>
      <c r="BI89" s="362"/>
      <c r="BJ89" s="362"/>
      <c r="BK89" s="362"/>
      <c r="BL89" s="362"/>
      <c r="BM89" s="362"/>
      <c r="BN89" s="362"/>
      <c r="BO89" s="362"/>
      <c r="BP89" s="362"/>
      <c r="BQ89" s="362"/>
      <c r="BW89" s="362"/>
      <c r="BX89" s="362"/>
      <c r="BY89" s="362"/>
      <c r="BZ89" s="362"/>
      <c r="CA89" s="362"/>
      <c r="CB89" s="362"/>
      <c r="CC89" s="362"/>
      <c r="CD89" s="362"/>
      <c r="CE89" s="362"/>
      <c r="CF89" s="362"/>
      <c r="CG89" s="362"/>
      <c r="CH89" s="362"/>
      <c r="CI89" s="362"/>
      <c r="CJ89" s="362"/>
      <c r="CK89" s="362"/>
      <c r="CL89" s="362"/>
      <c r="CM89" s="362"/>
      <c r="CN89" s="362"/>
      <c r="CO89" s="362"/>
      <c r="CP89" s="362"/>
      <c r="CQ89" s="362"/>
      <c r="CR89" s="362"/>
      <c r="CS89" s="362"/>
      <c r="CT89" s="362"/>
      <c r="CU89" s="362"/>
      <c r="CV89" s="362"/>
    </row>
    <row r="90" spans="1:116" x14ac:dyDescent="0.3">
      <c r="B90" s="124" t="s">
        <v>949</v>
      </c>
      <c r="C90" s="369">
        <v>5</v>
      </c>
      <c r="D90" s="369"/>
      <c r="E90" s="369">
        <v>191764.9</v>
      </c>
      <c r="F90" s="136" t="str">
        <f>IF($CN156=$G90,"X","")</f>
        <v/>
      </c>
      <c r="G90" s="197">
        <v>7562</v>
      </c>
      <c r="H90" s="370"/>
      <c r="I90" s="370"/>
      <c r="J90" s="370"/>
      <c r="K90" s="370"/>
      <c r="L90" s="362"/>
      <c r="M90" s="362"/>
      <c r="N90" s="362"/>
      <c r="O90" s="362"/>
      <c r="Q90" s="12"/>
      <c r="S90" s="12"/>
      <c r="AH90" s="12"/>
      <c r="AJ90" s="12"/>
      <c r="AK90" s="56"/>
      <c r="AT90" s="362"/>
      <c r="AU90" s="362"/>
      <c r="AV90" s="362"/>
      <c r="AW90" s="362"/>
      <c r="AX90" s="362"/>
      <c r="AY90" s="362"/>
      <c r="AZ90" s="362"/>
      <c r="BA90" s="362"/>
      <c r="BB90" s="362"/>
      <c r="BC90" s="362"/>
      <c r="BD90" s="362"/>
      <c r="BE90" s="362"/>
      <c r="BF90" s="362"/>
      <c r="BG90" s="362"/>
      <c r="BH90" s="362"/>
      <c r="BI90" s="362"/>
      <c r="BJ90" s="362"/>
      <c r="BK90" s="362"/>
      <c r="BL90" s="362"/>
      <c r="BM90" s="362"/>
      <c r="BN90" s="362"/>
      <c r="BO90" s="362"/>
      <c r="BP90" s="362"/>
      <c r="BQ90" s="362"/>
      <c r="BW90" s="362"/>
      <c r="BX90" s="362"/>
      <c r="BY90" s="362"/>
      <c r="BZ90" s="362"/>
      <c r="CA90" s="362"/>
      <c r="CB90" s="362"/>
      <c r="CC90" s="362"/>
      <c r="CD90" s="362"/>
      <c r="CE90" s="362"/>
      <c r="CF90" s="362"/>
      <c r="CG90" s="362"/>
      <c r="CH90" s="362"/>
      <c r="CI90" s="362"/>
      <c r="CJ90" s="362"/>
      <c r="CK90" s="362"/>
      <c r="CL90" s="362"/>
      <c r="CM90" s="362"/>
      <c r="CN90" s="362"/>
      <c r="CO90" s="362"/>
      <c r="CP90" s="362"/>
      <c r="CQ90" s="362"/>
      <c r="CR90" s="362"/>
      <c r="CS90" s="362"/>
      <c r="CT90" s="362"/>
      <c r="CU90" s="362"/>
      <c r="CV90" s="362"/>
    </row>
    <row r="91" spans="1:116" x14ac:dyDescent="0.3">
      <c r="B91" s="124" t="s">
        <v>950</v>
      </c>
      <c r="C91" s="369">
        <v>5</v>
      </c>
      <c r="D91" s="369"/>
      <c r="E91" s="369">
        <v>191764.9</v>
      </c>
      <c r="F91" s="136" t="str">
        <f>IF($CN157=$G91,"X","")</f>
        <v/>
      </c>
      <c r="G91" s="197">
        <v>5753</v>
      </c>
      <c r="H91" s="370"/>
      <c r="I91" s="370"/>
      <c r="J91" s="370"/>
      <c r="K91" s="370"/>
      <c r="L91" s="362"/>
      <c r="M91" s="362"/>
      <c r="N91" s="362"/>
      <c r="O91" s="362"/>
      <c r="Q91" s="12"/>
      <c r="S91" s="12"/>
      <c r="AH91" s="12"/>
      <c r="AJ91" s="12"/>
      <c r="AK91" s="56"/>
      <c r="AT91" s="362"/>
      <c r="AU91" s="362"/>
      <c r="AV91" s="362"/>
      <c r="AW91" s="362"/>
      <c r="AX91" s="362"/>
      <c r="AY91" s="362"/>
      <c r="AZ91" s="362"/>
      <c r="BA91" s="362"/>
      <c r="BB91" s="362"/>
      <c r="BC91" s="362"/>
      <c r="BD91" s="362"/>
      <c r="BE91" s="362"/>
      <c r="BF91" s="362"/>
      <c r="BG91" s="362"/>
      <c r="BH91" s="362"/>
      <c r="BI91" s="362"/>
      <c r="BJ91" s="362"/>
      <c r="BK91" s="362"/>
      <c r="BL91" s="362"/>
      <c r="BM91" s="362"/>
      <c r="BN91" s="362"/>
      <c r="BO91" s="362"/>
      <c r="BP91" s="362"/>
      <c r="BQ91" s="362"/>
      <c r="BW91" s="362"/>
      <c r="BX91" s="362"/>
      <c r="BY91" s="362"/>
      <c r="BZ91" s="362"/>
      <c r="CA91" s="362"/>
      <c r="CB91" s="362"/>
      <c r="CC91" s="362"/>
      <c r="CD91" s="362"/>
      <c r="CE91" s="362"/>
      <c r="CF91" s="362"/>
      <c r="CG91" s="362"/>
      <c r="CH91" s="362"/>
      <c r="CI91" s="362"/>
      <c r="CJ91" s="362"/>
      <c r="CK91" s="362"/>
      <c r="CL91" s="362"/>
      <c r="CM91" s="362"/>
      <c r="CN91" s="362"/>
      <c r="CO91" s="362"/>
      <c r="CP91" s="362"/>
      <c r="CQ91" s="362"/>
      <c r="CR91" s="362"/>
      <c r="CS91" s="362"/>
      <c r="CT91" s="362"/>
      <c r="CU91" s="362"/>
      <c r="CV91" s="362"/>
    </row>
    <row r="92" spans="1:116" x14ac:dyDescent="0.3">
      <c r="B92" s="175" t="s">
        <v>951</v>
      </c>
      <c r="C92" s="151">
        <v>1</v>
      </c>
      <c r="D92" s="151"/>
      <c r="E92" s="151">
        <v>38353</v>
      </c>
      <c r="F92" s="153" t="str">
        <f>IF($CN158=$G92,"X","")</f>
        <v/>
      </c>
      <c r="G92" s="687">
        <v>18416</v>
      </c>
      <c r="H92" s="18"/>
      <c r="I92" s="370"/>
      <c r="J92" s="18"/>
      <c r="K92" s="370"/>
      <c r="L92" s="362"/>
      <c r="M92" s="362"/>
      <c r="N92" s="362"/>
      <c r="O92" s="362"/>
      <c r="Q92" s="12"/>
      <c r="S92" s="12"/>
      <c r="AH92" s="12"/>
      <c r="AJ92" s="12"/>
      <c r="AK92" s="56"/>
      <c r="AT92" s="362"/>
      <c r="AU92" s="362"/>
      <c r="AV92" s="362"/>
      <c r="AW92" s="362"/>
      <c r="AX92" s="362"/>
      <c r="AY92" s="362"/>
      <c r="AZ92" s="362"/>
      <c r="BA92" s="362"/>
      <c r="BB92" s="362"/>
      <c r="BC92" s="362"/>
      <c r="BD92" s="362"/>
      <c r="BE92" s="362"/>
      <c r="BF92" s="362"/>
      <c r="BG92" s="362"/>
      <c r="BH92" s="362"/>
      <c r="BI92" s="362"/>
      <c r="BJ92" s="362"/>
      <c r="BK92" s="362"/>
      <c r="BL92" s="362"/>
      <c r="BM92" s="362"/>
      <c r="BN92" s="362"/>
      <c r="BO92" s="362"/>
      <c r="BP92" s="362"/>
      <c r="BQ92" s="362"/>
      <c r="BW92" s="362"/>
      <c r="BX92" s="362"/>
      <c r="BY92" s="362"/>
      <c r="BZ92" s="362"/>
      <c r="CA92" s="362"/>
      <c r="CB92" s="362"/>
      <c r="CC92" s="362"/>
      <c r="CD92" s="362"/>
      <c r="CE92" s="362"/>
      <c r="CF92" s="362"/>
      <c r="CG92" s="362"/>
      <c r="CH92" s="362"/>
      <c r="CI92" s="362"/>
      <c r="CJ92" s="362"/>
      <c r="CK92" s="362"/>
      <c r="CL92" s="362"/>
      <c r="CM92" s="362"/>
      <c r="CN92" s="362"/>
      <c r="CO92" s="362"/>
      <c r="CP92" s="362"/>
      <c r="CQ92" s="362"/>
      <c r="CR92" s="362"/>
      <c r="CS92" s="362"/>
      <c r="CT92" s="362"/>
      <c r="CU92" s="362"/>
      <c r="CV92" s="362"/>
    </row>
    <row r="93" spans="1:116" x14ac:dyDescent="0.3">
      <c r="B93" s="43"/>
      <c r="C93" s="368"/>
      <c r="D93" s="370"/>
      <c r="E93" s="370"/>
      <c r="F93" s="370"/>
      <c r="G93" s="107"/>
      <c r="H93" s="370"/>
      <c r="I93" s="370"/>
      <c r="J93" s="370"/>
      <c r="K93" s="370"/>
      <c r="L93" s="362"/>
      <c r="M93" s="362"/>
      <c r="N93" s="362"/>
      <c r="O93" s="362"/>
      <c r="Q93" s="12"/>
      <c r="S93" s="12"/>
      <c r="AH93" s="12"/>
      <c r="AJ93" s="12"/>
      <c r="AK93" s="56"/>
      <c r="AT93" s="362"/>
      <c r="AU93" s="362"/>
      <c r="AV93" s="362"/>
      <c r="AW93" s="362"/>
      <c r="AX93" s="362"/>
      <c r="AY93" s="362"/>
      <c r="AZ93" s="362"/>
      <c r="BA93" s="362"/>
      <c r="BB93" s="362"/>
      <c r="BC93" s="362"/>
      <c r="BD93" s="362"/>
      <c r="BE93" s="362"/>
      <c r="BF93" s="362"/>
      <c r="BG93" s="362"/>
      <c r="BH93" s="362"/>
      <c r="BI93" s="362"/>
      <c r="BJ93" s="362"/>
      <c r="BK93" s="362"/>
      <c r="BL93" s="362"/>
      <c r="BM93" s="362"/>
      <c r="BN93" s="362"/>
      <c r="BO93" s="362"/>
      <c r="BP93" s="362"/>
      <c r="BQ93" s="362"/>
      <c r="BW93" s="362"/>
      <c r="BX93" s="362"/>
      <c r="BY93" s="362"/>
      <c r="BZ93" s="362"/>
      <c r="CA93" s="362"/>
      <c r="CB93" s="362"/>
      <c r="CC93" s="362"/>
      <c r="CD93" s="362"/>
      <c r="CE93" s="362"/>
      <c r="CF93" s="362"/>
      <c r="CG93" s="362"/>
      <c r="CH93" s="362"/>
      <c r="CI93" s="362"/>
      <c r="CJ93" s="362"/>
      <c r="CK93" s="362"/>
      <c r="CL93" s="362"/>
      <c r="CM93" s="362"/>
      <c r="CN93" s="362"/>
      <c r="CO93" s="362"/>
      <c r="CP93" s="362"/>
      <c r="CQ93" s="362"/>
      <c r="CR93" s="362"/>
      <c r="CS93" s="362"/>
      <c r="CT93" s="362"/>
      <c r="CU93" s="362"/>
      <c r="CV93" s="362"/>
    </row>
    <row r="94" spans="1:116" x14ac:dyDescent="0.3">
      <c r="B94" s="43"/>
      <c r="C94" s="368"/>
      <c r="D94" s="370"/>
      <c r="E94" s="370"/>
      <c r="F94" s="370"/>
      <c r="G94" s="107"/>
      <c r="H94" s="370"/>
      <c r="I94" s="370"/>
      <c r="J94" s="370"/>
      <c r="K94" s="370"/>
      <c r="L94" s="362"/>
      <c r="M94" s="362"/>
      <c r="N94" s="362"/>
      <c r="O94" s="362"/>
      <c r="Q94" s="12"/>
      <c r="S94" s="12"/>
      <c r="AH94" s="12"/>
      <c r="AJ94" s="12"/>
      <c r="AK94" s="56"/>
      <c r="AT94" s="362"/>
      <c r="AU94" s="362"/>
      <c r="AV94" s="362"/>
      <c r="AW94" s="362"/>
      <c r="AX94" s="362"/>
      <c r="AY94" s="362"/>
      <c r="AZ94" s="362"/>
      <c r="BA94" s="362"/>
      <c r="BB94" s="362"/>
      <c r="BC94" s="362"/>
      <c r="BD94" s="362"/>
      <c r="BE94" s="362"/>
      <c r="BF94" s="362"/>
      <c r="BG94" s="362"/>
      <c r="BH94" s="362"/>
      <c r="BI94" s="362"/>
      <c r="BJ94" s="362"/>
      <c r="BK94" s="362"/>
      <c r="BL94" s="362"/>
      <c r="BM94" s="362"/>
      <c r="BN94" s="362"/>
      <c r="BO94" s="362"/>
      <c r="BP94" s="362"/>
      <c r="BQ94" s="362"/>
      <c r="BW94" s="362"/>
      <c r="BX94" s="362"/>
      <c r="BY94" s="362"/>
      <c r="BZ94" s="362"/>
      <c r="CA94" s="362"/>
      <c r="CB94" s="362"/>
      <c r="CC94" s="362"/>
      <c r="CD94" s="362"/>
      <c r="CE94" s="362"/>
      <c r="CF94" s="362"/>
      <c r="CG94" s="362"/>
      <c r="CH94" s="362"/>
      <c r="CI94" s="362"/>
      <c r="CJ94" s="362"/>
      <c r="CK94" s="362"/>
      <c r="CL94" s="362"/>
      <c r="CM94" s="362"/>
      <c r="CN94" s="362"/>
      <c r="CO94" s="362"/>
      <c r="CP94" s="362"/>
      <c r="CQ94" s="362"/>
      <c r="CR94" s="362"/>
      <c r="CS94" s="362"/>
      <c r="CT94" s="362"/>
      <c r="CU94" s="362"/>
      <c r="CV94" s="362"/>
    </row>
    <row r="95" spans="1:116" x14ac:dyDescent="0.3">
      <c r="B95" s="43"/>
      <c r="C95" s="368"/>
      <c r="D95" s="370"/>
      <c r="E95" s="370"/>
      <c r="F95" s="370"/>
      <c r="G95" s="107"/>
      <c r="H95" s="370"/>
      <c r="I95" s="370"/>
      <c r="J95" s="370"/>
      <c r="K95" s="370"/>
      <c r="L95" s="362"/>
      <c r="M95" s="362"/>
      <c r="N95" s="362"/>
      <c r="O95" s="362"/>
      <c r="Q95" s="12"/>
      <c r="S95" s="12"/>
      <c r="AH95" s="12"/>
      <c r="AJ95" s="12"/>
      <c r="AK95" s="56"/>
      <c r="AT95" s="362"/>
      <c r="AU95" s="362"/>
      <c r="AV95" s="362"/>
      <c r="AW95" s="362"/>
      <c r="AX95" s="362"/>
      <c r="AY95" s="362"/>
      <c r="AZ95" s="362"/>
      <c r="BA95" s="362"/>
      <c r="BB95" s="362"/>
      <c r="BC95" s="362"/>
      <c r="BD95" s="362"/>
      <c r="BE95" s="362"/>
      <c r="BF95" s="362"/>
      <c r="BG95" s="362"/>
      <c r="BH95" s="362"/>
      <c r="BI95" s="362"/>
      <c r="BJ95" s="362"/>
      <c r="BK95" s="362"/>
      <c r="BL95" s="362"/>
      <c r="BM95" s="362"/>
      <c r="BN95" s="362"/>
      <c r="BO95" s="362"/>
      <c r="BP95" s="362"/>
      <c r="BQ95" s="362"/>
      <c r="BW95" s="362"/>
      <c r="BX95" s="362"/>
      <c r="BY95" s="362"/>
      <c r="BZ95" s="362"/>
      <c r="CA95" s="362"/>
      <c r="CB95" s="362"/>
      <c r="CC95" s="362"/>
      <c r="CD95" s="362"/>
      <c r="CE95" s="362"/>
      <c r="CF95" s="362"/>
      <c r="CG95" s="362"/>
      <c r="CH95" s="362"/>
      <c r="CI95" s="362"/>
      <c r="CJ95" s="362"/>
      <c r="CK95" s="362"/>
      <c r="CL95" s="362"/>
      <c r="CM95" s="362"/>
      <c r="CN95" s="362"/>
      <c r="CO95" s="362"/>
      <c r="CP95" s="362"/>
      <c r="CQ95" s="362"/>
      <c r="CR95" s="362"/>
      <c r="CS95" s="362"/>
      <c r="CT95" s="362"/>
      <c r="CU95" s="362"/>
      <c r="CV95" s="362"/>
    </row>
    <row r="96" spans="1:116" x14ac:dyDescent="0.3">
      <c r="B96" s="43"/>
      <c r="C96" s="46"/>
      <c r="D96" s="370"/>
      <c r="E96" s="370"/>
      <c r="F96" s="370"/>
      <c r="G96" s="107"/>
      <c r="H96" s="370"/>
      <c r="I96" s="370"/>
      <c r="J96" s="370"/>
      <c r="K96" s="370"/>
      <c r="L96" s="362"/>
      <c r="M96" s="362"/>
      <c r="N96" s="362"/>
      <c r="O96" s="362"/>
      <c r="Q96" s="12"/>
      <c r="S96" s="12"/>
      <c r="AH96" s="12"/>
      <c r="AJ96" s="12"/>
      <c r="AK96" s="56"/>
      <c r="AT96" s="362"/>
      <c r="AU96" s="362"/>
      <c r="AV96" s="362"/>
      <c r="AW96" s="362"/>
      <c r="AX96" s="362"/>
      <c r="AY96" s="362"/>
      <c r="AZ96" s="362"/>
      <c r="BA96" s="362"/>
      <c r="BB96" s="362"/>
      <c r="BC96" s="362"/>
      <c r="BD96" s="362"/>
      <c r="BE96" s="362"/>
      <c r="BF96" s="362"/>
      <c r="BG96" s="362"/>
      <c r="BH96" s="362"/>
      <c r="BI96" s="362"/>
      <c r="BJ96" s="362"/>
      <c r="BK96" s="362"/>
      <c r="BL96" s="362"/>
      <c r="BM96" s="362"/>
      <c r="BN96" s="362"/>
      <c r="BO96" s="362"/>
      <c r="BP96" s="362"/>
      <c r="BQ96" s="362"/>
      <c r="BW96" s="362"/>
      <c r="BX96" s="362"/>
      <c r="BY96" s="362"/>
      <c r="BZ96" s="362"/>
      <c r="CA96" s="362"/>
      <c r="CB96" s="362"/>
      <c r="CC96" s="362"/>
      <c r="CD96" s="362"/>
      <c r="CE96" s="362"/>
      <c r="CF96" s="362"/>
      <c r="CG96" s="362"/>
      <c r="CH96" s="362"/>
      <c r="CI96" s="362"/>
      <c r="CJ96" s="362"/>
      <c r="CK96" s="362"/>
      <c r="CL96" s="362"/>
      <c r="CM96" s="362"/>
      <c r="CN96" s="362"/>
      <c r="CO96" s="362"/>
      <c r="CP96" s="362"/>
      <c r="CQ96" s="362"/>
      <c r="CR96" s="362"/>
      <c r="CS96" s="362"/>
      <c r="CT96" s="362"/>
      <c r="CU96" s="362"/>
      <c r="CV96" s="362"/>
    </row>
    <row r="97" spans="2:100" x14ac:dyDescent="0.3">
      <c r="B97" s="43"/>
      <c r="C97" s="368"/>
      <c r="D97" s="370"/>
      <c r="E97" s="370"/>
      <c r="F97" s="370"/>
      <c r="G97" s="107"/>
      <c r="H97" s="370"/>
      <c r="I97" s="370"/>
      <c r="J97" s="370"/>
      <c r="K97" s="370"/>
      <c r="L97" s="362"/>
      <c r="M97" s="362"/>
      <c r="N97" s="362"/>
      <c r="O97" s="362"/>
      <c r="Q97" s="12"/>
      <c r="S97" s="12"/>
      <c r="AH97" s="12"/>
      <c r="AJ97" s="12"/>
      <c r="AK97" s="56"/>
      <c r="AT97" s="362"/>
      <c r="AU97" s="362"/>
      <c r="AV97" s="362"/>
      <c r="AW97" s="362"/>
      <c r="AX97" s="362"/>
      <c r="AY97" s="362"/>
      <c r="AZ97" s="362"/>
      <c r="BA97" s="362"/>
      <c r="BB97" s="362"/>
      <c r="BC97" s="362"/>
      <c r="BD97" s="362"/>
      <c r="BE97" s="362"/>
      <c r="BF97" s="362"/>
      <c r="BG97" s="362"/>
      <c r="BH97" s="362"/>
      <c r="BI97" s="362"/>
      <c r="BJ97" s="362"/>
      <c r="BK97" s="362"/>
      <c r="BL97" s="362"/>
      <c r="BM97" s="362"/>
      <c r="BN97" s="362"/>
      <c r="BO97" s="362"/>
      <c r="BP97" s="362"/>
      <c r="BQ97" s="362"/>
      <c r="BW97" s="362"/>
      <c r="BX97" s="362"/>
      <c r="BY97" s="362"/>
      <c r="BZ97" s="362"/>
      <c r="CA97" s="362"/>
      <c r="CB97" s="362"/>
      <c r="CC97" s="362"/>
      <c r="CD97" s="362"/>
      <c r="CE97" s="362"/>
      <c r="CF97" s="362"/>
      <c r="CG97" s="362"/>
      <c r="CH97" s="362"/>
      <c r="CI97" s="362"/>
      <c r="CJ97" s="362"/>
      <c r="CK97" s="362"/>
      <c r="CL97" s="362"/>
      <c r="CM97" s="362"/>
      <c r="CN97" s="362"/>
      <c r="CO97" s="362"/>
      <c r="CP97" s="362"/>
      <c r="CQ97" s="362"/>
      <c r="CR97" s="362"/>
      <c r="CS97" s="362"/>
      <c r="CT97" s="362"/>
      <c r="CU97" s="362"/>
      <c r="CV97" s="362"/>
    </row>
    <row r="98" spans="2:100" x14ac:dyDescent="0.3">
      <c r="B98" s="43"/>
      <c r="C98" s="368"/>
      <c r="D98" s="370"/>
      <c r="E98" s="370"/>
      <c r="F98" s="370"/>
      <c r="G98" s="107"/>
      <c r="H98" s="370"/>
      <c r="I98" s="370"/>
      <c r="J98" s="370"/>
      <c r="K98" s="370"/>
      <c r="L98" s="362"/>
      <c r="M98" s="362"/>
      <c r="N98" s="362"/>
      <c r="O98" s="362"/>
      <c r="Q98" s="12"/>
      <c r="S98" s="12"/>
      <c r="AH98" s="12"/>
      <c r="AJ98" s="12"/>
      <c r="AK98" s="56"/>
      <c r="AT98" s="362"/>
      <c r="AU98" s="362"/>
      <c r="AV98" s="362"/>
      <c r="AW98" s="362"/>
      <c r="AX98" s="362"/>
      <c r="AY98" s="362"/>
      <c r="AZ98" s="362"/>
      <c r="BA98" s="362"/>
      <c r="BB98" s="362"/>
      <c r="BC98" s="362"/>
      <c r="BD98" s="362"/>
      <c r="BE98" s="362"/>
      <c r="BF98" s="362"/>
      <c r="BG98" s="362"/>
      <c r="BH98" s="362"/>
      <c r="BI98" s="362"/>
      <c r="BJ98" s="362"/>
      <c r="BK98" s="362"/>
      <c r="BL98" s="362"/>
      <c r="BM98" s="362"/>
      <c r="BN98" s="362"/>
      <c r="BO98" s="362"/>
      <c r="BP98" s="362"/>
      <c r="BQ98" s="362"/>
      <c r="BW98" s="362"/>
      <c r="BX98" s="362"/>
      <c r="BY98" s="362"/>
      <c r="BZ98" s="362"/>
      <c r="CA98" s="362"/>
      <c r="CB98" s="362"/>
      <c r="CC98" s="362"/>
      <c r="CD98" s="362"/>
      <c r="CE98" s="362"/>
      <c r="CF98" s="362"/>
      <c r="CG98" s="362"/>
      <c r="CH98" s="362"/>
      <c r="CI98" s="362"/>
      <c r="CJ98" s="362"/>
      <c r="CK98" s="362"/>
      <c r="CL98" s="362"/>
      <c r="CM98" s="362"/>
      <c r="CN98" s="362"/>
      <c r="CO98" s="362"/>
      <c r="CP98" s="362"/>
      <c r="CQ98" s="362"/>
      <c r="CR98" s="362"/>
      <c r="CS98" s="362"/>
      <c r="CT98" s="362"/>
      <c r="CU98" s="362"/>
      <c r="CV98" s="362"/>
    </row>
    <row r="99" spans="2:100" x14ac:dyDescent="0.3">
      <c r="B99" s="43"/>
      <c r="C99" s="368"/>
      <c r="D99" s="370"/>
      <c r="E99" s="370"/>
      <c r="F99" s="370"/>
      <c r="G99" s="107"/>
      <c r="H99" s="18"/>
      <c r="I99" s="370"/>
      <c r="J99" s="18"/>
      <c r="K99" s="370"/>
      <c r="L99" s="362"/>
      <c r="M99" s="362"/>
      <c r="N99" s="362"/>
      <c r="O99" s="362"/>
      <c r="Q99" s="12"/>
      <c r="S99" s="12"/>
      <c r="AH99" s="12"/>
      <c r="AJ99" s="12"/>
      <c r="AK99" s="56"/>
      <c r="AT99" s="362"/>
      <c r="AU99" s="362"/>
      <c r="AV99" s="362"/>
      <c r="AW99" s="362"/>
      <c r="AX99" s="362"/>
      <c r="AY99" s="362"/>
      <c r="AZ99" s="362"/>
      <c r="BA99" s="362"/>
      <c r="BB99" s="362"/>
      <c r="BC99" s="362"/>
      <c r="BD99" s="362"/>
      <c r="BE99" s="362"/>
      <c r="BF99" s="362"/>
      <c r="BG99" s="362"/>
      <c r="BH99" s="362"/>
      <c r="BI99" s="362"/>
      <c r="BJ99" s="362"/>
      <c r="BK99" s="362"/>
      <c r="BL99" s="362"/>
      <c r="BM99" s="362"/>
      <c r="BN99" s="362"/>
      <c r="BO99" s="362"/>
      <c r="BP99" s="362"/>
      <c r="BQ99" s="362"/>
      <c r="BW99" s="362"/>
      <c r="BX99" s="362"/>
      <c r="BY99" s="362"/>
      <c r="BZ99" s="362"/>
      <c r="CA99" s="362"/>
      <c r="CB99" s="362"/>
      <c r="CC99" s="362"/>
      <c r="CD99" s="362"/>
      <c r="CE99" s="362"/>
      <c r="CF99" s="362"/>
      <c r="CG99" s="362"/>
      <c r="CH99" s="362"/>
      <c r="CI99" s="362"/>
      <c r="CJ99" s="362"/>
      <c r="CK99" s="362"/>
      <c r="CL99" s="362"/>
      <c r="CM99" s="362"/>
      <c r="CN99" s="362"/>
      <c r="CO99" s="362"/>
      <c r="CP99" s="362"/>
      <c r="CQ99" s="362"/>
      <c r="CR99" s="362"/>
      <c r="CS99" s="362"/>
      <c r="CT99" s="362"/>
      <c r="CU99" s="362"/>
      <c r="CV99" s="362"/>
    </row>
    <row r="100" spans="2:100" x14ac:dyDescent="0.3">
      <c r="B100" s="43"/>
      <c r="C100" s="368"/>
      <c r="D100" s="370"/>
      <c r="E100" s="370"/>
      <c r="F100" s="370"/>
      <c r="G100" s="107"/>
      <c r="H100" s="18"/>
      <c r="I100" s="370"/>
      <c r="J100" s="18"/>
      <c r="K100" s="370"/>
      <c r="L100" s="362"/>
      <c r="M100" s="362"/>
      <c r="N100" s="362"/>
      <c r="O100" s="362"/>
      <c r="Q100" s="12"/>
      <c r="S100" s="12"/>
      <c r="AH100" s="12"/>
      <c r="AJ100" s="12"/>
      <c r="AK100" s="56"/>
      <c r="AT100" s="362"/>
      <c r="AU100" s="362"/>
      <c r="AV100" s="362"/>
      <c r="AW100" s="362"/>
      <c r="AX100" s="362"/>
      <c r="AY100" s="362"/>
      <c r="AZ100" s="362"/>
      <c r="BA100" s="362"/>
      <c r="BB100" s="362"/>
      <c r="BC100" s="362"/>
      <c r="BD100" s="362"/>
      <c r="BE100" s="362"/>
      <c r="BF100" s="362"/>
      <c r="BG100" s="362"/>
      <c r="BH100" s="362"/>
      <c r="BI100" s="362"/>
      <c r="BJ100" s="362"/>
      <c r="BK100" s="362"/>
      <c r="BL100" s="362"/>
      <c r="BM100" s="362"/>
      <c r="BN100" s="362"/>
      <c r="BO100" s="362"/>
      <c r="BP100" s="362"/>
      <c r="BQ100" s="362"/>
      <c r="BW100" s="362"/>
      <c r="BX100" s="362"/>
      <c r="BY100" s="362"/>
      <c r="BZ100" s="362"/>
      <c r="CA100" s="362"/>
      <c r="CB100" s="362"/>
      <c r="CC100" s="362"/>
      <c r="CD100" s="362"/>
      <c r="CE100" s="362"/>
      <c r="CF100" s="362"/>
      <c r="CG100" s="362"/>
      <c r="CH100" s="362"/>
      <c r="CI100" s="362"/>
      <c r="CJ100" s="362"/>
      <c r="CK100" s="362"/>
      <c r="CL100" s="362"/>
      <c r="CM100" s="362"/>
      <c r="CN100" s="362"/>
      <c r="CO100" s="362"/>
      <c r="CP100" s="362"/>
      <c r="CQ100" s="362"/>
      <c r="CR100" s="362"/>
    </row>
    <row r="101" spans="2:100" x14ac:dyDescent="0.3">
      <c r="B101" s="43"/>
      <c r="C101" s="368"/>
      <c r="D101" s="370"/>
      <c r="E101" s="370"/>
      <c r="F101" s="370"/>
      <c r="G101" s="107"/>
      <c r="H101" s="18"/>
      <c r="I101" s="370"/>
      <c r="J101" s="18"/>
      <c r="K101" s="370"/>
      <c r="L101" s="362"/>
      <c r="M101" s="362"/>
      <c r="N101" s="362"/>
      <c r="O101" s="362"/>
      <c r="Q101" s="12"/>
      <c r="S101" s="12"/>
      <c r="AH101" s="12"/>
      <c r="AJ101" s="12"/>
      <c r="AK101" s="56"/>
      <c r="AT101" s="362"/>
      <c r="AU101" s="362"/>
      <c r="AV101" s="362"/>
      <c r="AW101" s="362"/>
      <c r="AX101" s="362"/>
      <c r="AY101" s="362"/>
      <c r="AZ101" s="362"/>
      <c r="BA101" s="362"/>
      <c r="BB101" s="362"/>
      <c r="BC101" s="362"/>
      <c r="BD101" s="362"/>
      <c r="BE101" s="362"/>
      <c r="BF101" s="362"/>
      <c r="BG101" s="362"/>
      <c r="BH101" s="362"/>
      <c r="BI101" s="362"/>
      <c r="BJ101" s="362"/>
      <c r="BK101" s="362"/>
      <c r="BL101" s="362"/>
      <c r="BM101" s="362"/>
      <c r="BN101" s="362"/>
      <c r="BO101" s="362"/>
      <c r="BP101" s="362"/>
      <c r="BQ101" s="362"/>
      <c r="BW101" s="362"/>
      <c r="BX101" s="362"/>
      <c r="BY101" s="362"/>
      <c r="BZ101" s="362"/>
      <c r="CA101" s="362"/>
      <c r="CB101" s="362"/>
      <c r="CC101" s="362"/>
      <c r="CD101" s="362"/>
      <c r="CE101" s="362"/>
      <c r="CF101" s="362"/>
      <c r="CG101" s="362"/>
      <c r="CH101" s="362"/>
      <c r="CI101" s="362"/>
      <c r="CJ101" s="362"/>
      <c r="CK101" s="362"/>
      <c r="CL101" s="362"/>
      <c r="CM101" s="362"/>
      <c r="CN101" s="362"/>
      <c r="CO101" s="362"/>
      <c r="CP101" s="362"/>
      <c r="CQ101" s="362"/>
      <c r="CR101" s="362"/>
    </row>
    <row r="102" spans="2:100" x14ac:dyDescent="0.3">
      <c r="B102" s="43"/>
      <c r="C102" s="46"/>
      <c r="D102" s="370"/>
      <c r="E102" s="370"/>
      <c r="F102" s="370"/>
      <c r="G102" s="107"/>
      <c r="H102" s="370"/>
      <c r="I102" s="370"/>
      <c r="J102" s="370"/>
      <c r="K102" s="370"/>
      <c r="L102" s="362"/>
      <c r="M102" s="362"/>
      <c r="N102" s="362"/>
      <c r="O102" s="362"/>
      <c r="Q102" s="12"/>
      <c r="S102" s="12"/>
      <c r="AH102" s="12"/>
      <c r="AJ102" s="12"/>
      <c r="AK102" s="56"/>
      <c r="AT102" s="362"/>
      <c r="AU102" s="362"/>
      <c r="AV102" s="362"/>
      <c r="AW102" s="362"/>
      <c r="AX102" s="362"/>
      <c r="AY102" s="362"/>
      <c r="AZ102" s="362"/>
      <c r="BA102" s="362"/>
      <c r="BB102" s="362"/>
      <c r="BC102" s="362"/>
      <c r="BD102" s="362"/>
      <c r="BE102" s="362"/>
      <c r="BF102" s="362"/>
      <c r="BG102" s="362"/>
      <c r="BW102" s="362"/>
      <c r="BX102" s="362"/>
      <c r="BY102" s="362"/>
      <c r="BZ102" s="362"/>
      <c r="CA102" s="362"/>
      <c r="CB102" s="362"/>
      <c r="CC102" s="362"/>
      <c r="CD102" s="362"/>
      <c r="CE102" s="362"/>
      <c r="CF102" s="362"/>
      <c r="CG102" s="362"/>
      <c r="CH102" s="362"/>
      <c r="CI102" s="362"/>
      <c r="CJ102" s="362"/>
      <c r="CK102" s="362"/>
      <c r="CL102" s="362"/>
      <c r="CM102" s="362"/>
      <c r="CN102" s="362"/>
      <c r="CO102" s="362"/>
      <c r="CP102" s="362"/>
      <c r="CQ102" s="362"/>
      <c r="CR102" s="362"/>
    </row>
    <row r="103" spans="2:100" x14ac:dyDescent="0.3">
      <c r="B103" s="43"/>
      <c r="C103" s="368"/>
      <c r="D103" s="370"/>
      <c r="E103" s="370"/>
      <c r="F103" s="370"/>
      <c r="G103" s="107"/>
      <c r="H103" s="370"/>
      <c r="I103" s="370"/>
      <c r="J103" s="370"/>
      <c r="K103" s="370"/>
      <c r="L103" s="362"/>
      <c r="M103" s="362"/>
      <c r="N103" s="362"/>
      <c r="O103" s="362"/>
      <c r="Q103" s="12"/>
      <c r="S103" s="12"/>
      <c r="AH103" s="12"/>
      <c r="AJ103" s="12"/>
      <c r="AK103" s="56"/>
      <c r="AT103" s="362"/>
      <c r="AU103" s="362"/>
      <c r="AV103" s="362"/>
      <c r="AW103" s="362"/>
      <c r="AX103" s="362"/>
      <c r="AY103" s="362"/>
      <c r="AZ103" s="362"/>
      <c r="BA103" s="362"/>
      <c r="BB103" s="362"/>
      <c r="BC103" s="362"/>
      <c r="BD103" s="362"/>
      <c r="BE103" s="362"/>
      <c r="BF103" s="362"/>
      <c r="BG103" s="362"/>
      <c r="BW103" s="362"/>
      <c r="BX103" s="362"/>
      <c r="BY103" s="362"/>
      <c r="BZ103" s="362"/>
      <c r="CA103" s="362"/>
      <c r="CB103" s="362"/>
      <c r="CC103" s="362"/>
      <c r="CD103" s="362"/>
      <c r="CE103" s="362"/>
      <c r="CF103" s="362"/>
      <c r="CG103" s="362"/>
      <c r="CH103" s="362"/>
      <c r="CI103" s="362"/>
      <c r="CJ103" s="362"/>
      <c r="CK103" s="362"/>
      <c r="CL103" s="362"/>
      <c r="CM103" s="362"/>
      <c r="CN103" s="362"/>
      <c r="CO103" s="362"/>
      <c r="CP103" s="362"/>
      <c r="CQ103" s="362"/>
      <c r="CR103" s="362"/>
    </row>
    <row r="104" spans="2:100" x14ac:dyDescent="0.3">
      <c r="B104" s="43"/>
      <c r="C104" s="368"/>
      <c r="D104" s="370"/>
      <c r="E104" s="370"/>
      <c r="F104" s="370"/>
      <c r="G104" s="107"/>
      <c r="H104" s="370"/>
      <c r="I104" s="370"/>
      <c r="J104" s="370"/>
      <c r="K104" s="370"/>
      <c r="L104" s="362"/>
      <c r="M104" s="362"/>
      <c r="N104" s="362"/>
      <c r="O104" s="362"/>
      <c r="Q104" s="12"/>
      <c r="S104" s="12"/>
      <c r="AH104" s="12"/>
      <c r="AJ104" s="12"/>
      <c r="AK104" s="56"/>
      <c r="AT104" s="362"/>
      <c r="AU104" s="362"/>
      <c r="AV104" s="362"/>
      <c r="AW104" s="362"/>
      <c r="AX104" s="362"/>
      <c r="AY104" s="362"/>
      <c r="AZ104" s="362"/>
      <c r="BA104" s="362"/>
      <c r="BB104" s="362"/>
      <c r="BC104" s="362"/>
      <c r="BD104" s="362"/>
      <c r="BE104" s="362"/>
      <c r="BF104" s="362"/>
      <c r="BG104" s="362"/>
      <c r="BW104" s="362"/>
      <c r="BX104" s="362"/>
      <c r="BY104" s="362"/>
      <c r="BZ104" s="362"/>
      <c r="CA104" s="362"/>
      <c r="CB104" s="362"/>
      <c r="CC104" s="362"/>
      <c r="CD104" s="362"/>
      <c r="CE104" s="362"/>
      <c r="CF104" s="362"/>
      <c r="CG104" s="362"/>
      <c r="CH104" s="362"/>
      <c r="CI104" s="362"/>
      <c r="CJ104" s="362"/>
      <c r="CK104" s="362"/>
      <c r="CL104" s="362"/>
      <c r="CM104" s="362"/>
      <c r="CN104" s="362"/>
      <c r="CO104" s="362"/>
      <c r="CP104" s="362"/>
      <c r="CQ104" s="362"/>
      <c r="CR104" s="362"/>
    </row>
    <row r="105" spans="2:100" x14ac:dyDescent="0.3">
      <c r="B105" s="43"/>
      <c r="C105" s="368"/>
      <c r="D105" s="370"/>
      <c r="E105" s="370"/>
      <c r="F105" s="370"/>
      <c r="G105" s="107"/>
      <c r="H105" s="370"/>
      <c r="I105" s="370"/>
      <c r="J105" s="370"/>
      <c r="K105" s="370"/>
      <c r="L105" s="362"/>
      <c r="M105" s="362"/>
      <c r="N105" s="362"/>
      <c r="O105" s="362"/>
      <c r="Q105" s="12"/>
      <c r="S105" s="12"/>
      <c r="AH105" s="12"/>
      <c r="AJ105" s="12"/>
      <c r="AK105" s="56"/>
      <c r="AT105" s="362"/>
      <c r="AU105" s="362"/>
      <c r="AV105" s="362"/>
      <c r="AW105" s="362"/>
      <c r="AX105" s="362"/>
      <c r="AY105" s="362"/>
      <c r="AZ105" s="362"/>
      <c r="BA105" s="362"/>
      <c r="BB105" s="362"/>
      <c r="BC105" s="362"/>
      <c r="BD105" s="362"/>
      <c r="BE105" s="362"/>
      <c r="BF105" s="362"/>
      <c r="BG105" s="362"/>
      <c r="BH105" s="362"/>
      <c r="BI105" s="362"/>
      <c r="BJ105" s="362"/>
      <c r="BK105" s="362"/>
      <c r="BL105" s="362"/>
      <c r="BM105" s="362"/>
      <c r="BN105" s="362"/>
      <c r="BO105" s="362"/>
      <c r="BP105" s="362"/>
      <c r="BQ105" s="362"/>
      <c r="BW105" s="362"/>
      <c r="BX105" s="362"/>
      <c r="BY105" s="362"/>
      <c r="BZ105" s="362"/>
      <c r="CA105" s="362"/>
      <c r="CB105" s="362"/>
      <c r="CC105" s="362"/>
      <c r="CD105" s="362"/>
      <c r="CE105" s="362"/>
      <c r="CF105" s="362"/>
      <c r="CG105" s="362"/>
      <c r="CH105" s="362"/>
      <c r="CI105" s="362"/>
      <c r="CJ105" s="362"/>
      <c r="CK105" s="362"/>
      <c r="CL105" s="362"/>
      <c r="CM105" s="362"/>
      <c r="CN105" s="362"/>
      <c r="CO105" s="362"/>
      <c r="CP105" s="362"/>
      <c r="CQ105" s="362"/>
      <c r="CR105" s="362"/>
    </row>
    <row r="106" spans="2:100" x14ac:dyDescent="0.3">
      <c r="B106" s="43"/>
      <c r="C106" s="368"/>
      <c r="D106" s="370"/>
      <c r="E106" s="370"/>
      <c r="F106" s="370"/>
      <c r="G106" s="107"/>
      <c r="H106" s="18"/>
      <c r="I106" s="370"/>
      <c r="J106" s="18"/>
      <c r="K106" s="370"/>
      <c r="L106" s="362"/>
      <c r="M106" s="362"/>
      <c r="N106" s="362"/>
      <c r="O106" s="362"/>
      <c r="Q106" s="12"/>
      <c r="S106" s="12"/>
      <c r="AH106" s="12"/>
      <c r="AJ106" s="12"/>
      <c r="AK106" s="56"/>
      <c r="AT106" s="362"/>
      <c r="AU106" s="362"/>
      <c r="AV106" s="362"/>
      <c r="AW106" s="362"/>
      <c r="AX106" s="362"/>
      <c r="AY106" s="362"/>
      <c r="AZ106" s="362"/>
      <c r="BA106" s="362"/>
      <c r="BB106" s="362"/>
      <c r="BC106" s="362"/>
      <c r="BD106" s="362"/>
      <c r="BE106" s="362"/>
      <c r="BF106" s="362"/>
      <c r="BG106" s="362"/>
      <c r="BH106" s="362"/>
      <c r="BI106" s="362"/>
      <c r="BJ106" s="362"/>
      <c r="BK106" s="362"/>
      <c r="BL106" s="362"/>
      <c r="BM106" s="362"/>
      <c r="BN106" s="362"/>
      <c r="BO106" s="362"/>
      <c r="BP106" s="362"/>
      <c r="BQ106" s="362"/>
      <c r="BW106" s="362"/>
      <c r="BX106" s="362"/>
      <c r="BY106" s="362"/>
      <c r="BZ106" s="362"/>
      <c r="CA106" s="362"/>
      <c r="CB106" s="362"/>
      <c r="CC106" s="362"/>
      <c r="CD106" s="362"/>
      <c r="CE106" s="362"/>
      <c r="CF106" s="362"/>
      <c r="CG106" s="362"/>
      <c r="CH106" s="362"/>
      <c r="CI106" s="362"/>
      <c r="CJ106" s="362"/>
      <c r="CK106" s="362"/>
      <c r="CL106" s="362"/>
      <c r="CM106" s="362"/>
      <c r="CN106" s="362"/>
      <c r="CO106" s="362"/>
      <c r="CP106" s="362"/>
      <c r="CQ106" s="362"/>
      <c r="CR106" s="362"/>
    </row>
    <row r="107" spans="2:100" x14ac:dyDescent="0.3">
      <c r="B107" s="43"/>
      <c r="C107" s="368"/>
      <c r="D107" s="370"/>
      <c r="E107" s="370"/>
      <c r="F107" s="370"/>
      <c r="G107" s="107"/>
      <c r="H107" s="370"/>
      <c r="I107" s="370"/>
      <c r="J107" s="370"/>
      <c r="K107" s="370"/>
      <c r="AT107" s="362"/>
      <c r="AU107" s="362"/>
      <c r="AV107" s="362"/>
      <c r="AW107" s="362"/>
      <c r="AX107" s="362"/>
      <c r="AY107" s="362"/>
      <c r="AZ107" s="362"/>
      <c r="BA107" s="362"/>
      <c r="BB107" s="362"/>
      <c r="BC107" s="362"/>
      <c r="BD107" s="362"/>
      <c r="BE107" s="362"/>
      <c r="BF107" s="362"/>
      <c r="BG107" s="362"/>
      <c r="BH107" s="362"/>
      <c r="BI107" s="362"/>
      <c r="BJ107" s="362"/>
      <c r="BK107" s="362"/>
      <c r="BL107" s="362"/>
      <c r="BM107" s="362"/>
      <c r="BN107" s="362"/>
      <c r="BO107" s="362"/>
      <c r="BP107" s="362"/>
      <c r="BQ107" s="362"/>
      <c r="BW107" s="362"/>
      <c r="BX107" s="362"/>
      <c r="BY107" s="362"/>
      <c r="BZ107" s="362"/>
      <c r="CA107" s="362"/>
      <c r="CB107" s="362"/>
      <c r="CC107" s="362"/>
      <c r="CD107" s="362"/>
      <c r="CE107" s="362"/>
      <c r="CF107" s="362"/>
      <c r="CG107" s="362"/>
      <c r="CH107" s="362"/>
      <c r="CI107" s="362"/>
      <c r="CJ107" s="362"/>
      <c r="CK107" s="362"/>
      <c r="CL107" s="362"/>
      <c r="CM107" s="362"/>
      <c r="CN107" s="362"/>
      <c r="CO107" s="362"/>
      <c r="CP107" s="362"/>
      <c r="CQ107" s="362"/>
      <c r="CR107" s="362"/>
    </row>
    <row r="108" spans="2:100" x14ac:dyDescent="0.3">
      <c r="B108" s="77"/>
      <c r="AT108" s="362"/>
      <c r="AU108" s="362"/>
      <c r="AV108" s="362"/>
      <c r="AW108" s="362"/>
      <c r="AX108" s="362"/>
      <c r="AY108" s="362"/>
      <c r="AZ108" s="362"/>
      <c r="BA108" s="362"/>
      <c r="BB108" s="362"/>
      <c r="BC108" s="362"/>
      <c r="BD108" s="362"/>
      <c r="BE108" s="362"/>
      <c r="BF108" s="362"/>
      <c r="BG108" s="362"/>
      <c r="BH108" s="362"/>
      <c r="BI108" s="362"/>
      <c r="BJ108" s="362"/>
      <c r="BK108" s="362"/>
      <c r="BL108" s="362"/>
      <c r="BM108" s="362"/>
      <c r="BN108" s="362"/>
      <c r="BO108" s="362"/>
      <c r="BP108" s="362"/>
      <c r="BQ108" s="362"/>
      <c r="BW108" s="362"/>
      <c r="BX108" s="362"/>
      <c r="BY108" s="362"/>
      <c r="BZ108" s="362"/>
      <c r="CA108" s="362"/>
      <c r="CB108" s="362"/>
      <c r="CC108" s="362"/>
      <c r="CD108" s="362"/>
      <c r="CE108" s="362"/>
      <c r="CF108" s="362"/>
      <c r="CG108" s="362"/>
      <c r="CH108" s="362"/>
      <c r="CI108" s="362"/>
      <c r="CJ108" s="362"/>
      <c r="CK108" s="362"/>
      <c r="CL108" s="362"/>
      <c r="CM108" s="362"/>
      <c r="CN108" s="362"/>
      <c r="CO108" s="362"/>
      <c r="CP108" s="362"/>
      <c r="CQ108" s="362"/>
      <c r="CR108" s="362"/>
    </row>
    <row r="109" spans="2:100" x14ac:dyDescent="0.3">
      <c r="B109" s="77"/>
      <c r="AT109" s="362"/>
      <c r="AU109" s="362"/>
      <c r="AV109" s="362"/>
      <c r="AW109" s="362"/>
      <c r="AX109" s="362"/>
      <c r="AY109" s="362"/>
      <c r="AZ109" s="362"/>
      <c r="BA109" s="362"/>
      <c r="BB109" s="362"/>
      <c r="BC109" s="362"/>
      <c r="BD109" s="362"/>
      <c r="BE109" s="362"/>
      <c r="BF109" s="362"/>
      <c r="BG109" s="362"/>
      <c r="BH109" s="362"/>
      <c r="BI109" s="362"/>
      <c r="BJ109" s="362"/>
      <c r="BK109" s="362"/>
      <c r="BL109" s="362"/>
      <c r="BM109" s="362"/>
      <c r="BN109" s="362"/>
      <c r="BO109" s="362"/>
      <c r="BP109" s="362"/>
      <c r="BQ109" s="362"/>
      <c r="BW109" s="362"/>
      <c r="BX109" s="362"/>
      <c r="BY109" s="362"/>
      <c r="BZ109" s="362"/>
      <c r="CA109" s="362"/>
      <c r="CB109" s="362"/>
      <c r="CC109" s="362"/>
      <c r="CD109" s="362"/>
      <c r="CE109" s="362"/>
      <c r="CF109" s="362"/>
      <c r="CG109" s="362"/>
      <c r="CH109" s="362"/>
      <c r="CI109" s="362"/>
      <c r="CJ109" s="362"/>
      <c r="CK109" s="362"/>
      <c r="CL109" s="362"/>
      <c r="CM109" s="362"/>
      <c r="CN109" s="362"/>
      <c r="CO109" s="362"/>
      <c r="CP109" s="362"/>
      <c r="CQ109" s="362"/>
      <c r="CR109" s="362"/>
    </row>
    <row r="110" spans="2:100" x14ac:dyDescent="0.3">
      <c r="B110" s="77"/>
      <c r="AT110" s="362"/>
      <c r="AU110" s="362"/>
      <c r="AV110" s="362"/>
      <c r="AW110" s="362"/>
      <c r="AX110" s="362"/>
      <c r="AY110" s="362"/>
      <c r="AZ110" s="362"/>
      <c r="BA110" s="362"/>
      <c r="BB110" s="362"/>
      <c r="BC110" s="362"/>
      <c r="BD110" s="362"/>
      <c r="BE110" s="362"/>
      <c r="BF110" s="362"/>
      <c r="BG110" s="362"/>
      <c r="BH110" s="362"/>
      <c r="BI110" s="362"/>
      <c r="BJ110" s="362"/>
      <c r="BK110" s="362"/>
      <c r="BL110" s="362"/>
      <c r="BM110" s="362"/>
      <c r="BN110" s="362"/>
      <c r="BO110" s="362"/>
      <c r="BP110" s="362"/>
      <c r="BQ110" s="362"/>
      <c r="BW110" s="362"/>
      <c r="BX110" s="362"/>
      <c r="BY110" s="362"/>
      <c r="BZ110" s="362"/>
      <c r="CA110" s="362"/>
      <c r="CB110" s="362"/>
      <c r="CC110" s="362"/>
      <c r="CD110" s="362"/>
      <c r="CE110" s="362"/>
      <c r="CF110" s="362"/>
      <c r="CG110" s="362"/>
      <c r="CH110" s="362"/>
      <c r="CI110" s="362"/>
      <c r="CJ110" s="362"/>
      <c r="CK110" s="362"/>
      <c r="CL110" s="362"/>
      <c r="CM110" s="362"/>
      <c r="CN110" s="362"/>
      <c r="CO110" s="362"/>
      <c r="CP110" s="362"/>
      <c r="CQ110" s="362"/>
      <c r="CR110" s="362"/>
    </row>
    <row r="111" spans="2:100" x14ac:dyDescent="0.3">
      <c r="B111" s="77"/>
      <c r="AT111" s="362"/>
      <c r="AU111" s="362"/>
      <c r="AV111" s="362"/>
      <c r="AW111" s="362"/>
      <c r="AX111" s="362"/>
      <c r="AY111" s="362"/>
      <c r="AZ111" s="362"/>
      <c r="BA111" s="362"/>
      <c r="BB111" s="362"/>
      <c r="BC111" s="362"/>
      <c r="BD111" s="362"/>
      <c r="BE111" s="362"/>
      <c r="BF111" s="362"/>
      <c r="BG111" s="362"/>
      <c r="BH111" s="362"/>
      <c r="BI111" s="362"/>
      <c r="BJ111" s="362"/>
      <c r="BK111" s="362"/>
      <c r="BL111" s="362"/>
      <c r="BM111" s="362"/>
      <c r="BN111" s="362"/>
      <c r="BO111" s="362"/>
      <c r="BP111" s="362"/>
      <c r="BQ111" s="362"/>
      <c r="BW111" s="362"/>
      <c r="BX111" s="362"/>
      <c r="BY111" s="362"/>
      <c r="BZ111" s="362"/>
      <c r="CA111" s="362"/>
      <c r="CB111" s="362"/>
      <c r="CC111" s="362"/>
      <c r="CD111" s="362"/>
      <c r="CE111" s="362"/>
      <c r="CF111" s="362"/>
      <c r="CG111" s="362"/>
      <c r="CH111" s="362"/>
      <c r="CI111" s="362"/>
      <c r="CJ111" s="362"/>
      <c r="CK111" s="362"/>
      <c r="CL111" s="362"/>
      <c r="CM111" s="362"/>
      <c r="CN111" s="362"/>
      <c r="CO111" s="362"/>
      <c r="CP111" s="362"/>
      <c r="CQ111" s="362"/>
      <c r="CR111" s="362"/>
    </row>
    <row r="112" spans="2:100" x14ac:dyDescent="0.3">
      <c r="B112" s="77"/>
      <c r="AT112" s="362"/>
      <c r="AU112" s="362"/>
      <c r="AV112" s="362"/>
      <c r="AW112" s="362"/>
      <c r="AX112" s="362"/>
      <c r="AY112" s="362"/>
      <c r="AZ112" s="362"/>
      <c r="BA112" s="362"/>
      <c r="BB112" s="362"/>
      <c r="BC112" s="362"/>
      <c r="BD112" s="362"/>
      <c r="BE112" s="362"/>
      <c r="BF112" s="362"/>
      <c r="BG112" s="362"/>
      <c r="BH112" s="362"/>
      <c r="BI112" s="362"/>
      <c r="BJ112" s="362"/>
      <c r="BK112" s="362"/>
      <c r="BL112" s="362"/>
      <c r="BM112" s="362"/>
      <c r="BN112" s="362"/>
      <c r="BO112" s="362"/>
      <c r="BP112" s="362"/>
      <c r="BQ112" s="362"/>
      <c r="BW112" s="362"/>
      <c r="BX112" s="362"/>
      <c r="BY112" s="362"/>
      <c r="BZ112" s="362"/>
      <c r="CA112" s="362"/>
      <c r="CB112" s="362"/>
      <c r="CC112" s="362"/>
      <c r="CD112" s="362"/>
      <c r="CE112" s="362"/>
      <c r="CF112" s="362"/>
      <c r="CG112" s="362"/>
      <c r="CH112" s="362"/>
      <c r="CI112" s="362"/>
      <c r="CJ112" s="362"/>
      <c r="CK112" s="362"/>
      <c r="CL112" s="362"/>
      <c r="CM112" s="362"/>
      <c r="CN112" s="362"/>
      <c r="CO112" s="362"/>
      <c r="CP112" s="362"/>
      <c r="CQ112" s="362"/>
      <c r="CR112" s="362"/>
    </row>
    <row r="113" spans="2:116" x14ac:dyDescent="0.3">
      <c r="B113" s="77"/>
      <c r="AT113" s="362"/>
      <c r="AU113" s="362"/>
      <c r="AV113" s="362"/>
      <c r="AW113" s="362"/>
      <c r="AX113" s="362"/>
      <c r="AY113" s="362"/>
      <c r="AZ113" s="362"/>
      <c r="BA113" s="362"/>
      <c r="BB113" s="362"/>
      <c r="BC113" s="362"/>
      <c r="BD113" s="362"/>
      <c r="BE113" s="362"/>
      <c r="BF113" s="362"/>
      <c r="BG113" s="362"/>
      <c r="BH113" s="362"/>
      <c r="BI113" s="362"/>
      <c r="BJ113" s="362"/>
      <c r="BK113" s="362"/>
      <c r="BL113" s="362"/>
      <c r="BM113" s="362"/>
      <c r="BN113" s="362"/>
      <c r="BO113" s="362"/>
      <c r="BP113" s="362"/>
      <c r="BQ113" s="362"/>
      <c r="BW113" s="362"/>
      <c r="BX113" s="362"/>
      <c r="BY113" s="362"/>
      <c r="BZ113" s="362"/>
      <c r="CA113" s="362"/>
      <c r="CB113" s="362"/>
      <c r="CC113" s="362"/>
      <c r="CD113" s="362"/>
      <c r="CE113" s="362"/>
      <c r="CF113" s="362"/>
      <c r="CG113" s="362"/>
      <c r="CH113" s="362"/>
      <c r="CI113" s="362"/>
      <c r="CJ113" s="362"/>
      <c r="CK113" s="362"/>
      <c r="CL113" s="362"/>
      <c r="CM113" s="362"/>
      <c r="CN113" s="362"/>
      <c r="CO113" s="362"/>
      <c r="CP113" s="362"/>
      <c r="CQ113" s="362"/>
      <c r="CR113" s="362"/>
    </row>
    <row r="114" spans="2:116" x14ac:dyDescent="0.3">
      <c r="B114" s="77"/>
      <c r="AT114" s="362"/>
      <c r="AU114" s="362"/>
      <c r="AV114" s="362"/>
      <c r="AW114" s="362"/>
      <c r="AX114" s="362"/>
      <c r="AY114" s="362"/>
      <c r="AZ114" s="362"/>
      <c r="BA114" s="362"/>
      <c r="BB114" s="362"/>
      <c r="BC114" s="362"/>
      <c r="BD114" s="362"/>
      <c r="BE114" s="362"/>
      <c r="BF114" s="362"/>
      <c r="BG114" s="362"/>
      <c r="BH114" s="362"/>
      <c r="BI114" s="362"/>
      <c r="BJ114" s="362"/>
      <c r="BK114" s="362"/>
      <c r="BL114" s="362"/>
      <c r="BM114" s="362"/>
      <c r="BN114" s="362"/>
      <c r="BO114" s="362"/>
      <c r="BP114" s="362"/>
      <c r="BQ114" s="362"/>
    </row>
    <row r="115" spans="2:116" x14ac:dyDescent="0.3">
      <c r="B115" s="77"/>
      <c r="AT115" s="362"/>
      <c r="AU115" s="362"/>
      <c r="AV115" s="362"/>
      <c r="AW115" s="362"/>
      <c r="AX115" s="362"/>
      <c r="AY115" s="362"/>
      <c r="AZ115" s="362"/>
      <c r="BA115" s="362"/>
      <c r="BB115" s="362"/>
      <c r="BC115" s="362"/>
      <c r="BD115" s="362"/>
      <c r="BE115" s="362"/>
      <c r="BF115" s="362"/>
      <c r="BG115" s="362"/>
      <c r="BH115" s="362"/>
      <c r="BI115" s="362"/>
      <c r="BJ115" s="362"/>
      <c r="BK115" s="362"/>
      <c r="BL115" s="362"/>
      <c r="BM115" s="362"/>
      <c r="BN115" s="362"/>
      <c r="BO115" s="362"/>
      <c r="BP115" s="362"/>
      <c r="BQ115" s="362"/>
    </row>
    <row r="116" spans="2:116" x14ac:dyDescent="0.3">
      <c r="B116" s="77"/>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D116" s="49"/>
      <c r="CE116" s="49"/>
      <c r="CF116" s="49"/>
      <c r="CG116" s="49"/>
      <c r="CH116" s="49"/>
      <c r="CI116" s="49"/>
      <c r="CJ116" s="49"/>
      <c r="CK116" s="49"/>
      <c r="CL116" s="49"/>
      <c r="CM116" s="49"/>
      <c r="CN116" s="49"/>
      <c r="CO116" s="49"/>
      <c r="CP116" s="49"/>
      <c r="CQ116" s="49"/>
      <c r="CR116" s="49"/>
      <c r="CS116" s="49"/>
      <c r="CT116" s="49"/>
      <c r="CU116" s="49"/>
      <c r="CV116" s="49"/>
      <c r="CW116" s="49"/>
      <c r="CX116" s="49"/>
      <c r="CY116" s="49"/>
      <c r="CZ116" s="49"/>
      <c r="DA116" s="49"/>
      <c r="DB116" s="49"/>
      <c r="DC116" s="49"/>
      <c r="DD116" s="49"/>
      <c r="DE116" s="49"/>
      <c r="DF116" s="49"/>
      <c r="DG116" s="49"/>
      <c r="DH116" s="49"/>
      <c r="DI116" s="49"/>
      <c r="DJ116" s="49"/>
      <c r="DK116" s="49"/>
      <c r="DL116" s="49"/>
    </row>
    <row r="117" spans="2:116" x14ac:dyDescent="0.3">
      <c r="B117" s="77"/>
      <c r="AT117" s="605" t="s">
        <v>352</v>
      </c>
      <c r="AU117" s="362"/>
      <c r="AV117" s="362"/>
      <c r="AW117" s="362"/>
      <c r="AX117" s="362"/>
      <c r="AY117" s="362"/>
      <c r="AZ117" s="362"/>
      <c r="BA117" s="362"/>
      <c r="BB117" s="362"/>
      <c r="BC117" s="362"/>
      <c r="BD117" s="362"/>
      <c r="BE117" s="362"/>
      <c r="BF117" s="362"/>
      <c r="BG117" s="362"/>
      <c r="BH117" s="362"/>
      <c r="BI117" s="362"/>
      <c r="BJ117" s="362"/>
      <c r="BK117" s="362"/>
      <c r="BL117" s="362"/>
      <c r="BM117" s="362"/>
      <c r="BN117" s="362"/>
      <c r="BO117" s="362"/>
      <c r="BP117" s="362"/>
      <c r="BQ117" s="362"/>
      <c r="BR117" s="362"/>
      <c r="BS117" s="362"/>
      <c r="BT117" s="362"/>
      <c r="BU117" s="362"/>
      <c r="BV117" s="362"/>
      <c r="BW117" s="362"/>
      <c r="BX117" s="362"/>
      <c r="BY117" s="362"/>
      <c r="BZ117" s="362"/>
      <c r="CA117" s="362"/>
      <c r="CB117" s="362"/>
      <c r="CC117" s="362"/>
      <c r="CD117" s="605" t="s">
        <v>352</v>
      </c>
      <c r="CE117" s="362"/>
      <c r="CF117" s="362"/>
      <c r="CG117" s="362"/>
      <c r="CH117" s="362"/>
      <c r="CI117" s="362"/>
      <c r="CJ117" s="362"/>
      <c r="CK117" s="362"/>
      <c r="CL117" s="362"/>
      <c r="CM117" s="362"/>
      <c r="CN117" s="362"/>
      <c r="CO117" s="362"/>
      <c r="CP117" s="362"/>
      <c r="CQ117" s="362"/>
      <c r="CR117" s="362"/>
      <c r="CS117" s="362"/>
      <c r="CT117" s="362"/>
      <c r="CU117" s="362"/>
      <c r="CV117" s="362"/>
      <c r="CW117" s="362"/>
      <c r="CX117" s="362"/>
      <c r="CY117" s="362"/>
      <c r="CZ117" s="362"/>
      <c r="DA117" s="362"/>
      <c r="DB117" s="362"/>
      <c r="DC117" s="362"/>
      <c r="DD117" s="362"/>
      <c r="DE117" s="362"/>
      <c r="DF117" s="362"/>
      <c r="DG117" s="362"/>
      <c r="DH117" s="362"/>
      <c r="DI117" s="362"/>
      <c r="DJ117" s="362"/>
    </row>
    <row r="118" spans="2:116" x14ac:dyDescent="0.3">
      <c r="B118" s="77"/>
      <c r="AT118" s="362" t="s">
        <v>203</v>
      </c>
      <c r="AU118" s="362" t="s">
        <v>247</v>
      </c>
      <c r="AV118" s="362" t="s">
        <v>111</v>
      </c>
      <c r="AW118" s="362" t="s">
        <v>353</v>
      </c>
      <c r="AX118" s="362" t="s">
        <v>921</v>
      </c>
      <c r="AY118" s="362" t="s">
        <v>354</v>
      </c>
      <c r="AZ118" s="362" t="s">
        <v>355</v>
      </c>
      <c r="BA118" s="362" t="s">
        <v>356</v>
      </c>
      <c r="BB118" s="362" t="s">
        <v>112</v>
      </c>
      <c r="BC118" s="362" t="s">
        <v>357</v>
      </c>
      <c r="BD118" s="362" t="s">
        <v>113</v>
      </c>
      <c r="BE118" s="362" t="s">
        <v>417</v>
      </c>
      <c r="BF118" s="362" t="s">
        <v>418</v>
      </c>
      <c r="BG118" s="362" t="s">
        <v>419</v>
      </c>
      <c r="BH118" s="362"/>
      <c r="BI118" s="362" t="s">
        <v>358</v>
      </c>
      <c r="BJ118" s="362" t="s">
        <v>359</v>
      </c>
      <c r="BK118" s="362" t="s">
        <v>360</v>
      </c>
      <c r="BL118" s="362" t="s">
        <v>361</v>
      </c>
      <c r="BM118" s="362" t="s">
        <v>362</v>
      </c>
      <c r="BN118" s="362" t="s">
        <v>363</v>
      </c>
      <c r="BO118" s="362" t="s">
        <v>420</v>
      </c>
      <c r="BP118" s="362" t="s">
        <v>421</v>
      </c>
      <c r="BQ118" s="362" t="s">
        <v>422</v>
      </c>
      <c r="BR118" s="362"/>
      <c r="BS118" s="362" t="s">
        <v>364</v>
      </c>
      <c r="BT118" s="362" t="s">
        <v>365</v>
      </c>
      <c r="BU118" s="362" t="s">
        <v>366</v>
      </c>
      <c r="BV118" s="362" t="s">
        <v>367</v>
      </c>
      <c r="BW118" s="362" t="s">
        <v>368</v>
      </c>
      <c r="BX118" s="362" t="s">
        <v>369</v>
      </c>
      <c r="BY118" s="362" t="s">
        <v>423</v>
      </c>
      <c r="BZ118" s="362" t="s">
        <v>424</v>
      </c>
      <c r="CA118" s="362" t="s">
        <v>425</v>
      </c>
      <c r="CB118" s="362"/>
      <c r="CC118" s="362"/>
      <c r="CD118" s="362" t="s">
        <v>203</v>
      </c>
      <c r="CE118" s="362" t="s">
        <v>247</v>
      </c>
      <c r="CF118" s="362" t="s">
        <v>111</v>
      </c>
      <c r="CG118" s="362" t="s">
        <v>353</v>
      </c>
      <c r="CH118" s="362" t="s">
        <v>921</v>
      </c>
      <c r="CI118" s="362" t="s">
        <v>354</v>
      </c>
      <c r="CJ118" s="362" t="s">
        <v>355</v>
      </c>
      <c r="CK118" s="362" t="s">
        <v>356</v>
      </c>
      <c r="CL118" s="362" t="s">
        <v>112</v>
      </c>
      <c r="CM118" s="362" t="s">
        <v>357</v>
      </c>
      <c r="CN118" s="362" t="s">
        <v>113</v>
      </c>
      <c r="CO118" s="362" t="s">
        <v>417</v>
      </c>
      <c r="CP118" s="362" t="s">
        <v>418</v>
      </c>
      <c r="CQ118" s="362" t="s">
        <v>419</v>
      </c>
      <c r="CR118" s="362"/>
      <c r="CS118" s="362" t="s">
        <v>358</v>
      </c>
      <c r="CT118" s="362" t="s">
        <v>359</v>
      </c>
      <c r="CU118" s="362" t="s">
        <v>360</v>
      </c>
      <c r="CV118" s="362" t="s">
        <v>361</v>
      </c>
      <c r="CW118" s="362" t="s">
        <v>362</v>
      </c>
      <c r="CX118" s="362" t="s">
        <v>363</v>
      </c>
      <c r="CY118" s="362" t="s">
        <v>420</v>
      </c>
      <c r="CZ118" s="362" t="s">
        <v>421</v>
      </c>
      <c r="DA118" s="362" t="s">
        <v>422</v>
      </c>
      <c r="DB118" s="362"/>
      <c r="DC118" s="362" t="s">
        <v>364</v>
      </c>
      <c r="DD118" s="362" t="s">
        <v>365</v>
      </c>
      <c r="DE118" s="362" t="s">
        <v>366</v>
      </c>
      <c r="DF118" s="362" t="s">
        <v>367</v>
      </c>
      <c r="DG118" s="362" t="s">
        <v>368</v>
      </c>
      <c r="DH118" s="362" t="s">
        <v>369</v>
      </c>
      <c r="DI118" s="362" t="s">
        <v>423</v>
      </c>
      <c r="DJ118" s="362" t="s">
        <v>424</v>
      </c>
      <c r="DK118" s="378" t="s">
        <v>425</v>
      </c>
    </row>
    <row r="119" spans="2:116" x14ac:dyDescent="0.3">
      <c r="B119" s="77"/>
      <c r="AT119" s="362" t="s">
        <v>212</v>
      </c>
      <c r="AU119" s="362"/>
      <c r="AV119" s="362"/>
      <c r="AW119" s="362"/>
      <c r="AX119" s="362"/>
      <c r="AY119" s="362"/>
      <c r="AZ119" s="362"/>
      <c r="BA119" s="362"/>
      <c r="BB119" s="362" t="s">
        <v>370</v>
      </c>
      <c r="BC119" s="362"/>
      <c r="BD119" s="362"/>
      <c r="BE119" s="362"/>
      <c r="BF119" s="362"/>
      <c r="BG119" s="362"/>
      <c r="BH119" s="362"/>
      <c r="BI119" s="362" t="s">
        <v>371</v>
      </c>
      <c r="BJ119" s="362"/>
      <c r="BK119" s="362"/>
      <c r="BL119" s="362"/>
      <c r="BM119" s="362"/>
      <c r="BN119" s="362"/>
      <c r="BO119" s="362"/>
      <c r="BP119" s="362"/>
      <c r="BQ119" s="362"/>
      <c r="BR119" s="362"/>
      <c r="BS119" s="362" t="s">
        <v>372</v>
      </c>
      <c r="BT119" s="362"/>
      <c r="BU119" s="362"/>
      <c r="BV119" s="362"/>
      <c r="BW119" s="362"/>
      <c r="BX119" s="362"/>
      <c r="BY119" s="362"/>
      <c r="BZ119" s="362"/>
      <c r="CA119" s="362"/>
      <c r="CB119" s="362"/>
      <c r="CC119" s="362"/>
      <c r="CD119" s="362" t="s">
        <v>212</v>
      </c>
      <c r="CE119" s="362"/>
      <c r="CF119" s="362"/>
      <c r="CG119" s="362"/>
      <c r="CH119" s="362"/>
      <c r="CI119" s="362"/>
      <c r="CJ119" s="362"/>
      <c r="CK119" s="362"/>
      <c r="CL119" s="362" t="s">
        <v>370</v>
      </c>
      <c r="CM119" s="362"/>
      <c r="CN119" s="362"/>
      <c r="CO119" s="362"/>
      <c r="CP119" s="362"/>
      <c r="CQ119" s="362"/>
      <c r="CR119" s="362"/>
      <c r="CS119" s="362" t="s">
        <v>371</v>
      </c>
      <c r="CT119" s="362"/>
      <c r="CU119" s="362"/>
      <c r="CV119" s="362"/>
      <c r="CW119" s="362"/>
      <c r="CX119" s="362"/>
      <c r="CY119" s="362"/>
      <c r="CZ119" s="362"/>
      <c r="DA119" s="362"/>
      <c r="DB119" s="362"/>
      <c r="DC119" s="362" t="s">
        <v>372</v>
      </c>
      <c r="DD119" s="362"/>
      <c r="DE119" s="362"/>
      <c r="DF119" s="362"/>
      <c r="DG119" s="362"/>
      <c r="DH119" s="362"/>
      <c r="DI119" s="362"/>
      <c r="DJ119" s="362"/>
    </row>
    <row r="120" spans="2:116" x14ac:dyDescent="0.3">
      <c r="B120" s="77"/>
      <c r="AT120" s="362" t="s">
        <v>203</v>
      </c>
      <c r="AU120" s="362" t="s">
        <v>190</v>
      </c>
      <c r="AV120" s="362" t="s">
        <v>330</v>
      </c>
      <c r="AW120" s="362" t="s">
        <v>294</v>
      </c>
      <c r="AX120" s="362" t="s">
        <v>644</v>
      </c>
      <c r="AY120" s="362" t="s">
        <v>373</v>
      </c>
      <c r="AZ120" s="362" t="s">
        <v>374</v>
      </c>
      <c r="BA120" s="362" t="s">
        <v>375</v>
      </c>
      <c r="BB120" s="362" t="s">
        <v>376</v>
      </c>
      <c r="BC120" s="362" t="s">
        <v>377</v>
      </c>
      <c r="BD120" s="362" t="s">
        <v>378</v>
      </c>
      <c r="BE120" s="362" t="s">
        <v>379</v>
      </c>
      <c r="BF120" s="362" t="s">
        <v>380</v>
      </c>
      <c r="BG120" s="362" t="s">
        <v>381</v>
      </c>
      <c r="BH120" s="362"/>
      <c r="BI120" s="362" t="s">
        <v>382</v>
      </c>
      <c r="BJ120" s="362" t="s">
        <v>383</v>
      </c>
      <c r="BK120" s="362" t="s">
        <v>384</v>
      </c>
      <c r="BL120" s="362" t="s">
        <v>376</v>
      </c>
      <c r="BM120" s="362" t="s">
        <v>377</v>
      </c>
      <c r="BN120" s="362" t="s">
        <v>378</v>
      </c>
      <c r="BO120" s="362" t="s">
        <v>379</v>
      </c>
      <c r="BP120" s="362" t="s">
        <v>380</v>
      </c>
      <c r="BQ120" s="362" t="s">
        <v>381</v>
      </c>
      <c r="BR120" s="362"/>
      <c r="BS120" s="362" t="s">
        <v>382</v>
      </c>
      <c r="BT120" s="362" t="s">
        <v>383</v>
      </c>
      <c r="BU120" s="362" t="s">
        <v>384</v>
      </c>
      <c r="BV120" s="362" t="s">
        <v>376</v>
      </c>
      <c r="BW120" s="362" t="s">
        <v>377</v>
      </c>
      <c r="BX120" s="362" t="s">
        <v>378</v>
      </c>
      <c r="BY120" s="362" t="s">
        <v>379</v>
      </c>
      <c r="BZ120" s="362" t="s">
        <v>380</v>
      </c>
      <c r="CA120" s="362" t="s">
        <v>381</v>
      </c>
      <c r="CB120" s="362"/>
      <c r="CC120" s="362"/>
      <c r="CD120" s="362" t="s">
        <v>203</v>
      </c>
      <c r="CE120" s="362" t="s">
        <v>190</v>
      </c>
      <c r="CF120" s="362" t="s">
        <v>330</v>
      </c>
      <c r="CG120" s="362" t="s">
        <v>294</v>
      </c>
      <c r="CH120" s="362" t="s">
        <v>644</v>
      </c>
      <c r="CI120" s="362" t="s">
        <v>373</v>
      </c>
      <c r="CJ120" s="362" t="s">
        <v>374</v>
      </c>
      <c r="CK120" s="362" t="s">
        <v>375</v>
      </c>
      <c r="CL120" s="362" t="s">
        <v>376</v>
      </c>
      <c r="CM120" s="362" t="s">
        <v>377</v>
      </c>
      <c r="CN120" s="362" t="s">
        <v>378</v>
      </c>
      <c r="CO120" s="362" t="s">
        <v>379</v>
      </c>
      <c r="CP120" s="362" t="s">
        <v>380</v>
      </c>
      <c r="CQ120" s="362" t="s">
        <v>381</v>
      </c>
      <c r="CR120" s="362"/>
      <c r="CS120" s="362" t="s">
        <v>382</v>
      </c>
      <c r="CT120" s="362" t="s">
        <v>383</v>
      </c>
      <c r="CU120" s="362" t="s">
        <v>384</v>
      </c>
      <c r="CV120" s="362" t="s">
        <v>376</v>
      </c>
      <c r="CW120" s="362" t="s">
        <v>377</v>
      </c>
      <c r="CX120" s="362" t="s">
        <v>378</v>
      </c>
      <c r="CY120" s="362" t="s">
        <v>379</v>
      </c>
      <c r="CZ120" s="362" t="s">
        <v>380</v>
      </c>
      <c r="DA120" s="362" t="s">
        <v>381</v>
      </c>
      <c r="DB120" s="362"/>
      <c r="DC120" s="362" t="s">
        <v>382</v>
      </c>
      <c r="DD120" s="362" t="s">
        <v>383</v>
      </c>
      <c r="DE120" s="362" t="s">
        <v>384</v>
      </c>
      <c r="DF120" s="362" t="s">
        <v>376</v>
      </c>
      <c r="DG120" s="362" t="s">
        <v>377</v>
      </c>
      <c r="DH120" s="362" t="s">
        <v>378</v>
      </c>
      <c r="DI120" s="362" t="s">
        <v>379</v>
      </c>
      <c r="DJ120" s="362" t="s">
        <v>380</v>
      </c>
      <c r="DK120" s="378" t="s">
        <v>381</v>
      </c>
    </row>
    <row r="121" spans="2:116" x14ac:dyDescent="0.3">
      <c r="B121" s="77"/>
      <c r="AT121" s="362"/>
      <c r="AU121" s="362"/>
      <c r="AV121" s="362" t="s">
        <v>109</v>
      </c>
      <c r="AW121" s="362"/>
      <c r="AX121" s="362" t="s">
        <v>109</v>
      </c>
      <c r="AY121" s="362"/>
      <c r="AZ121" s="362"/>
      <c r="BA121" s="362"/>
      <c r="BB121" s="362" t="s">
        <v>109</v>
      </c>
      <c r="BC121" s="362" t="s">
        <v>164</v>
      </c>
      <c r="BD121" s="362" t="s">
        <v>83</v>
      </c>
      <c r="BE121" s="362" t="s">
        <v>191</v>
      </c>
      <c r="BF121" s="362"/>
      <c r="BG121" s="362" t="s">
        <v>191</v>
      </c>
      <c r="BH121" s="362"/>
      <c r="BI121" s="362"/>
      <c r="BJ121" s="362"/>
      <c r="BK121" s="362"/>
      <c r="BL121" s="362" t="s">
        <v>109</v>
      </c>
      <c r="BM121" s="362" t="s">
        <v>164</v>
      </c>
      <c r="BN121" s="362" t="s">
        <v>83</v>
      </c>
      <c r="BO121" s="362" t="s">
        <v>191</v>
      </c>
      <c r="BP121" s="362"/>
      <c r="BQ121" s="362" t="s">
        <v>191</v>
      </c>
      <c r="BR121" s="362"/>
      <c r="BS121" s="362"/>
      <c r="BT121" s="362"/>
      <c r="BU121" s="362"/>
      <c r="BV121" s="362" t="s">
        <v>109</v>
      </c>
      <c r="BW121" s="362" t="s">
        <v>164</v>
      </c>
      <c r="BX121" s="362" t="s">
        <v>83</v>
      </c>
      <c r="BY121" s="362" t="s">
        <v>191</v>
      </c>
      <c r="BZ121" s="362"/>
      <c r="CA121" s="362" t="s">
        <v>191</v>
      </c>
      <c r="CB121" s="362"/>
      <c r="CC121" s="362"/>
      <c r="CD121" s="362"/>
      <c r="CE121" s="362"/>
      <c r="CF121" s="362" t="s">
        <v>109</v>
      </c>
      <c r="CG121" s="362"/>
      <c r="CH121" s="362" t="s">
        <v>109</v>
      </c>
      <c r="CI121" s="362"/>
      <c r="CJ121" s="362"/>
      <c r="CK121" s="362"/>
      <c r="CL121" s="362" t="s">
        <v>109</v>
      </c>
      <c r="CM121" s="362" t="s">
        <v>164</v>
      </c>
      <c r="CN121" s="362" t="s">
        <v>83</v>
      </c>
      <c r="CO121" s="362" t="s">
        <v>191</v>
      </c>
      <c r="CP121" s="362"/>
      <c r="CQ121" s="362" t="s">
        <v>191</v>
      </c>
      <c r="CR121" s="362"/>
      <c r="CS121" s="362"/>
      <c r="CT121" s="362"/>
      <c r="CU121" s="362"/>
      <c r="CV121" s="362" t="s">
        <v>109</v>
      </c>
      <c r="CW121" s="362" t="s">
        <v>164</v>
      </c>
      <c r="CX121" s="362" t="s">
        <v>83</v>
      </c>
      <c r="CY121" s="362" t="s">
        <v>191</v>
      </c>
      <c r="CZ121" s="362"/>
      <c r="DA121" s="362" t="s">
        <v>191</v>
      </c>
      <c r="DB121" s="362"/>
      <c r="DC121" s="362"/>
      <c r="DD121" s="362"/>
      <c r="DE121" s="362"/>
      <c r="DF121" s="362" t="s">
        <v>109</v>
      </c>
      <c r="DG121" s="362" t="s">
        <v>164</v>
      </c>
      <c r="DH121" s="362" t="s">
        <v>83</v>
      </c>
      <c r="DI121" s="362" t="s">
        <v>191</v>
      </c>
      <c r="DJ121" s="362"/>
      <c r="DK121" s="378" t="s">
        <v>191</v>
      </c>
    </row>
    <row r="122" spans="2:116" x14ac:dyDescent="0.3">
      <c r="B122" s="77"/>
      <c r="AT122" s="362"/>
      <c r="AU122" s="362"/>
      <c r="AV122" s="362"/>
      <c r="AW122" s="362"/>
      <c r="AX122" s="362"/>
      <c r="AY122" s="362"/>
      <c r="AZ122" s="362"/>
      <c r="BA122" s="362"/>
      <c r="BB122" s="362"/>
      <c r="BC122" s="362"/>
      <c r="BD122" s="362"/>
      <c r="BE122" s="362"/>
      <c r="BF122" s="362"/>
      <c r="BG122" s="362"/>
      <c r="BH122" s="362"/>
      <c r="BI122" s="362"/>
      <c r="BJ122" s="362"/>
      <c r="BK122" s="362"/>
      <c r="BL122" s="362"/>
      <c r="BM122" s="362"/>
      <c r="BN122" s="362"/>
      <c r="BO122" s="362"/>
      <c r="BP122" s="362"/>
      <c r="BQ122" s="362"/>
      <c r="BR122" s="362"/>
      <c r="BS122" s="362"/>
      <c r="BT122" s="362"/>
      <c r="BU122" s="362"/>
      <c r="BV122" s="362"/>
      <c r="BW122" s="362"/>
      <c r="BX122" s="362"/>
      <c r="BY122" s="362"/>
      <c r="BZ122" s="362"/>
      <c r="CA122" s="362"/>
      <c r="CB122" s="362"/>
      <c r="CC122" s="362"/>
      <c r="CD122" s="362"/>
      <c r="CE122" s="362"/>
      <c r="CF122" s="362"/>
      <c r="CG122" s="362"/>
      <c r="CH122" s="362"/>
      <c r="CI122" s="362"/>
      <c r="CJ122" s="362"/>
      <c r="CK122" s="362"/>
      <c r="CL122" s="362"/>
      <c r="CM122" s="362"/>
      <c r="CN122" s="362"/>
      <c r="CO122" s="362"/>
      <c r="CP122" s="362"/>
      <c r="CQ122" s="362"/>
      <c r="CR122" s="362"/>
      <c r="CS122" s="362"/>
      <c r="CT122" s="362"/>
      <c r="CU122" s="362"/>
      <c r="CV122" s="362"/>
      <c r="CW122" s="362"/>
      <c r="CX122" s="362"/>
      <c r="CY122" s="362"/>
      <c r="CZ122" s="362"/>
      <c r="DA122" s="362"/>
      <c r="DB122" s="362"/>
      <c r="DC122" s="362"/>
      <c r="DD122" s="362"/>
      <c r="DE122" s="362"/>
      <c r="DF122" s="362"/>
      <c r="DG122" s="362"/>
      <c r="DH122" s="362"/>
      <c r="DI122" s="362"/>
      <c r="DJ122" s="362"/>
    </row>
    <row r="123" spans="2:116" x14ac:dyDescent="0.3">
      <c r="B123" s="77"/>
      <c r="AT123" s="362"/>
      <c r="AU123" s="362"/>
      <c r="AV123" s="362"/>
      <c r="AW123" s="362"/>
      <c r="AX123" s="362"/>
      <c r="AY123" s="362"/>
      <c r="AZ123" s="362"/>
      <c r="BA123" s="362"/>
      <c r="BB123" s="362"/>
      <c r="BC123" s="362"/>
      <c r="BD123" s="362"/>
      <c r="BE123" s="362"/>
      <c r="BF123" s="362"/>
      <c r="BG123" s="362"/>
      <c r="BH123" s="362"/>
      <c r="BI123" s="362"/>
      <c r="BJ123" s="362"/>
      <c r="BK123" s="362"/>
      <c r="BL123" s="362"/>
      <c r="BM123" s="362"/>
      <c r="BN123" s="362"/>
      <c r="BO123" s="362"/>
      <c r="BP123" s="362"/>
      <c r="BQ123" s="362"/>
      <c r="BR123" s="362"/>
      <c r="BS123" s="362"/>
      <c r="BT123" s="362"/>
      <c r="BU123" s="362"/>
      <c r="BV123" s="362"/>
      <c r="BW123" s="362"/>
      <c r="BX123" s="362"/>
      <c r="BY123" s="362"/>
      <c r="BZ123" s="362"/>
      <c r="CA123" s="362"/>
      <c r="CB123" s="362"/>
      <c r="CC123" s="362"/>
      <c r="CD123" s="362"/>
      <c r="CE123" s="362"/>
      <c r="CF123" s="362"/>
      <c r="CG123" s="362"/>
      <c r="CH123" s="362"/>
      <c r="CI123" s="362"/>
      <c r="CJ123" s="362"/>
      <c r="CK123" s="362"/>
      <c r="CL123" s="362"/>
      <c r="CM123" s="362"/>
      <c r="CN123" s="362"/>
      <c r="CO123" s="362"/>
      <c r="CP123" s="362"/>
      <c r="CQ123" s="362"/>
      <c r="CR123" s="362"/>
      <c r="CS123" s="362"/>
      <c r="CT123" s="362"/>
      <c r="CU123" s="362"/>
      <c r="CV123" s="362"/>
      <c r="CW123" s="362"/>
      <c r="CX123" s="362"/>
      <c r="CY123" s="362"/>
      <c r="CZ123" s="362"/>
      <c r="DA123" s="362"/>
      <c r="DB123" s="362"/>
      <c r="DC123" s="362"/>
      <c r="DD123" s="362"/>
      <c r="DE123" s="362"/>
      <c r="DF123" s="362"/>
      <c r="DG123" s="362"/>
      <c r="DH123" s="362"/>
      <c r="DI123" s="362"/>
      <c r="DJ123" s="362"/>
    </row>
    <row r="124" spans="2:116" x14ac:dyDescent="0.3">
      <c r="B124" s="77"/>
      <c r="AT124" s="362"/>
      <c r="AU124" s="362"/>
      <c r="AV124" s="362"/>
      <c r="AW124" s="362"/>
      <c r="AX124" s="362"/>
      <c r="AY124" s="362"/>
      <c r="AZ124" s="362"/>
      <c r="BA124" s="362"/>
      <c r="BB124" s="362"/>
      <c r="BC124" s="362"/>
      <c r="BD124" s="362"/>
      <c r="BE124" s="362"/>
      <c r="BF124" s="362"/>
      <c r="BG124" s="362"/>
      <c r="BH124" s="362"/>
      <c r="BI124" s="362"/>
      <c r="BJ124" s="362"/>
      <c r="BK124" s="362"/>
      <c r="BL124" s="362"/>
      <c r="BM124" s="362"/>
      <c r="BN124" s="362"/>
      <c r="BO124" s="362"/>
      <c r="BP124" s="362"/>
      <c r="BQ124" s="362"/>
      <c r="BR124" s="362"/>
      <c r="BS124" s="362"/>
      <c r="BT124" s="362"/>
      <c r="BU124" s="362"/>
      <c r="BV124" s="362"/>
      <c r="BW124" s="362"/>
      <c r="BX124" s="362"/>
      <c r="BY124" s="362"/>
      <c r="BZ124" s="362"/>
      <c r="CA124" s="362"/>
      <c r="CB124" s="362"/>
      <c r="CC124" s="362"/>
      <c r="CD124" s="362"/>
      <c r="CE124" s="362"/>
      <c r="CF124" s="362"/>
      <c r="CG124" s="362"/>
      <c r="CH124" s="362"/>
      <c r="CI124" s="362"/>
      <c r="CJ124" s="362"/>
      <c r="CK124" s="362"/>
      <c r="CL124" s="362"/>
      <c r="CM124" s="362"/>
      <c r="CN124" s="362"/>
      <c r="CO124" s="362"/>
      <c r="CP124" s="362"/>
      <c r="CQ124" s="362"/>
      <c r="CR124" s="362"/>
      <c r="CS124" s="362"/>
      <c r="CT124" s="362"/>
      <c r="CU124" s="362"/>
      <c r="CV124" s="362"/>
      <c r="CW124" s="362"/>
      <c r="CX124" s="362"/>
      <c r="CY124" s="362"/>
      <c r="CZ124" s="362"/>
      <c r="DA124" s="362"/>
      <c r="DB124" s="362"/>
      <c r="DC124" s="362"/>
      <c r="DD124" s="362"/>
      <c r="DE124" s="362"/>
      <c r="DF124" s="362"/>
      <c r="DG124" s="362"/>
      <c r="DH124" s="362"/>
      <c r="DI124" s="362"/>
      <c r="DJ124" s="362"/>
    </row>
    <row r="125" spans="2:116" x14ac:dyDescent="0.3">
      <c r="B125" s="77"/>
      <c r="AT125" s="362"/>
      <c r="AU125" s="362"/>
      <c r="AV125" s="362"/>
      <c r="AW125" s="362"/>
      <c r="AX125" s="362"/>
      <c r="AY125" s="362"/>
      <c r="AZ125" s="362"/>
      <c r="BA125" s="362"/>
      <c r="BB125" s="362"/>
      <c r="BC125" s="362"/>
      <c r="BD125" s="362"/>
      <c r="BE125" s="362"/>
      <c r="BF125" s="362"/>
      <c r="BG125" s="362"/>
      <c r="BH125" s="362"/>
      <c r="BI125" s="362"/>
      <c r="BJ125" s="362"/>
      <c r="BK125" s="362"/>
      <c r="BL125" s="362"/>
      <c r="BM125" s="362"/>
      <c r="BN125" s="362"/>
      <c r="BO125" s="362"/>
      <c r="BP125" s="362"/>
      <c r="BQ125" s="362"/>
      <c r="BR125" s="362"/>
      <c r="BS125" s="362"/>
      <c r="BT125" s="362"/>
      <c r="BU125" s="362"/>
      <c r="BV125" s="362"/>
      <c r="BW125" s="362"/>
      <c r="BX125" s="362"/>
      <c r="BY125" s="362"/>
      <c r="BZ125" s="362"/>
      <c r="CA125" s="362"/>
      <c r="CB125" s="362"/>
      <c r="CC125" s="362"/>
      <c r="CD125" s="362"/>
      <c r="CE125" s="362"/>
      <c r="CF125" s="362"/>
      <c r="CG125" s="362"/>
      <c r="CH125" s="362"/>
      <c r="CI125" s="362"/>
      <c r="CJ125" s="362"/>
      <c r="CK125" s="362"/>
      <c r="CL125" s="362"/>
      <c r="CM125" s="362"/>
      <c r="CN125" s="362"/>
      <c r="CO125" s="362"/>
      <c r="CP125" s="362"/>
      <c r="CQ125" s="362"/>
      <c r="CR125" s="362"/>
      <c r="CS125" s="362"/>
      <c r="CT125" s="362"/>
      <c r="CU125" s="362"/>
      <c r="CV125" s="362"/>
      <c r="CW125" s="362"/>
      <c r="CX125" s="362"/>
      <c r="CY125" s="362"/>
      <c r="CZ125" s="362"/>
      <c r="DA125" s="362"/>
      <c r="DB125" s="362"/>
      <c r="DC125" s="362"/>
      <c r="DD125" s="362"/>
      <c r="DE125" s="362"/>
      <c r="DF125" s="362"/>
      <c r="DG125" s="362"/>
      <c r="DH125" s="362"/>
      <c r="DI125" s="362"/>
      <c r="DJ125" s="362"/>
    </row>
    <row r="126" spans="2:116" x14ac:dyDescent="0.3">
      <c r="B126" s="77"/>
      <c r="AT126" s="362"/>
      <c r="AU126" s="362"/>
      <c r="AV126" s="362"/>
      <c r="AW126" s="362"/>
      <c r="AX126" s="362"/>
      <c r="AY126" s="362"/>
      <c r="AZ126" s="362"/>
      <c r="BA126" s="362"/>
      <c r="BB126" s="362"/>
      <c r="BC126" s="362"/>
      <c r="BD126" s="362"/>
      <c r="BE126" s="362"/>
      <c r="BF126" s="362"/>
      <c r="BG126" s="362"/>
      <c r="BH126" s="362"/>
      <c r="BI126" s="362"/>
      <c r="BJ126" s="362"/>
      <c r="BK126" s="362"/>
      <c r="BL126" s="362"/>
      <c r="BM126" s="362"/>
      <c r="BN126" s="362"/>
      <c r="BO126" s="362"/>
      <c r="BP126" s="362"/>
      <c r="BQ126" s="362"/>
      <c r="BR126" s="362"/>
      <c r="BS126" s="362"/>
      <c r="BT126" s="362"/>
      <c r="BU126" s="362"/>
      <c r="BV126" s="362"/>
      <c r="BW126" s="362"/>
      <c r="BX126" s="362"/>
      <c r="BY126" s="362"/>
      <c r="BZ126" s="362"/>
      <c r="CA126" s="362"/>
      <c r="CB126" s="362"/>
      <c r="CC126" s="362"/>
      <c r="CD126" s="362"/>
      <c r="CE126" s="362"/>
      <c r="CF126" s="362"/>
      <c r="CG126" s="362"/>
      <c r="CH126" s="362"/>
      <c r="CI126" s="362"/>
      <c r="CJ126" s="362"/>
      <c r="CK126" s="362"/>
      <c r="CL126" s="362"/>
      <c r="CM126" s="362"/>
      <c r="CN126" s="362"/>
      <c r="CO126" s="362"/>
      <c r="CP126" s="362"/>
      <c r="CQ126" s="362"/>
      <c r="CR126" s="362"/>
      <c r="CS126" s="362"/>
      <c r="CT126" s="362"/>
      <c r="CU126" s="362"/>
      <c r="CV126" s="362"/>
      <c r="CW126" s="362"/>
      <c r="CX126" s="362"/>
      <c r="CY126" s="362"/>
      <c r="CZ126" s="362"/>
      <c r="DA126" s="362"/>
      <c r="DB126" s="362"/>
      <c r="DC126" s="362"/>
      <c r="DD126" s="362"/>
      <c r="DE126" s="362"/>
      <c r="DF126" s="362"/>
      <c r="DG126" s="362"/>
      <c r="DH126" s="362"/>
      <c r="DI126" s="362"/>
      <c r="DJ126" s="362"/>
    </row>
    <row r="127" spans="2:116" x14ac:dyDescent="0.3">
      <c r="B127" s="77"/>
      <c r="AT127" s="362"/>
      <c r="AU127" s="362"/>
      <c r="AV127" s="362"/>
      <c r="AW127" s="362"/>
      <c r="AX127" s="362"/>
      <c r="AY127" s="362"/>
      <c r="AZ127" s="362"/>
      <c r="BA127" s="362"/>
      <c r="BB127" s="362"/>
      <c r="BC127" s="362"/>
      <c r="BD127" s="362"/>
      <c r="BE127" s="362"/>
      <c r="BF127" s="362"/>
      <c r="BG127" s="362"/>
      <c r="BH127" s="362"/>
      <c r="BI127" s="362"/>
      <c r="BJ127" s="362"/>
      <c r="BK127" s="362"/>
      <c r="BL127" s="362"/>
      <c r="BM127" s="362"/>
      <c r="BN127" s="362"/>
      <c r="BO127" s="362"/>
      <c r="BP127" s="362"/>
      <c r="BQ127" s="362"/>
      <c r="BR127" s="362"/>
      <c r="BS127" s="362"/>
      <c r="BT127" s="362"/>
      <c r="BU127" s="362"/>
      <c r="BV127" s="362"/>
      <c r="BW127" s="362"/>
      <c r="BX127" s="362"/>
      <c r="BY127" s="362"/>
      <c r="BZ127" s="362"/>
      <c r="CA127" s="362"/>
      <c r="CB127" s="362"/>
      <c r="CC127" s="362"/>
      <c r="CD127" s="362"/>
      <c r="CE127" s="362"/>
      <c r="CF127" s="362"/>
      <c r="CG127" s="362"/>
      <c r="CH127" s="362"/>
      <c r="CI127" s="362"/>
      <c r="CJ127" s="362"/>
      <c r="CK127" s="362"/>
      <c r="CL127" s="362"/>
      <c r="CM127" s="362"/>
      <c r="CN127" s="362"/>
      <c r="CO127" s="362"/>
      <c r="CP127" s="362"/>
      <c r="CQ127" s="362"/>
      <c r="CR127" s="362"/>
      <c r="CS127" s="362"/>
      <c r="CT127" s="362"/>
      <c r="CU127" s="362"/>
      <c r="CV127" s="362"/>
      <c r="CW127" s="362"/>
      <c r="CX127" s="362"/>
      <c r="CY127" s="362"/>
      <c r="CZ127" s="362"/>
      <c r="DA127" s="362"/>
      <c r="DB127" s="362"/>
      <c r="DC127" s="362"/>
      <c r="DD127" s="362"/>
      <c r="DE127" s="362"/>
      <c r="DF127" s="362"/>
      <c r="DG127" s="362"/>
      <c r="DH127" s="362"/>
      <c r="DI127" s="362"/>
      <c r="DJ127" s="362"/>
    </row>
    <row r="128" spans="2:116" x14ac:dyDescent="0.3">
      <c r="B128" s="77"/>
      <c r="AT128" s="362"/>
      <c r="AU128" s="362"/>
      <c r="AV128" s="362"/>
      <c r="AW128" s="362"/>
      <c r="AX128" s="362"/>
      <c r="AY128" s="362"/>
      <c r="AZ128" s="362"/>
      <c r="BA128" s="362"/>
      <c r="BB128" s="362"/>
      <c r="BC128" s="362"/>
      <c r="BD128" s="362"/>
      <c r="BE128" s="362"/>
      <c r="BF128" s="362"/>
      <c r="BG128" s="362"/>
      <c r="BH128" s="362"/>
      <c r="BI128" s="362"/>
      <c r="BJ128" s="362"/>
      <c r="BK128" s="362"/>
      <c r="BL128" s="362"/>
      <c r="BM128" s="362"/>
      <c r="BN128" s="362"/>
      <c r="BO128" s="362"/>
      <c r="BP128" s="362"/>
      <c r="BQ128" s="362"/>
      <c r="BR128" s="362"/>
      <c r="BS128" s="362"/>
      <c r="BT128" s="362"/>
      <c r="BU128" s="362"/>
      <c r="BV128" s="362"/>
      <c r="BW128" s="362"/>
      <c r="BX128" s="362"/>
      <c r="BY128" s="362"/>
      <c r="BZ128" s="362"/>
      <c r="CA128" s="362"/>
      <c r="CB128" s="362"/>
      <c r="CC128" s="362"/>
      <c r="CD128" s="362"/>
      <c r="CE128" s="362"/>
      <c r="CF128" s="362"/>
      <c r="CG128" s="362"/>
      <c r="CH128" s="362"/>
      <c r="CI128" s="362"/>
      <c r="CJ128" s="362"/>
      <c r="CK128" s="362"/>
      <c r="CL128" s="362"/>
      <c r="CM128" s="362"/>
      <c r="CN128" s="362"/>
      <c r="CO128" s="362"/>
      <c r="CP128" s="362"/>
      <c r="CQ128" s="362"/>
      <c r="CR128" s="362"/>
      <c r="CS128" s="362"/>
      <c r="CT128" s="362"/>
      <c r="CU128" s="362"/>
      <c r="CV128" s="362"/>
      <c r="CW128" s="362"/>
      <c r="CX128" s="362"/>
      <c r="CY128" s="362"/>
      <c r="CZ128" s="362"/>
      <c r="DA128" s="362"/>
      <c r="DB128" s="362"/>
      <c r="DC128" s="362"/>
      <c r="DD128" s="362"/>
      <c r="DE128" s="362"/>
      <c r="DF128" s="362"/>
      <c r="DG128" s="362"/>
      <c r="DH128" s="362"/>
      <c r="DI128" s="362"/>
      <c r="DJ128" s="362"/>
    </row>
    <row r="129" spans="2:114" x14ac:dyDescent="0.3">
      <c r="B129" s="77"/>
      <c r="AT129" s="362"/>
      <c r="AU129" s="362"/>
      <c r="AV129" s="362"/>
      <c r="AW129" s="362"/>
      <c r="AX129" s="362"/>
      <c r="AY129" s="362"/>
      <c r="AZ129" s="362"/>
      <c r="BA129" s="362"/>
      <c r="BB129" s="362"/>
      <c r="BC129" s="362"/>
      <c r="BD129" s="362"/>
      <c r="BE129" s="362"/>
      <c r="BF129" s="362"/>
      <c r="BG129" s="362"/>
      <c r="BH129" s="362"/>
      <c r="BI129" s="362"/>
      <c r="BJ129" s="362"/>
      <c r="BK129" s="362"/>
      <c r="BL129" s="362"/>
      <c r="BM129" s="362"/>
      <c r="BN129" s="362"/>
      <c r="BO129" s="362"/>
      <c r="BP129" s="362"/>
      <c r="BQ129" s="362"/>
      <c r="BR129" s="362"/>
      <c r="BS129" s="362"/>
      <c r="BT129" s="362"/>
      <c r="BU129" s="362"/>
      <c r="BV129" s="362"/>
      <c r="BW129" s="362"/>
      <c r="BX129" s="362"/>
      <c r="BY129" s="362"/>
      <c r="BZ129" s="362"/>
      <c r="CA129" s="362"/>
      <c r="CB129" s="362"/>
      <c r="CC129" s="362"/>
      <c r="CD129" s="362"/>
      <c r="CE129" s="362"/>
      <c r="CF129" s="362"/>
      <c r="CG129" s="362"/>
      <c r="CH129" s="362"/>
      <c r="CI129" s="362"/>
      <c r="CJ129" s="362"/>
      <c r="CK129" s="362"/>
      <c r="CL129" s="362"/>
      <c r="CM129" s="362"/>
      <c r="CN129" s="362"/>
      <c r="CO129" s="362"/>
      <c r="CP129" s="362"/>
      <c r="CQ129" s="362"/>
      <c r="CR129" s="362"/>
      <c r="CS129" s="362"/>
      <c r="CT129" s="362"/>
      <c r="CU129" s="362"/>
      <c r="CV129" s="362"/>
      <c r="CW129" s="362"/>
      <c r="CX129" s="362"/>
      <c r="CY129" s="362"/>
      <c r="CZ129" s="362"/>
      <c r="DA129" s="362"/>
      <c r="DB129" s="362"/>
      <c r="DC129" s="362"/>
      <c r="DD129" s="362"/>
      <c r="DE129" s="362"/>
      <c r="DF129" s="362"/>
      <c r="DG129" s="362"/>
      <c r="DH129" s="362"/>
      <c r="DI129" s="362"/>
      <c r="DJ129" s="362"/>
    </row>
    <row r="130" spans="2:114" x14ac:dyDescent="0.3">
      <c r="B130" s="77"/>
      <c r="AT130" s="362"/>
      <c r="AU130" s="362"/>
      <c r="AV130" s="362"/>
      <c r="AW130" s="362"/>
      <c r="AX130" s="362"/>
      <c r="AY130" s="362"/>
      <c r="AZ130" s="362"/>
      <c r="BA130" s="362"/>
      <c r="BB130" s="362"/>
      <c r="BC130" s="362"/>
      <c r="BD130" s="362"/>
      <c r="BE130" s="362"/>
      <c r="BF130" s="362"/>
      <c r="BG130" s="362"/>
      <c r="BH130" s="362"/>
      <c r="BI130" s="362"/>
      <c r="BJ130" s="362"/>
      <c r="BK130" s="362"/>
      <c r="BL130" s="362"/>
      <c r="BM130" s="362"/>
      <c r="BN130" s="362"/>
      <c r="BO130" s="362"/>
      <c r="BP130" s="362"/>
      <c r="BQ130" s="362"/>
      <c r="BR130" s="362"/>
      <c r="BS130" s="362"/>
      <c r="BT130" s="362"/>
      <c r="BU130" s="362"/>
      <c r="BV130" s="362"/>
      <c r="BW130" s="362"/>
      <c r="BX130" s="362"/>
      <c r="BY130" s="362"/>
      <c r="BZ130" s="362"/>
      <c r="CA130" s="362"/>
      <c r="CB130" s="362"/>
      <c r="CC130" s="362"/>
      <c r="CD130" s="362"/>
      <c r="CE130" s="362"/>
      <c r="CF130" s="362"/>
      <c r="CG130" s="362"/>
      <c r="CH130" s="362"/>
      <c r="CI130" s="362"/>
      <c r="CJ130" s="362"/>
      <c r="CK130" s="362"/>
      <c r="CL130" s="362"/>
      <c r="CM130" s="362"/>
      <c r="CN130" s="362"/>
      <c r="CO130" s="362"/>
      <c r="CP130" s="362"/>
      <c r="CQ130" s="362"/>
      <c r="CR130" s="362"/>
      <c r="CS130" s="362"/>
      <c r="CT130" s="362"/>
      <c r="CU130" s="362"/>
      <c r="CV130" s="362"/>
      <c r="CW130" s="362"/>
      <c r="CX130" s="362"/>
      <c r="CY130" s="362"/>
      <c r="CZ130" s="362"/>
      <c r="DA130" s="362"/>
      <c r="DB130" s="362"/>
      <c r="DC130" s="362"/>
      <c r="DD130" s="362"/>
      <c r="DE130" s="362"/>
      <c r="DF130" s="362"/>
      <c r="DG130" s="362"/>
      <c r="DH130" s="362"/>
      <c r="DI130" s="362"/>
      <c r="DJ130" s="362"/>
    </row>
    <row r="131" spans="2:114" x14ac:dyDescent="0.3">
      <c r="B131" s="77"/>
      <c r="AT131" s="362"/>
      <c r="AU131" s="362"/>
      <c r="AV131" s="362"/>
      <c r="AW131" s="362"/>
      <c r="AX131" s="362"/>
      <c r="AY131" s="362"/>
      <c r="AZ131" s="362"/>
      <c r="BA131" s="362"/>
      <c r="BB131" s="362"/>
      <c r="BC131" s="362"/>
      <c r="BD131" s="362"/>
      <c r="BE131" s="362"/>
      <c r="BF131" s="362"/>
      <c r="BG131" s="362"/>
      <c r="BH131" s="362"/>
      <c r="BI131" s="362"/>
      <c r="BJ131" s="362"/>
      <c r="BK131" s="362"/>
      <c r="BL131" s="362"/>
      <c r="BM131" s="362"/>
      <c r="BN131" s="362"/>
      <c r="BO131" s="362"/>
      <c r="BP131" s="362"/>
      <c r="BQ131" s="362"/>
      <c r="BR131" s="362"/>
      <c r="BS131" s="362"/>
      <c r="BT131" s="362"/>
      <c r="BU131" s="362"/>
      <c r="BV131" s="362"/>
      <c r="BW131" s="362"/>
      <c r="BX131" s="362"/>
      <c r="BY131" s="362"/>
      <c r="BZ131" s="362"/>
      <c r="CA131" s="362"/>
      <c r="CB131" s="362"/>
      <c r="CC131" s="362"/>
      <c r="CD131" s="362"/>
      <c r="CE131" s="362"/>
      <c r="CF131" s="362"/>
      <c r="CG131" s="362"/>
      <c r="CH131" s="362"/>
      <c r="CI131" s="362"/>
      <c r="CJ131" s="362"/>
      <c r="CK131" s="362"/>
      <c r="CL131" s="362"/>
      <c r="CM131" s="362"/>
      <c r="CN131" s="362"/>
      <c r="CO131" s="362"/>
      <c r="CP131" s="362"/>
      <c r="CQ131" s="362"/>
      <c r="CR131" s="362"/>
      <c r="CS131" s="362"/>
      <c r="CT131" s="362"/>
      <c r="CU131" s="362"/>
      <c r="CV131" s="362"/>
      <c r="CW131" s="362"/>
      <c r="CX131" s="362"/>
      <c r="CY131" s="362"/>
      <c r="CZ131" s="362"/>
      <c r="DA131" s="362"/>
      <c r="DB131" s="362"/>
      <c r="DC131" s="362"/>
      <c r="DD131" s="362"/>
      <c r="DE131" s="362"/>
      <c r="DF131" s="362"/>
      <c r="DG131" s="362"/>
      <c r="DH131" s="362"/>
      <c r="DI131" s="362"/>
      <c r="DJ131" s="362"/>
    </row>
    <row r="132" spans="2:114" x14ac:dyDescent="0.3">
      <c r="B132" s="77"/>
      <c r="AT132" s="362"/>
      <c r="AU132" s="362"/>
      <c r="AV132" s="362"/>
      <c r="AW132" s="362"/>
      <c r="AX132" s="362"/>
      <c r="AY132" s="362"/>
      <c r="AZ132" s="362"/>
      <c r="BA132" s="362"/>
      <c r="BB132" s="362"/>
      <c r="BC132" s="362"/>
      <c r="BD132" s="362"/>
      <c r="BE132" s="362"/>
      <c r="BF132" s="362"/>
      <c r="BG132" s="362"/>
      <c r="BH132" s="362"/>
      <c r="BI132" s="362"/>
      <c r="BJ132" s="362"/>
      <c r="BK132" s="362"/>
      <c r="BL132" s="362"/>
      <c r="BM132" s="362"/>
      <c r="BN132" s="362"/>
      <c r="BO132" s="362"/>
      <c r="BP132" s="362"/>
      <c r="BQ132" s="362"/>
      <c r="BR132" s="362"/>
      <c r="BS132" s="362"/>
      <c r="BT132" s="362"/>
      <c r="BU132" s="362"/>
      <c r="BV132" s="362"/>
      <c r="BW132" s="362"/>
      <c r="BX132" s="362"/>
      <c r="BY132" s="362"/>
      <c r="BZ132" s="362"/>
      <c r="CA132" s="362"/>
      <c r="CB132" s="362"/>
      <c r="CC132" s="362"/>
      <c r="CD132" s="362"/>
      <c r="CE132" s="362"/>
      <c r="CF132" s="362"/>
      <c r="CG132" s="362"/>
      <c r="CH132" s="362"/>
      <c r="CI132" s="362"/>
      <c r="CJ132" s="362"/>
      <c r="CK132" s="362"/>
      <c r="CL132" s="362"/>
      <c r="CM132" s="362"/>
      <c r="CN132" s="362"/>
      <c r="CO132" s="362"/>
      <c r="CP132" s="362"/>
      <c r="CQ132" s="362"/>
      <c r="CR132" s="362"/>
      <c r="CS132" s="362"/>
      <c r="CT132" s="362"/>
      <c r="CU132" s="362"/>
      <c r="CV132" s="362"/>
      <c r="CW132" s="362"/>
      <c r="CX132" s="362"/>
      <c r="CY132" s="362"/>
      <c r="CZ132" s="362"/>
      <c r="DA132" s="362"/>
      <c r="DB132" s="362"/>
      <c r="DC132" s="362"/>
      <c r="DD132" s="362"/>
      <c r="DE132" s="362"/>
      <c r="DF132" s="362"/>
      <c r="DG132" s="362"/>
      <c r="DH132" s="362"/>
      <c r="DI132" s="362"/>
      <c r="DJ132" s="362"/>
    </row>
    <row r="133" spans="2:114" x14ac:dyDescent="0.3">
      <c r="B133" s="77"/>
      <c r="AT133" s="362"/>
      <c r="AU133" s="362"/>
      <c r="AV133" s="362"/>
      <c r="AW133" s="362"/>
      <c r="AX133" s="362"/>
      <c r="AY133" s="362"/>
      <c r="AZ133" s="362"/>
      <c r="BA133" s="362"/>
      <c r="BB133" s="362"/>
      <c r="BC133" s="362"/>
      <c r="BD133" s="362"/>
      <c r="BE133" s="362"/>
      <c r="BF133" s="362"/>
      <c r="BG133" s="362"/>
      <c r="BH133" s="362"/>
      <c r="BI133" s="362"/>
      <c r="BJ133" s="362"/>
      <c r="BK133" s="362"/>
      <c r="BL133" s="362"/>
      <c r="BM133" s="362"/>
      <c r="BN133" s="362"/>
      <c r="BO133" s="362"/>
      <c r="BP133" s="362"/>
      <c r="BQ133" s="362"/>
      <c r="BR133" s="362"/>
      <c r="BS133" s="362"/>
      <c r="BT133" s="362"/>
      <c r="BU133" s="362"/>
      <c r="BV133" s="362"/>
      <c r="BW133" s="362"/>
      <c r="BX133" s="362"/>
      <c r="BY133" s="362"/>
      <c r="BZ133" s="362"/>
      <c r="CA133" s="362"/>
      <c r="CB133" s="362"/>
      <c r="CC133" s="362"/>
      <c r="CD133" s="362"/>
      <c r="CE133" s="362"/>
      <c r="CF133" s="362"/>
      <c r="CG133" s="362"/>
      <c r="CH133" s="362"/>
      <c r="CI133" s="362"/>
      <c r="CJ133" s="362"/>
      <c r="CK133" s="362"/>
      <c r="CL133" s="362"/>
      <c r="CM133" s="362"/>
      <c r="CN133" s="362"/>
      <c r="CO133" s="362"/>
      <c r="CP133" s="362"/>
      <c r="CQ133" s="362"/>
      <c r="CR133" s="362"/>
      <c r="CS133" s="362"/>
      <c r="CT133" s="362"/>
      <c r="CU133" s="362"/>
      <c r="CV133" s="362"/>
      <c r="CW133" s="362"/>
      <c r="CX133" s="362"/>
      <c r="CY133" s="362"/>
      <c r="CZ133" s="362"/>
      <c r="DA133" s="362"/>
      <c r="DB133" s="362"/>
      <c r="DC133" s="362"/>
      <c r="DD133" s="362"/>
      <c r="DE133" s="362"/>
      <c r="DF133" s="362"/>
      <c r="DG133" s="362"/>
      <c r="DH133" s="362"/>
      <c r="DI133" s="362"/>
      <c r="DJ133" s="362"/>
    </row>
    <row r="134" spans="2:114" x14ac:dyDescent="0.3">
      <c r="B134" s="77"/>
      <c r="AT134" s="362"/>
      <c r="AU134" s="362"/>
      <c r="AV134" s="362"/>
      <c r="AW134" s="362"/>
      <c r="AX134" s="362"/>
      <c r="AY134" s="362"/>
      <c r="AZ134" s="362"/>
      <c r="BA134" s="362"/>
      <c r="BB134" s="362"/>
      <c r="BC134" s="362"/>
      <c r="BD134" s="362"/>
      <c r="BE134" s="362"/>
      <c r="BF134" s="362"/>
      <c r="BG134" s="362"/>
      <c r="BH134" s="362"/>
      <c r="BI134" s="362"/>
      <c r="BJ134" s="362"/>
      <c r="BK134" s="362"/>
      <c r="BL134" s="362"/>
      <c r="BM134" s="362"/>
      <c r="BN134" s="362"/>
      <c r="BO134" s="362"/>
      <c r="BP134" s="362"/>
      <c r="BQ134" s="362"/>
      <c r="BR134" s="362"/>
      <c r="BS134" s="362"/>
      <c r="BT134" s="362"/>
      <c r="BU134" s="362"/>
      <c r="BV134" s="362"/>
      <c r="BW134" s="362"/>
      <c r="BX134" s="362"/>
      <c r="BY134" s="362"/>
      <c r="BZ134" s="362"/>
      <c r="CA134" s="362"/>
      <c r="CB134" s="362"/>
      <c r="CC134" s="362"/>
      <c r="CD134" s="362"/>
      <c r="CE134" s="362"/>
      <c r="CF134" s="362"/>
      <c r="CG134" s="362"/>
      <c r="CH134" s="362"/>
      <c r="CI134" s="362"/>
      <c r="CJ134" s="362"/>
      <c r="CK134" s="362"/>
      <c r="CL134" s="362"/>
      <c r="CM134" s="362"/>
      <c r="CN134" s="362"/>
      <c r="CO134" s="362"/>
      <c r="CP134" s="362"/>
      <c r="CQ134" s="362"/>
      <c r="CR134" s="362"/>
      <c r="CS134" s="362"/>
      <c r="CT134" s="362"/>
      <c r="CU134" s="362"/>
      <c r="CV134" s="362"/>
      <c r="CW134" s="362"/>
      <c r="CX134" s="362"/>
      <c r="CY134" s="362"/>
      <c r="CZ134" s="362"/>
      <c r="DA134" s="362"/>
      <c r="DB134" s="362"/>
      <c r="DC134" s="362"/>
      <c r="DD134" s="362"/>
      <c r="DE134" s="362"/>
      <c r="DF134" s="362"/>
      <c r="DG134" s="362"/>
      <c r="DH134" s="362"/>
      <c r="DI134" s="362"/>
      <c r="DJ134" s="362"/>
    </row>
    <row r="135" spans="2:114" x14ac:dyDescent="0.3">
      <c r="B135" s="77"/>
      <c r="AT135" s="362"/>
      <c r="AU135" s="362"/>
      <c r="AV135" s="362"/>
      <c r="AW135" s="362"/>
      <c r="AX135" s="362"/>
      <c r="AY135" s="362"/>
      <c r="AZ135" s="362"/>
      <c r="BA135" s="362"/>
      <c r="BB135" s="362"/>
      <c r="BC135" s="362"/>
      <c r="BD135" s="362"/>
      <c r="BE135" s="362"/>
      <c r="BF135" s="362"/>
      <c r="BG135" s="362"/>
      <c r="BH135" s="362"/>
      <c r="BI135" s="362"/>
      <c r="BJ135" s="362"/>
      <c r="BK135" s="362"/>
      <c r="BL135" s="362"/>
      <c r="BM135" s="362"/>
      <c r="BN135" s="362"/>
      <c r="BO135" s="362"/>
      <c r="BP135" s="362"/>
      <c r="BQ135" s="362"/>
      <c r="BR135" s="362"/>
      <c r="BS135" s="362"/>
      <c r="BT135" s="362"/>
      <c r="BU135" s="362"/>
      <c r="BV135" s="362"/>
      <c r="BW135" s="362"/>
      <c r="BX135" s="362"/>
      <c r="BY135" s="362"/>
      <c r="BZ135" s="362"/>
      <c r="CA135" s="362"/>
      <c r="CB135" s="362"/>
      <c r="CC135" s="362"/>
      <c r="CD135" s="362"/>
      <c r="CE135" s="362"/>
      <c r="CF135" s="362"/>
      <c r="CG135" s="362"/>
      <c r="CH135" s="362"/>
      <c r="CI135" s="362"/>
      <c r="CJ135" s="362"/>
      <c r="CK135" s="362"/>
      <c r="CL135" s="362"/>
      <c r="CM135" s="362"/>
      <c r="CN135" s="362"/>
      <c r="CO135" s="362"/>
      <c r="CP135" s="362"/>
      <c r="CQ135" s="362"/>
      <c r="CR135" s="362"/>
      <c r="CS135" s="362"/>
      <c r="CT135" s="362"/>
      <c r="CU135" s="362"/>
      <c r="CV135" s="362"/>
      <c r="CW135" s="362"/>
      <c r="CX135" s="362"/>
      <c r="CY135" s="362"/>
      <c r="CZ135" s="362"/>
      <c r="DA135" s="362"/>
      <c r="DB135" s="362"/>
      <c r="DC135" s="362"/>
      <c r="DD135" s="362"/>
      <c r="DE135" s="362"/>
      <c r="DF135" s="362"/>
      <c r="DG135" s="362"/>
      <c r="DH135" s="362"/>
      <c r="DI135" s="362"/>
      <c r="DJ135" s="362"/>
    </row>
    <row r="136" spans="2:114" x14ac:dyDescent="0.3">
      <c r="B136" s="77"/>
      <c r="AT136" s="362"/>
      <c r="AU136" s="362"/>
      <c r="AV136" s="362"/>
      <c r="AW136" s="362"/>
      <c r="AX136" s="362"/>
      <c r="AY136" s="362"/>
      <c r="AZ136" s="362"/>
      <c r="BA136" s="362"/>
      <c r="BB136" s="362"/>
      <c r="BC136" s="362"/>
      <c r="BD136" s="362"/>
      <c r="BE136" s="362"/>
      <c r="BF136" s="362"/>
      <c r="BG136" s="362"/>
      <c r="BH136" s="362"/>
      <c r="BI136" s="362"/>
      <c r="BJ136" s="362"/>
      <c r="BK136" s="362"/>
      <c r="BL136" s="362"/>
      <c r="BM136" s="362"/>
      <c r="BN136" s="362"/>
      <c r="BO136" s="362"/>
      <c r="BP136" s="362"/>
      <c r="BQ136" s="362"/>
      <c r="BR136" s="362"/>
      <c r="BS136" s="362"/>
      <c r="BT136" s="362"/>
      <c r="BU136" s="362"/>
      <c r="BV136" s="362"/>
      <c r="BW136" s="362"/>
      <c r="BX136" s="362"/>
      <c r="BY136" s="362"/>
      <c r="BZ136" s="362"/>
      <c r="CA136" s="362"/>
      <c r="CB136" s="362"/>
      <c r="CC136" s="362"/>
      <c r="CD136" s="362"/>
      <c r="CE136" s="362"/>
      <c r="CF136" s="362"/>
      <c r="CG136" s="362"/>
      <c r="CH136" s="362"/>
      <c r="CI136" s="362"/>
      <c r="CJ136" s="362"/>
      <c r="CK136" s="362"/>
      <c r="CL136" s="362"/>
      <c r="CM136" s="362"/>
      <c r="CN136" s="362"/>
      <c r="CO136" s="362"/>
      <c r="CP136" s="362"/>
      <c r="CQ136" s="362"/>
      <c r="CR136" s="362"/>
      <c r="CS136" s="362"/>
      <c r="CT136" s="362"/>
      <c r="CU136" s="362"/>
      <c r="CV136" s="362"/>
      <c r="CW136" s="362"/>
      <c r="CX136" s="362"/>
      <c r="CY136" s="362"/>
      <c r="CZ136" s="362"/>
      <c r="DA136" s="362"/>
      <c r="DB136" s="362"/>
      <c r="DC136" s="362"/>
      <c r="DD136" s="362"/>
      <c r="DE136" s="362"/>
      <c r="DF136" s="362"/>
      <c r="DG136" s="362"/>
      <c r="DH136" s="362"/>
      <c r="DI136" s="362"/>
      <c r="DJ136" s="362"/>
    </row>
    <row r="137" spans="2:114" x14ac:dyDescent="0.3">
      <c r="B137" s="77"/>
      <c r="AT137" s="362"/>
      <c r="AU137" s="362"/>
      <c r="AV137" s="362"/>
      <c r="AW137" s="362"/>
      <c r="AX137" s="362"/>
      <c r="AY137" s="362"/>
      <c r="AZ137" s="362"/>
      <c r="BA137" s="362"/>
      <c r="BB137" s="362"/>
      <c r="BC137" s="362"/>
      <c r="BD137" s="362"/>
      <c r="BE137" s="362"/>
      <c r="BF137" s="362"/>
      <c r="BG137" s="362"/>
      <c r="BH137" s="362"/>
      <c r="BI137" s="362"/>
      <c r="BJ137" s="362"/>
      <c r="BK137" s="362"/>
      <c r="BL137" s="362"/>
      <c r="BM137" s="362"/>
      <c r="BN137" s="362"/>
      <c r="BO137" s="362"/>
      <c r="BP137" s="362"/>
      <c r="BQ137" s="362"/>
      <c r="BR137" s="362"/>
      <c r="BS137" s="362"/>
      <c r="BT137" s="362"/>
      <c r="BU137" s="362"/>
      <c r="BV137" s="362"/>
      <c r="BW137" s="362"/>
      <c r="BX137" s="362"/>
      <c r="BY137" s="362"/>
      <c r="BZ137" s="362"/>
      <c r="CA137" s="362"/>
      <c r="CB137" s="362"/>
      <c r="CC137" s="362"/>
      <c r="CD137" s="362"/>
      <c r="CE137" s="362"/>
      <c r="CF137" s="362"/>
      <c r="CG137" s="362"/>
      <c r="CH137" s="362"/>
      <c r="CI137" s="362"/>
      <c r="CJ137" s="362"/>
      <c r="CK137" s="362"/>
      <c r="CL137" s="362"/>
      <c r="CM137" s="362"/>
      <c r="CN137" s="362"/>
      <c r="CO137" s="362"/>
      <c r="CP137" s="362"/>
      <c r="CQ137" s="362"/>
      <c r="CR137" s="362"/>
      <c r="CS137" s="362"/>
      <c r="CT137" s="362"/>
      <c r="CU137" s="362"/>
      <c r="CV137" s="362"/>
      <c r="CW137" s="362"/>
      <c r="CX137" s="362"/>
      <c r="CY137" s="362"/>
      <c r="CZ137" s="362"/>
      <c r="DA137" s="362"/>
      <c r="DB137" s="362"/>
      <c r="DC137" s="362"/>
      <c r="DD137" s="362"/>
      <c r="DE137" s="362"/>
      <c r="DF137" s="362"/>
      <c r="DG137" s="362"/>
      <c r="DH137" s="362"/>
      <c r="DI137" s="362"/>
      <c r="DJ137" s="362"/>
    </row>
    <row r="138" spans="2:114" x14ac:dyDescent="0.3">
      <c r="B138" s="77"/>
      <c r="AT138" s="362"/>
      <c r="AU138" s="362"/>
      <c r="AV138" s="362"/>
      <c r="AW138" s="362"/>
      <c r="AX138" s="362"/>
      <c r="AY138" s="362"/>
      <c r="AZ138" s="362"/>
      <c r="BA138" s="362"/>
      <c r="BB138" s="362"/>
      <c r="BC138" s="362"/>
      <c r="BD138" s="362"/>
      <c r="BE138" s="362"/>
      <c r="BF138" s="362"/>
      <c r="BG138" s="362"/>
      <c r="BH138" s="362"/>
      <c r="BI138" s="362"/>
      <c r="BJ138" s="362"/>
      <c r="BK138" s="362"/>
      <c r="BL138" s="362"/>
      <c r="BM138" s="362"/>
      <c r="BN138" s="362"/>
      <c r="BO138" s="362"/>
      <c r="BP138" s="362"/>
      <c r="BQ138" s="362"/>
      <c r="BR138" s="362"/>
      <c r="BS138" s="362"/>
      <c r="BT138" s="362"/>
      <c r="BU138" s="362"/>
      <c r="BV138" s="362"/>
      <c r="BW138" s="362"/>
      <c r="BX138" s="362"/>
      <c r="BY138" s="362"/>
      <c r="BZ138" s="362"/>
      <c r="CA138" s="362"/>
      <c r="CB138" s="362"/>
      <c r="CC138" s="362"/>
      <c r="CD138" s="362"/>
      <c r="CE138" s="362"/>
      <c r="CF138" s="362"/>
      <c r="CG138" s="362"/>
      <c r="CH138" s="362"/>
      <c r="CI138" s="362"/>
      <c r="CJ138" s="362"/>
      <c r="CK138" s="362"/>
      <c r="CL138" s="362"/>
      <c r="CM138" s="362"/>
      <c r="CN138" s="362"/>
      <c r="CO138" s="362"/>
      <c r="CP138" s="362"/>
      <c r="CQ138" s="362"/>
      <c r="CR138" s="362"/>
      <c r="CS138" s="362"/>
      <c r="CT138" s="362"/>
      <c r="CU138" s="362"/>
      <c r="CV138" s="362"/>
      <c r="CW138" s="362"/>
      <c r="CX138" s="362"/>
      <c r="CY138" s="362"/>
      <c r="CZ138" s="362"/>
      <c r="DA138" s="362"/>
      <c r="DB138" s="362"/>
      <c r="DC138" s="362"/>
      <c r="DD138" s="362"/>
      <c r="DE138" s="362"/>
      <c r="DF138" s="362"/>
      <c r="DG138" s="362"/>
      <c r="DH138" s="362"/>
      <c r="DI138" s="362"/>
      <c r="DJ138" s="362"/>
    </row>
    <row r="139" spans="2:114" x14ac:dyDescent="0.3">
      <c r="B139" s="77"/>
      <c r="AT139" s="362"/>
      <c r="AU139" s="362"/>
      <c r="AV139" s="362"/>
      <c r="AW139" s="362"/>
      <c r="AX139" s="362"/>
      <c r="AY139" s="362"/>
      <c r="AZ139" s="362"/>
      <c r="BA139" s="362"/>
      <c r="BB139" s="362"/>
      <c r="BC139" s="362"/>
      <c r="BD139" s="362"/>
      <c r="BE139" s="362"/>
      <c r="BF139" s="362"/>
      <c r="BG139" s="362"/>
      <c r="BH139" s="362"/>
      <c r="BI139" s="362"/>
      <c r="BJ139" s="362"/>
      <c r="BK139" s="362"/>
      <c r="BL139" s="362"/>
      <c r="BM139" s="362"/>
      <c r="BN139" s="362"/>
      <c r="BO139" s="362"/>
      <c r="BP139" s="362"/>
      <c r="BQ139" s="362"/>
      <c r="BR139" s="362"/>
      <c r="BS139" s="362"/>
      <c r="BT139" s="362"/>
      <c r="BU139" s="362"/>
      <c r="BV139" s="362"/>
      <c r="BW139" s="362"/>
      <c r="BX139" s="362"/>
      <c r="BY139" s="362"/>
      <c r="BZ139" s="362"/>
      <c r="CA139" s="362"/>
      <c r="CB139" s="362"/>
      <c r="CC139" s="362"/>
      <c r="CD139" s="362"/>
      <c r="CE139" s="362"/>
      <c r="CF139" s="362"/>
      <c r="CG139" s="362"/>
      <c r="CH139" s="362"/>
      <c r="CI139" s="362"/>
      <c r="CJ139" s="362"/>
      <c r="CK139" s="362"/>
      <c r="CL139" s="362"/>
      <c r="CM139" s="362"/>
      <c r="CN139" s="362"/>
      <c r="CO139" s="362"/>
      <c r="CP139" s="362"/>
      <c r="CQ139" s="362"/>
      <c r="CR139" s="362"/>
      <c r="CS139" s="362"/>
      <c r="CT139" s="362"/>
      <c r="CU139" s="362"/>
      <c r="CV139" s="362"/>
      <c r="CW139" s="362"/>
      <c r="CX139" s="362"/>
      <c r="CY139" s="362"/>
      <c r="CZ139" s="362"/>
      <c r="DA139" s="362"/>
      <c r="DB139" s="362"/>
      <c r="DC139" s="362"/>
      <c r="DD139" s="362"/>
      <c r="DE139" s="362"/>
      <c r="DF139" s="362"/>
      <c r="DG139" s="362"/>
      <c r="DH139" s="362"/>
      <c r="DI139" s="362"/>
      <c r="DJ139" s="362"/>
    </row>
    <row r="140" spans="2:114" x14ac:dyDescent="0.3">
      <c r="B140" s="77"/>
      <c r="AT140" s="362"/>
      <c r="AU140" s="362"/>
      <c r="AV140" s="362"/>
      <c r="AW140" s="362"/>
      <c r="AX140" s="362"/>
      <c r="AY140" s="362"/>
      <c r="AZ140" s="362"/>
      <c r="BA140" s="362"/>
      <c r="BB140" s="362"/>
      <c r="BC140" s="362"/>
      <c r="BD140" s="362"/>
      <c r="BE140" s="362"/>
      <c r="BF140" s="362"/>
      <c r="BG140" s="362"/>
      <c r="BH140" s="362"/>
      <c r="BI140" s="362"/>
      <c r="BJ140" s="362"/>
      <c r="BK140" s="362"/>
      <c r="BL140" s="362"/>
      <c r="BM140" s="362"/>
      <c r="BN140" s="362"/>
      <c r="BO140" s="362"/>
      <c r="BP140" s="362"/>
      <c r="BQ140" s="362"/>
      <c r="BR140" s="362"/>
      <c r="BS140" s="362"/>
      <c r="BT140" s="362"/>
      <c r="BU140" s="362"/>
      <c r="BV140" s="362"/>
      <c r="BW140" s="362"/>
      <c r="BX140" s="362"/>
      <c r="BY140" s="362"/>
      <c r="BZ140" s="362"/>
      <c r="CA140" s="362"/>
      <c r="CB140" s="362"/>
      <c r="CC140" s="362"/>
      <c r="CD140" s="362"/>
      <c r="CE140" s="362"/>
      <c r="CF140" s="362"/>
      <c r="CG140" s="362"/>
      <c r="CH140" s="362"/>
      <c r="CI140" s="362"/>
      <c r="CJ140" s="362"/>
      <c r="CK140" s="362"/>
      <c r="CL140" s="362"/>
      <c r="CM140" s="362"/>
      <c r="CN140" s="362"/>
      <c r="CO140" s="362"/>
      <c r="CP140" s="362"/>
      <c r="CQ140" s="362"/>
      <c r="CR140" s="362"/>
      <c r="CS140" s="362"/>
      <c r="CT140" s="362"/>
      <c r="CU140" s="362"/>
      <c r="CV140" s="362"/>
      <c r="CW140" s="362"/>
      <c r="CX140" s="362"/>
      <c r="CY140" s="362"/>
      <c r="CZ140" s="362"/>
      <c r="DA140" s="362"/>
      <c r="DB140" s="362"/>
      <c r="DC140" s="362"/>
      <c r="DD140" s="362"/>
      <c r="DE140" s="362"/>
      <c r="DF140" s="362"/>
      <c r="DG140" s="362"/>
      <c r="DH140" s="362"/>
      <c r="DI140" s="362"/>
      <c r="DJ140" s="362"/>
    </row>
    <row r="141" spans="2:114" x14ac:dyDescent="0.3">
      <c r="B141" s="77"/>
      <c r="AT141" s="362"/>
      <c r="AU141" s="362"/>
      <c r="AV141" s="362"/>
      <c r="AW141" s="362"/>
      <c r="AX141" s="362"/>
      <c r="AY141" s="362"/>
      <c r="AZ141" s="362"/>
      <c r="BA141" s="362"/>
      <c r="BB141" s="362"/>
      <c r="BC141" s="362"/>
      <c r="BD141" s="362"/>
      <c r="BE141" s="362"/>
      <c r="BF141" s="362"/>
      <c r="BG141" s="362"/>
      <c r="BH141" s="362"/>
      <c r="BI141" s="362"/>
      <c r="BJ141" s="362"/>
      <c r="BK141" s="362"/>
      <c r="BL141" s="362"/>
      <c r="BM141" s="362"/>
      <c r="BN141" s="362"/>
      <c r="BO141" s="362"/>
      <c r="BP141" s="362"/>
      <c r="BQ141" s="362"/>
      <c r="BR141" s="362"/>
      <c r="BS141" s="362"/>
      <c r="BT141" s="362"/>
      <c r="BU141" s="362"/>
      <c r="BV141" s="362"/>
      <c r="BW141" s="362"/>
      <c r="BX141" s="362"/>
      <c r="BY141" s="362"/>
      <c r="BZ141" s="362"/>
      <c r="CA141" s="362"/>
      <c r="CB141" s="362"/>
      <c r="CC141" s="362"/>
      <c r="CD141" s="362"/>
      <c r="CE141" s="362"/>
      <c r="CF141" s="362"/>
      <c r="CG141" s="362"/>
      <c r="CH141" s="362"/>
      <c r="CI141" s="362"/>
      <c r="CJ141" s="362"/>
      <c r="CK141" s="362"/>
      <c r="CL141" s="362"/>
      <c r="CM141" s="362"/>
      <c r="CN141" s="362"/>
      <c r="CO141" s="362"/>
      <c r="CP141" s="362"/>
      <c r="CQ141" s="362"/>
      <c r="CR141" s="362"/>
      <c r="CS141" s="362"/>
      <c r="CT141" s="362"/>
      <c r="CU141" s="362"/>
      <c r="CV141" s="362"/>
      <c r="CW141" s="362"/>
      <c r="CX141" s="362"/>
      <c r="CY141" s="362"/>
      <c r="CZ141" s="362"/>
      <c r="DA141" s="362"/>
      <c r="DB141" s="362"/>
      <c r="DC141" s="362"/>
      <c r="DD141" s="362"/>
      <c r="DE141" s="362"/>
      <c r="DF141" s="362"/>
      <c r="DG141" s="362"/>
      <c r="DH141" s="362"/>
      <c r="DI141" s="362"/>
      <c r="DJ141" s="362"/>
    </row>
    <row r="142" spans="2:114" x14ac:dyDescent="0.3">
      <c r="B142" s="77"/>
      <c r="AT142" s="362"/>
      <c r="AU142" s="362"/>
      <c r="AV142" s="362"/>
      <c r="AW142" s="362"/>
      <c r="AX142" s="362"/>
      <c r="AY142" s="362"/>
      <c r="AZ142" s="362"/>
      <c r="BA142" s="362"/>
      <c r="BB142" s="362"/>
      <c r="BC142" s="362"/>
      <c r="BD142" s="362"/>
      <c r="BE142" s="362"/>
      <c r="BF142" s="362"/>
      <c r="BG142" s="362"/>
      <c r="BH142" s="362"/>
      <c r="BI142" s="362"/>
      <c r="BJ142" s="362"/>
      <c r="BK142" s="362"/>
      <c r="BL142" s="362"/>
      <c r="BM142" s="362"/>
      <c r="BN142" s="362"/>
      <c r="BO142" s="362"/>
      <c r="BP142" s="362"/>
      <c r="BQ142" s="362"/>
      <c r="BR142" s="362"/>
      <c r="BS142" s="362"/>
      <c r="BT142" s="362"/>
      <c r="BU142" s="362"/>
      <c r="BV142" s="362"/>
      <c r="BW142" s="362"/>
      <c r="BX142" s="362"/>
      <c r="BY142" s="362"/>
      <c r="BZ142" s="362"/>
      <c r="CA142" s="362"/>
      <c r="CB142" s="362"/>
      <c r="CC142" s="362"/>
      <c r="CD142" s="362"/>
      <c r="CE142" s="362"/>
      <c r="CF142" s="362"/>
      <c r="CG142" s="362"/>
      <c r="CH142" s="362"/>
      <c r="CI142" s="362"/>
      <c r="CJ142" s="362"/>
      <c r="CK142" s="362"/>
      <c r="CL142" s="362"/>
      <c r="CM142" s="362"/>
      <c r="CN142" s="362"/>
      <c r="CO142" s="362"/>
      <c r="CP142" s="362"/>
      <c r="CQ142" s="362"/>
      <c r="CR142" s="362"/>
      <c r="CS142" s="362"/>
      <c r="CT142" s="362"/>
      <c r="CU142" s="362"/>
      <c r="CV142" s="362"/>
      <c r="CW142" s="362"/>
      <c r="CX142" s="362"/>
      <c r="CY142" s="362"/>
      <c r="CZ142" s="362"/>
      <c r="DA142" s="362"/>
      <c r="DB142" s="362"/>
      <c r="DC142" s="362"/>
      <c r="DD142" s="362"/>
      <c r="DE142" s="362"/>
      <c r="DF142" s="362"/>
      <c r="DG142" s="362"/>
      <c r="DH142" s="362"/>
      <c r="DI142" s="362"/>
      <c r="DJ142" s="362"/>
    </row>
    <row r="143" spans="2:114" x14ac:dyDescent="0.3">
      <c r="B143" s="77"/>
      <c r="AT143" s="362"/>
      <c r="AU143" s="362"/>
      <c r="AV143" s="362"/>
      <c r="AW143" s="362"/>
      <c r="AX143" s="362"/>
      <c r="AY143" s="362"/>
      <c r="AZ143" s="362"/>
      <c r="BA143" s="362"/>
      <c r="BB143" s="362"/>
      <c r="BC143" s="362"/>
      <c r="BD143" s="362"/>
      <c r="BE143" s="362"/>
      <c r="BF143" s="362"/>
      <c r="BG143" s="362"/>
      <c r="BH143" s="362"/>
      <c r="BI143" s="362"/>
      <c r="BJ143" s="362"/>
      <c r="BK143" s="362"/>
      <c r="BL143" s="362"/>
      <c r="BM143" s="362"/>
      <c r="BN143" s="362"/>
      <c r="BO143" s="362"/>
      <c r="BP143" s="362"/>
      <c r="BQ143" s="362"/>
      <c r="BR143" s="362"/>
      <c r="BS143" s="362"/>
      <c r="BT143" s="362"/>
      <c r="BU143" s="362"/>
      <c r="BV143" s="362"/>
      <c r="BW143" s="362"/>
      <c r="BX143" s="362"/>
      <c r="BY143" s="362"/>
      <c r="BZ143" s="362"/>
      <c r="CA143" s="362"/>
      <c r="CB143" s="362"/>
      <c r="CC143" s="362"/>
      <c r="CD143" s="362"/>
      <c r="CE143" s="362"/>
      <c r="CF143" s="362"/>
      <c r="CG143" s="362"/>
      <c r="CH143" s="362"/>
      <c r="CI143" s="362"/>
      <c r="CJ143" s="362"/>
      <c r="CK143" s="362"/>
      <c r="CL143" s="362"/>
      <c r="CM143" s="362"/>
      <c r="CN143" s="362"/>
      <c r="CO143" s="362"/>
      <c r="CP143" s="362"/>
      <c r="CQ143" s="362"/>
      <c r="CR143" s="362"/>
      <c r="CS143" s="362"/>
      <c r="CT143" s="362"/>
      <c r="CU143" s="362"/>
      <c r="CV143" s="362"/>
      <c r="CW143" s="362"/>
      <c r="CX143" s="362"/>
      <c r="CY143" s="362"/>
      <c r="CZ143" s="362"/>
      <c r="DA143" s="362"/>
      <c r="DB143" s="362"/>
      <c r="DC143" s="362"/>
      <c r="DD143" s="362"/>
      <c r="DE143" s="362"/>
      <c r="DF143" s="362"/>
      <c r="DG143" s="362"/>
      <c r="DH143" s="362"/>
      <c r="DI143" s="362"/>
      <c r="DJ143" s="362"/>
    </row>
    <row r="144" spans="2:114" x14ac:dyDescent="0.3">
      <c r="B144" s="77"/>
      <c r="AT144" s="362"/>
      <c r="AU144" s="362"/>
      <c r="AV144" s="362"/>
      <c r="AW144" s="362"/>
      <c r="AX144" s="362"/>
      <c r="AY144" s="362"/>
      <c r="AZ144" s="362"/>
      <c r="BA144" s="362"/>
      <c r="BB144" s="362"/>
      <c r="BC144" s="362"/>
      <c r="BD144" s="362"/>
      <c r="BE144" s="362"/>
      <c r="BF144" s="362"/>
      <c r="BG144" s="362"/>
      <c r="BH144" s="362"/>
      <c r="BI144" s="362"/>
      <c r="BJ144" s="362"/>
      <c r="BK144" s="362"/>
      <c r="BL144" s="362"/>
      <c r="BM144" s="362"/>
      <c r="BN144" s="362"/>
      <c r="BO144" s="362"/>
      <c r="BP144" s="362"/>
      <c r="BQ144" s="362"/>
      <c r="BR144" s="362"/>
      <c r="BS144" s="362"/>
      <c r="BT144" s="362"/>
      <c r="BU144" s="362"/>
      <c r="BV144" s="362"/>
      <c r="BW144" s="362"/>
      <c r="BX144" s="362"/>
      <c r="BY144" s="362"/>
      <c r="BZ144" s="362"/>
      <c r="CA144" s="362"/>
      <c r="CB144" s="362"/>
      <c r="CC144" s="362"/>
      <c r="CD144" s="362"/>
      <c r="CE144" s="362"/>
      <c r="CF144" s="362"/>
      <c r="CG144" s="362"/>
      <c r="CH144" s="362"/>
      <c r="CI144" s="362"/>
      <c r="CJ144" s="362"/>
      <c r="CK144" s="362"/>
      <c r="CL144" s="362"/>
      <c r="CM144" s="362"/>
      <c r="CN144" s="362"/>
      <c r="CO144" s="362"/>
      <c r="CP144" s="362"/>
      <c r="CQ144" s="362"/>
      <c r="CR144" s="362"/>
      <c r="CS144" s="362"/>
      <c r="CT144" s="362"/>
      <c r="CU144" s="362"/>
      <c r="CV144" s="362"/>
      <c r="CW144" s="362"/>
      <c r="CX144" s="362"/>
      <c r="CY144" s="362"/>
      <c r="CZ144" s="362"/>
      <c r="DA144" s="362"/>
      <c r="DB144" s="362"/>
      <c r="DC144" s="362"/>
      <c r="DD144" s="362"/>
      <c r="DE144" s="362"/>
      <c r="DF144" s="362"/>
      <c r="DG144" s="362"/>
      <c r="DH144" s="362"/>
      <c r="DI144" s="362"/>
      <c r="DJ144" s="362"/>
    </row>
    <row r="145" spans="2:116" x14ac:dyDescent="0.3">
      <c r="B145" s="77"/>
      <c r="AT145" s="362"/>
      <c r="AU145" s="362"/>
      <c r="AV145" s="362"/>
      <c r="AW145" s="362"/>
      <c r="AX145" s="362"/>
      <c r="AY145" s="362"/>
      <c r="AZ145" s="362"/>
      <c r="BA145" s="362"/>
      <c r="BB145" s="362"/>
      <c r="BC145" s="362"/>
      <c r="BD145" s="362"/>
      <c r="BE145" s="362"/>
      <c r="BF145" s="362"/>
      <c r="BG145" s="362"/>
      <c r="BH145" s="362"/>
      <c r="BI145" s="362"/>
      <c r="BJ145" s="362"/>
      <c r="BK145" s="362"/>
      <c r="BL145" s="362"/>
      <c r="BM145" s="362"/>
      <c r="BN145" s="362"/>
      <c r="BO145" s="362"/>
      <c r="BP145" s="362"/>
      <c r="BQ145" s="362"/>
      <c r="BR145" s="362"/>
      <c r="BS145" s="362"/>
      <c r="BT145" s="362"/>
      <c r="BU145" s="362"/>
      <c r="BV145" s="362"/>
      <c r="BW145" s="362"/>
      <c r="BX145" s="362"/>
      <c r="BY145" s="362"/>
      <c r="BZ145" s="362"/>
      <c r="CA145" s="362"/>
      <c r="CB145" s="362"/>
      <c r="CC145" s="362"/>
      <c r="CD145" s="362"/>
      <c r="CE145" s="362"/>
      <c r="CF145" s="362"/>
      <c r="CG145" s="362"/>
      <c r="CH145" s="362"/>
      <c r="CI145" s="362"/>
      <c r="CJ145" s="362"/>
      <c r="CK145" s="362"/>
      <c r="CL145" s="362"/>
      <c r="CM145" s="362"/>
      <c r="CN145" s="362"/>
      <c r="CO145" s="362"/>
      <c r="CP145" s="362"/>
      <c r="CQ145" s="362"/>
      <c r="CR145" s="362"/>
      <c r="CS145" s="362"/>
      <c r="CT145" s="362"/>
      <c r="CU145" s="362"/>
      <c r="CV145" s="362"/>
      <c r="CW145" s="362"/>
      <c r="CX145" s="362"/>
      <c r="CY145" s="362"/>
      <c r="CZ145" s="362"/>
      <c r="DA145" s="362"/>
      <c r="DB145" s="362"/>
      <c r="DC145" s="362"/>
      <c r="DD145" s="362"/>
      <c r="DE145" s="362"/>
      <c r="DF145" s="362"/>
      <c r="DG145" s="362"/>
      <c r="DH145" s="362"/>
      <c r="DI145" s="362"/>
      <c r="DJ145" s="362"/>
    </row>
    <row r="146" spans="2:116" x14ac:dyDescent="0.3">
      <c r="B146" s="77"/>
      <c r="AT146" s="362"/>
      <c r="AU146" s="362"/>
      <c r="AV146" s="362"/>
      <c r="AW146" s="362"/>
      <c r="AX146" s="362"/>
      <c r="AY146" s="362"/>
      <c r="AZ146" s="362"/>
      <c r="BA146" s="362"/>
      <c r="BB146" s="362"/>
      <c r="BC146" s="362"/>
      <c r="BD146" s="362"/>
      <c r="BE146" s="362"/>
      <c r="BF146" s="362"/>
      <c r="BG146" s="362"/>
      <c r="BH146" s="362"/>
      <c r="BI146" s="362"/>
      <c r="BJ146" s="362"/>
      <c r="BK146" s="362"/>
      <c r="BL146" s="362"/>
      <c r="BM146" s="362"/>
      <c r="BN146" s="362"/>
      <c r="BO146" s="362"/>
      <c r="BP146" s="362"/>
      <c r="BQ146" s="362"/>
      <c r="BR146" s="362"/>
      <c r="BS146" s="362"/>
      <c r="BT146" s="362"/>
      <c r="BU146" s="362"/>
      <c r="BV146" s="362"/>
      <c r="BW146" s="362"/>
      <c r="BX146" s="362"/>
      <c r="BY146" s="362"/>
      <c r="BZ146" s="362"/>
      <c r="CA146" s="362"/>
      <c r="CB146" s="362"/>
      <c r="CC146" s="362"/>
      <c r="CD146" s="362"/>
      <c r="CE146" s="362"/>
      <c r="CF146" s="362"/>
      <c r="CG146" s="362"/>
      <c r="CH146" s="362"/>
      <c r="CI146" s="362"/>
      <c r="CJ146" s="362"/>
      <c r="CK146" s="362"/>
      <c r="CL146" s="362"/>
      <c r="CM146" s="362"/>
      <c r="CN146" s="362"/>
      <c r="CO146" s="362"/>
      <c r="CP146" s="362"/>
      <c r="CQ146" s="362"/>
      <c r="CR146" s="362"/>
      <c r="CS146" s="362"/>
      <c r="CT146" s="362"/>
      <c r="CU146" s="362"/>
      <c r="CV146" s="362"/>
      <c r="CW146" s="362"/>
      <c r="CX146" s="362"/>
      <c r="CY146" s="362"/>
      <c r="CZ146" s="362"/>
      <c r="DA146" s="362"/>
      <c r="DB146" s="362"/>
      <c r="DC146" s="362"/>
      <c r="DD146" s="362"/>
      <c r="DE146" s="362"/>
      <c r="DF146" s="362"/>
      <c r="DG146" s="362"/>
      <c r="DH146" s="362"/>
      <c r="DI146" s="362"/>
      <c r="DJ146" s="362"/>
    </row>
    <row r="147" spans="2:116" x14ac:dyDescent="0.3">
      <c r="AT147" s="370"/>
      <c r="AU147" s="370"/>
      <c r="AV147" s="370"/>
      <c r="AW147" s="370"/>
    </row>
    <row r="148" spans="2:116" x14ac:dyDescent="0.3">
      <c r="AT148" s="370"/>
      <c r="AU148" s="370"/>
      <c r="AV148" s="370"/>
      <c r="AW148" s="370"/>
    </row>
    <row r="149" spans="2:116" x14ac:dyDescent="0.3">
      <c r="AT149" s="96" t="s">
        <v>978</v>
      </c>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6"/>
      <c r="BU149" s="96"/>
      <c r="BV149" s="96"/>
      <c r="BW149" s="96"/>
      <c r="BX149" s="96"/>
      <c r="BY149" s="96"/>
      <c r="BZ149" s="96"/>
      <c r="CA149" s="96"/>
      <c r="CD149" s="49" t="s">
        <v>978</v>
      </c>
      <c r="CE149" s="49"/>
      <c r="CF149" s="49"/>
      <c r="CG149" s="49"/>
      <c r="CH149" s="49"/>
      <c r="CI149" s="49"/>
      <c r="CJ149" s="49"/>
      <c r="CK149" s="49"/>
      <c r="CL149" s="49"/>
      <c r="CM149" s="49"/>
      <c r="CN149" s="49"/>
      <c r="CO149" s="49"/>
      <c r="CP149" s="49"/>
      <c r="CQ149" s="49"/>
      <c r="CR149" s="49"/>
      <c r="CS149" s="49"/>
      <c r="CT149" s="49"/>
      <c r="CU149" s="49"/>
      <c r="CV149" s="49"/>
      <c r="CW149" s="49"/>
      <c r="CX149" s="49"/>
      <c r="CY149" s="49"/>
      <c r="CZ149" s="49"/>
      <c r="DA149" s="49"/>
      <c r="DB149" s="49"/>
      <c r="DC149" s="49"/>
      <c r="DD149" s="49"/>
      <c r="DE149" s="49"/>
      <c r="DF149" s="49"/>
      <c r="DG149" s="49"/>
      <c r="DH149" s="49"/>
      <c r="DI149" s="49"/>
      <c r="DJ149" s="49"/>
      <c r="DK149" s="49"/>
      <c r="DL149" s="49"/>
    </row>
    <row r="150" spans="2:116" x14ac:dyDescent="0.3">
      <c r="AT150" s="605" t="s">
        <v>1004</v>
      </c>
      <c r="AU150" s="370"/>
      <c r="AV150" s="370"/>
      <c r="AW150" s="370"/>
      <c r="CD150" s="605" t="s">
        <v>1004</v>
      </c>
    </row>
    <row r="151" spans="2:116" x14ac:dyDescent="0.3">
      <c r="AT151" s="370"/>
      <c r="AU151" s="370"/>
      <c r="AV151" s="370" t="s">
        <v>1005</v>
      </c>
      <c r="AW151" s="370"/>
      <c r="BA151" s="378" t="s">
        <v>1006</v>
      </c>
      <c r="BD151" s="378" t="s">
        <v>1007</v>
      </c>
      <c r="BJ151" s="378" t="s">
        <v>1008</v>
      </c>
      <c r="BL151" s="378" t="s">
        <v>1009</v>
      </c>
      <c r="BN151" s="378" t="s">
        <v>1010</v>
      </c>
      <c r="BP151" s="378" t="s">
        <v>1011</v>
      </c>
      <c r="CF151" s="378" t="s">
        <v>1005</v>
      </c>
      <c r="CK151" s="378" t="s">
        <v>1006</v>
      </c>
      <c r="CN151" s="378" t="s">
        <v>1007</v>
      </c>
      <c r="CT151" s="378" t="s">
        <v>1008</v>
      </c>
      <c r="CV151" s="378" t="s">
        <v>1009</v>
      </c>
      <c r="CX151" s="378" t="s">
        <v>1010</v>
      </c>
      <c r="CZ151" s="378" t="s">
        <v>1011</v>
      </c>
    </row>
    <row r="152" spans="2:116" x14ac:dyDescent="0.3">
      <c r="AT152" s="370" t="s">
        <v>203</v>
      </c>
      <c r="AU152" s="370" t="s">
        <v>331</v>
      </c>
      <c r="AV152" s="370" t="s">
        <v>1012</v>
      </c>
      <c r="AW152" s="370" t="s">
        <v>1013</v>
      </c>
      <c r="AX152" s="378" t="s">
        <v>1014</v>
      </c>
      <c r="AY152" s="378" t="s">
        <v>1015</v>
      </c>
      <c r="AZ152" s="378" t="s">
        <v>942</v>
      </c>
      <c r="BA152" s="378" t="s">
        <v>1012</v>
      </c>
      <c r="BB152" s="378" t="s">
        <v>1016</v>
      </c>
      <c r="BC152" s="378" t="s">
        <v>807</v>
      </c>
      <c r="BD152" s="378" t="s">
        <v>1012</v>
      </c>
      <c r="BE152" s="378" t="s">
        <v>1016</v>
      </c>
      <c r="BF152" s="378" t="s">
        <v>1017</v>
      </c>
      <c r="BG152" s="378" t="s">
        <v>807</v>
      </c>
      <c r="BH152" s="378" t="s">
        <v>1018</v>
      </c>
      <c r="BI152" s="378" t="s">
        <v>1019</v>
      </c>
      <c r="BJ152" s="378" t="s">
        <v>1020</v>
      </c>
      <c r="BK152" s="378" t="s">
        <v>807</v>
      </c>
      <c r="BL152" s="378" t="s">
        <v>1020</v>
      </c>
      <c r="BM152" s="378" t="s">
        <v>807</v>
      </c>
      <c r="BN152" s="378" t="s">
        <v>1020</v>
      </c>
      <c r="BO152" s="378" t="s">
        <v>807</v>
      </c>
      <c r="BP152" s="378" t="s">
        <v>1020</v>
      </c>
      <c r="BQ152" s="378" t="s">
        <v>807</v>
      </c>
      <c r="CD152" s="378" t="s">
        <v>203</v>
      </c>
      <c r="CE152" s="378" t="s">
        <v>331</v>
      </c>
      <c r="CF152" s="378" t="s">
        <v>1012</v>
      </c>
      <c r="CG152" s="378" t="s">
        <v>1013</v>
      </c>
      <c r="CH152" s="378" t="s">
        <v>1014</v>
      </c>
      <c r="CI152" s="378" t="s">
        <v>1015</v>
      </c>
      <c r="CJ152" s="378" t="s">
        <v>942</v>
      </c>
      <c r="CK152" s="378" t="s">
        <v>1012</v>
      </c>
      <c r="CL152" s="378" t="s">
        <v>1016</v>
      </c>
      <c r="CM152" s="378" t="s">
        <v>807</v>
      </c>
      <c r="CN152" s="378" t="s">
        <v>1012</v>
      </c>
      <c r="CO152" s="378" t="s">
        <v>1016</v>
      </c>
      <c r="CP152" s="378" t="s">
        <v>1017</v>
      </c>
      <c r="CQ152" s="378" t="s">
        <v>807</v>
      </c>
      <c r="CR152" s="378" t="s">
        <v>1018</v>
      </c>
      <c r="CS152" s="378" t="s">
        <v>1019</v>
      </c>
      <c r="CT152" s="378" t="s">
        <v>1020</v>
      </c>
      <c r="CU152" s="378" t="s">
        <v>807</v>
      </c>
      <c r="CV152" s="378" t="s">
        <v>1020</v>
      </c>
      <c r="CW152" s="378" t="s">
        <v>807</v>
      </c>
      <c r="CX152" s="378" t="s">
        <v>1020</v>
      </c>
      <c r="CY152" s="378" t="s">
        <v>807</v>
      </c>
      <c r="CZ152" s="378" t="s">
        <v>1020</v>
      </c>
      <c r="DA152" s="378" t="s">
        <v>807</v>
      </c>
    </row>
    <row r="153" spans="2:116" x14ac:dyDescent="0.3">
      <c r="AT153" s="370"/>
      <c r="AU153" s="370"/>
      <c r="AV153" s="370" t="s">
        <v>109</v>
      </c>
      <c r="AW153" s="370" t="s">
        <v>109</v>
      </c>
      <c r="AX153" s="378" t="s">
        <v>109</v>
      </c>
      <c r="AY153" s="378" t="s">
        <v>109</v>
      </c>
      <c r="AZ153" s="378" t="s">
        <v>943</v>
      </c>
      <c r="BA153" s="378" t="s">
        <v>966</v>
      </c>
      <c r="BB153" s="378" t="s">
        <v>966</v>
      </c>
      <c r="BC153" s="378" t="s">
        <v>966</v>
      </c>
      <c r="BD153" s="378" t="s">
        <v>966</v>
      </c>
      <c r="BE153" s="378" t="s">
        <v>966</v>
      </c>
      <c r="BG153" s="378" t="s">
        <v>966</v>
      </c>
      <c r="BJ153" s="378" t="s">
        <v>966</v>
      </c>
      <c r="BK153" s="378" t="s">
        <v>966</v>
      </c>
      <c r="BL153" s="378" t="s">
        <v>966</v>
      </c>
      <c r="BM153" s="378" t="s">
        <v>966</v>
      </c>
      <c r="BN153" s="378" t="s">
        <v>966</v>
      </c>
      <c r="BO153" s="378" t="s">
        <v>966</v>
      </c>
      <c r="BP153" s="378" t="s">
        <v>966</v>
      </c>
      <c r="BQ153" s="378" t="s">
        <v>966</v>
      </c>
      <c r="CF153" s="378" t="s">
        <v>109</v>
      </c>
      <c r="CG153" s="378" t="s">
        <v>109</v>
      </c>
      <c r="CH153" s="378" t="s">
        <v>109</v>
      </c>
      <c r="CI153" s="378" t="s">
        <v>109</v>
      </c>
      <c r="CJ153" s="378" t="s">
        <v>943</v>
      </c>
      <c r="CK153" s="378" t="s">
        <v>966</v>
      </c>
      <c r="CL153" s="378" t="s">
        <v>966</v>
      </c>
      <c r="CM153" s="378" t="s">
        <v>966</v>
      </c>
      <c r="CN153" s="378" t="s">
        <v>966</v>
      </c>
      <c r="CO153" s="378" t="s">
        <v>966</v>
      </c>
      <c r="CQ153" s="378" t="s">
        <v>966</v>
      </c>
      <c r="CT153" s="378" t="s">
        <v>966</v>
      </c>
      <c r="CU153" s="378" t="s">
        <v>966</v>
      </c>
      <c r="CV153" s="378" t="s">
        <v>966</v>
      </c>
      <c r="CW153" s="378" t="s">
        <v>966</v>
      </c>
      <c r="CX153" s="378" t="s">
        <v>966</v>
      </c>
      <c r="CY153" s="378" t="s">
        <v>966</v>
      </c>
      <c r="CZ153" s="378" t="s">
        <v>966</v>
      </c>
      <c r="DA153" s="378" t="s">
        <v>966</v>
      </c>
    </row>
    <row r="154" spans="2:116" x14ac:dyDescent="0.3">
      <c r="AT154" s="370"/>
      <c r="AU154" s="370"/>
      <c r="AV154" s="370"/>
      <c r="AW154" s="370"/>
    </row>
    <row r="155" spans="2:116" x14ac:dyDescent="0.3">
      <c r="AT155" s="370"/>
      <c r="AU155" s="370"/>
      <c r="AV155" s="370"/>
      <c r="AW155" s="370"/>
    </row>
    <row r="156" spans="2:116" x14ac:dyDescent="0.3">
      <c r="AT156" s="370"/>
      <c r="AU156" s="370"/>
      <c r="AV156" s="370"/>
      <c r="AW156" s="370"/>
    </row>
    <row r="157" spans="2:116" x14ac:dyDescent="0.3">
      <c r="AT157" s="370"/>
      <c r="AU157" s="370"/>
      <c r="AV157" s="370"/>
      <c r="AW157" s="370"/>
    </row>
    <row r="158" spans="2:116" x14ac:dyDescent="0.3">
      <c r="AT158" s="370"/>
      <c r="AU158" s="370"/>
      <c r="AV158" s="370"/>
      <c r="AW158" s="370"/>
    </row>
    <row r="159" spans="2:116" x14ac:dyDescent="0.3">
      <c r="AT159" s="370"/>
      <c r="AU159" s="370"/>
      <c r="AV159" s="370"/>
      <c r="AW159" s="370"/>
    </row>
    <row r="160" spans="2:116" x14ac:dyDescent="0.3">
      <c r="AT160" s="96" t="s">
        <v>978</v>
      </c>
      <c r="AU160" s="96"/>
      <c r="AV160" s="96"/>
      <c r="AW160" s="96"/>
      <c r="AX160" s="96"/>
      <c r="AY160" s="96"/>
      <c r="AZ160" s="96"/>
      <c r="BA160" s="96"/>
      <c r="BB160" s="96"/>
      <c r="BC160" s="96"/>
      <c r="BD160" s="96"/>
      <c r="BE160" s="96"/>
      <c r="BF160" s="96"/>
      <c r="BG160" s="96"/>
      <c r="BH160" s="96"/>
      <c r="BI160" s="96"/>
      <c r="BJ160" s="96"/>
      <c r="BK160" s="96"/>
      <c r="BL160" s="96"/>
      <c r="BM160" s="96"/>
      <c r="BN160" s="96"/>
      <c r="BO160" s="96"/>
      <c r="BP160" s="96"/>
      <c r="BQ160" s="96"/>
      <c r="BR160" s="96"/>
      <c r="BS160" s="96"/>
      <c r="BT160" s="96"/>
      <c r="BU160" s="96"/>
      <c r="BV160" s="96"/>
      <c r="BW160" s="96"/>
      <c r="BX160" s="96"/>
      <c r="BY160" s="96"/>
      <c r="BZ160" s="96"/>
      <c r="CA160" s="96"/>
      <c r="CD160" s="49" t="s">
        <v>978</v>
      </c>
      <c r="CE160" s="49"/>
      <c r="CF160" s="49"/>
      <c r="CG160" s="49"/>
      <c r="CH160" s="49"/>
      <c r="CI160" s="49"/>
      <c r="CJ160" s="49"/>
      <c r="CK160" s="49"/>
      <c r="CL160" s="49"/>
      <c r="CM160" s="49"/>
      <c r="CN160" s="49"/>
      <c r="CO160" s="49"/>
      <c r="CP160" s="49"/>
      <c r="CQ160" s="49"/>
      <c r="CR160" s="49"/>
      <c r="CS160" s="49"/>
      <c r="CT160" s="49"/>
      <c r="CU160" s="49"/>
      <c r="CV160" s="49"/>
      <c r="CW160" s="49"/>
      <c r="CX160" s="49"/>
      <c r="CY160" s="49"/>
      <c r="CZ160" s="49"/>
      <c r="DA160" s="49"/>
      <c r="DB160" s="49"/>
      <c r="DC160" s="49"/>
      <c r="DD160" s="49"/>
      <c r="DE160" s="49"/>
      <c r="DF160" s="49"/>
      <c r="DG160" s="49"/>
      <c r="DH160" s="49"/>
      <c r="DI160" s="49"/>
      <c r="DJ160" s="49"/>
      <c r="DK160" s="49"/>
      <c r="DL160" s="49"/>
    </row>
    <row r="161" spans="46:110" x14ac:dyDescent="0.3">
      <c r="AT161" s="605" t="s">
        <v>212</v>
      </c>
      <c r="AU161" s="370"/>
      <c r="AV161" s="370"/>
      <c r="AW161" s="370"/>
      <c r="CD161" s="605" t="s">
        <v>212</v>
      </c>
    </row>
    <row r="162" spans="46:110" x14ac:dyDescent="0.3">
      <c r="AT162" s="370"/>
      <c r="AU162" s="370"/>
      <c r="AV162" s="370"/>
      <c r="AW162" s="370"/>
      <c r="BA162" s="378" t="s">
        <v>339</v>
      </c>
      <c r="BD162" s="378" t="s">
        <v>959</v>
      </c>
      <c r="BF162" s="378" t="s">
        <v>1022</v>
      </c>
      <c r="BK162" s="378" t="s">
        <v>1023</v>
      </c>
      <c r="BO162" s="378" t="s">
        <v>982</v>
      </c>
      <c r="BQ162" s="378" t="s">
        <v>807</v>
      </c>
      <c r="BT162" s="378" t="s">
        <v>1024</v>
      </c>
      <c r="CK162" s="378" t="s">
        <v>339</v>
      </c>
      <c r="CN162" s="378" t="s">
        <v>959</v>
      </c>
      <c r="CP162" s="378" t="s">
        <v>1022</v>
      </c>
      <c r="CU162" s="378" t="s">
        <v>1023</v>
      </c>
      <c r="CY162" s="378" t="s">
        <v>982</v>
      </c>
      <c r="DA162" s="378" t="s">
        <v>807</v>
      </c>
      <c r="DD162" s="378" t="s">
        <v>1024</v>
      </c>
    </row>
    <row r="163" spans="46:110" x14ac:dyDescent="0.3">
      <c r="AT163" s="370" t="s">
        <v>203</v>
      </c>
      <c r="AU163" s="370" t="s">
        <v>941</v>
      </c>
      <c r="AV163" s="370" t="s">
        <v>1025</v>
      </c>
      <c r="AW163" s="370" t="s">
        <v>190</v>
      </c>
      <c r="AX163" s="378" t="s">
        <v>202</v>
      </c>
      <c r="AY163" s="378" t="s">
        <v>330</v>
      </c>
      <c r="AZ163" s="378" t="s">
        <v>331</v>
      </c>
      <c r="BA163" s="378" t="s">
        <v>985</v>
      </c>
      <c r="BB163" s="378" t="s">
        <v>986</v>
      </c>
      <c r="BC163" s="378" t="s">
        <v>942</v>
      </c>
      <c r="BD163" s="378" t="s">
        <v>987</v>
      </c>
      <c r="BE163" s="378" t="s">
        <v>988</v>
      </c>
      <c r="BF163" s="378" t="s">
        <v>989</v>
      </c>
      <c r="BG163" s="378" t="s">
        <v>990</v>
      </c>
      <c r="BH163" s="378" t="s">
        <v>991</v>
      </c>
      <c r="BI163" s="378" t="s">
        <v>1026</v>
      </c>
      <c r="BJ163" s="378" t="s">
        <v>992</v>
      </c>
      <c r="BK163" s="378" t="s">
        <v>989</v>
      </c>
      <c r="BL163" s="378" t="s">
        <v>990</v>
      </c>
      <c r="BM163" s="378" t="s">
        <v>991</v>
      </c>
      <c r="BN163" s="378" t="s">
        <v>992</v>
      </c>
      <c r="BQ163" s="378" t="s">
        <v>992</v>
      </c>
      <c r="BR163" s="378" t="s">
        <v>1027</v>
      </c>
      <c r="BS163" s="378" t="s">
        <v>1028</v>
      </c>
      <c r="BT163" s="378" t="s">
        <v>959</v>
      </c>
      <c r="BU163" s="378" t="s">
        <v>807</v>
      </c>
      <c r="CD163" s="378" t="s">
        <v>203</v>
      </c>
      <c r="CE163" s="378" t="s">
        <v>941</v>
      </c>
      <c r="CF163" s="378" t="s">
        <v>1025</v>
      </c>
      <c r="CG163" s="378" t="s">
        <v>190</v>
      </c>
      <c r="CH163" s="378" t="s">
        <v>202</v>
      </c>
      <c r="CI163" s="378" t="s">
        <v>330</v>
      </c>
      <c r="CJ163" s="378" t="s">
        <v>331</v>
      </c>
      <c r="CK163" s="378" t="s">
        <v>985</v>
      </c>
      <c r="CL163" s="378" t="s">
        <v>986</v>
      </c>
      <c r="CM163" s="378" t="s">
        <v>942</v>
      </c>
      <c r="CN163" s="378" t="s">
        <v>987</v>
      </c>
      <c r="CO163" s="378" t="s">
        <v>988</v>
      </c>
      <c r="CP163" s="378" t="s">
        <v>989</v>
      </c>
      <c r="CQ163" s="378" t="s">
        <v>990</v>
      </c>
      <c r="CR163" s="378" t="s">
        <v>991</v>
      </c>
      <c r="CS163" s="378" t="s">
        <v>1026</v>
      </c>
      <c r="CT163" s="378" t="s">
        <v>992</v>
      </c>
      <c r="CU163" s="378" t="s">
        <v>989</v>
      </c>
      <c r="CV163" s="378" t="s">
        <v>990</v>
      </c>
      <c r="CW163" s="378" t="s">
        <v>991</v>
      </c>
      <c r="CX163" s="378" t="s">
        <v>992</v>
      </c>
      <c r="DA163" s="378" t="s">
        <v>992</v>
      </c>
      <c r="DB163" s="378" t="s">
        <v>1027</v>
      </c>
      <c r="DC163" s="378" t="s">
        <v>1028</v>
      </c>
      <c r="DD163" s="378" t="s">
        <v>959</v>
      </c>
      <c r="DE163" s="378" t="s">
        <v>807</v>
      </c>
    </row>
    <row r="164" spans="46:110" x14ac:dyDescent="0.3">
      <c r="AT164" s="370"/>
      <c r="AU164" s="370"/>
      <c r="AV164" s="370"/>
      <c r="AW164" s="370"/>
      <c r="AY164" s="378" t="s">
        <v>109</v>
      </c>
      <c r="BA164" s="378" t="s">
        <v>115</v>
      </c>
      <c r="BB164" s="378" t="s">
        <v>115</v>
      </c>
      <c r="BC164" s="378" t="s">
        <v>943</v>
      </c>
      <c r="BF164" s="378" t="s">
        <v>946</v>
      </c>
      <c r="BG164" s="378" t="s">
        <v>154</v>
      </c>
      <c r="BH164" s="378" t="s">
        <v>997</v>
      </c>
      <c r="BI164" s="378" t="s">
        <v>966</v>
      </c>
      <c r="BJ164" s="378" t="s">
        <v>966</v>
      </c>
      <c r="BK164" s="378" t="s">
        <v>946</v>
      </c>
      <c r="BL164" s="378" t="s">
        <v>154</v>
      </c>
      <c r="BM164" s="378" t="s">
        <v>997</v>
      </c>
      <c r="BN164" s="378" t="s">
        <v>966</v>
      </c>
      <c r="BO164" s="378" t="s">
        <v>946</v>
      </c>
      <c r="BP164" s="378" t="s">
        <v>154</v>
      </c>
      <c r="BQ164" s="378" t="s">
        <v>966</v>
      </c>
      <c r="BS164" s="378" t="s">
        <v>966</v>
      </c>
      <c r="BT164" s="378" t="s">
        <v>966</v>
      </c>
      <c r="BU164" s="378" t="s">
        <v>966</v>
      </c>
      <c r="CI164" s="378" t="s">
        <v>109</v>
      </c>
      <c r="CK164" s="378" t="s">
        <v>115</v>
      </c>
      <c r="CL164" s="378" t="s">
        <v>115</v>
      </c>
      <c r="CM164" s="378" t="s">
        <v>943</v>
      </c>
      <c r="CP164" s="378" t="s">
        <v>946</v>
      </c>
      <c r="CQ164" s="378" t="s">
        <v>154</v>
      </c>
      <c r="CR164" s="378" t="s">
        <v>997</v>
      </c>
      <c r="CS164" s="378" t="s">
        <v>966</v>
      </c>
      <c r="CT164" s="378" t="s">
        <v>966</v>
      </c>
      <c r="CU164" s="378" t="s">
        <v>946</v>
      </c>
      <c r="CV164" s="378" t="s">
        <v>154</v>
      </c>
      <c r="CW164" s="378" t="s">
        <v>997</v>
      </c>
      <c r="CX164" s="378" t="s">
        <v>966</v>
      </c>
      <c r="CY164" s="378" t="s">
        <v>946</v>
      </c>
      <c r="CZ164" s="378" t="s">
        <v>154</v>
      </c>
      <c r="DA164" s="378" t="s">
        <v>966</v>
      </c>
      <c r="DC164" s="378" t="s">
        <v>966</v>
      </c>
      <c r="DD164" s="378" t="s">
        <v>966</v>
      </c>
      <c r="DE164" s="378" t="s">
        <v>966</v>
      </c>
    </row>
    <row r="165" spans="46:110" x14ac:dyDescent="0.3">
      <c r="AT165" s="370"/>
      <c r="AU165" s="370"/>
      <c r="AV165" s="370"/>
      <c r="AW165" s="370"/>
    </row>
    <row r="166" spans="46:110" x14ac:dyDescent="0.3">
      <c r="AT166" s="370"/>
      <c r="AU166" s="370"/>
      <c r="AV166" s="370"/>
      <c r="AW166" s="370"/>
    </row>
    <row r="167" spans="46:110" x14ac:dyDescent="0.3">
      <c r="AT167" s="370"/>
      <c r="AU167" s="370"/>
      <c r="AV167" s="370"/>
      <c r="AW167" s="370"/>
    </row>
    <row r="168" spans="46:110" x14ac:dyDescent="0.3">
      <c r="AT168" s="370"/>
      <c r="AU168" s="370"/>
      <c r="AV168" s="370"/>
      <c r="AW168" s="370"/>
      <c r="DF168" s="12"/>
    </row>
    <row r="169" spans="46:110" x14ac:dyDescent="0.3">
      <c r="AT169" s="370"/>
      <c r="AU169" s="370"/>
      <c r="AV169" s="370"/>
      <c r="AW169" s="370"/>
    </row>
    <row r="170" spans="46:110" x14ac:dyDescent="0.3">
      <c r="AT170" s="370"/>
      <c r="AU170" s="370"/>
      <c r="AV170" s="370"/>
      <c r="AW170" s="370"/>
    </row>
    <row r="171" spans="46:110" x14ac:dyDescent="0.3">
      <c r="AT171" s="370"/>
      <c r="AU171" s="370"/>
      <c r="AV171" s="370"/>
      <c r="AW171" s="370"/>
    </row>
    <row r="172" spans="46:110" x14ac:dyDescent="0.3">
      <c r="AT172" s="370"/>
      <c r="AU172" s="370"/>
      <c r="AV172" s="370"/>
      <c r="AW172" s="370"/>
    </row>
    <row r="173" spans="46:110" x14ac:dyDescent="0.3">
      <c r="AT173" s="370"/>
      <c r="AU173" s="370"/>
      <c r="AV173" s="370"/>
      <c r="AW173" s="370"/>
    </row>
    <row r="174" spans="46:110" x14ac:dyDescent="0.3">
      <c r="AT174" s="370"/>
      <c r="AU174" s="370"/>
      <c r="AV174" s="370"/>
      <c r="AW174" s="370"/>
    </row>
    <row r="175" spans="46:110" x14ac:dyDescent="0.3">
      <c r="AT175" s="370"/>
      <c r="AU175" s="370"/>
      <c r="AV175" s="370"/>
      <c r="AW175" s="370"/>
    </row>
    <row r="176" spans="46:110" x14ac:dyDescent="0.3">
      <c r="AT176" s="370"/>
      <c r="AU176" s="370"/>
      <c r="AV176" s="370"/>
      <c r="AW176" s="370"/>
    </row>
    <row r="177" spans="46:116" x14ac:dyDescent="0.3">
      <c r="AT177" s="370"/>
      <c r="AU177" s="370"/>
      <c r="AV177" s="370"/>
      <c r="AW177" s="370"/>
    </row>
    <row r="178" spans="46:116" x14ac:dyDescent="0.3">
      <c r="AT178" s="370"/>
      <c r="AU178" s="370"/>
      <c r="AV178" s="370"/>
      <c r="AW178" s="370"/>
    </row>
    <row r="179" spans="46:116" x14ac:dyDescent="0.3">
      <c r="AT179" s="370"/>
      <c r="AU179" s="370"/>
      <c r="AV179" s="370"/>
      <c r="AW179" s="370"/>
    </row>
    <row r="180" spans="46:116" x14ac:dyDescent="0.3">
      <c r="AT180" s="370"/>
      <c r="AU180" s="370"/>
      <c r="AV180" s="370"/>
      <c r="AW180" s="370"/>
    </row>
    <row r="181" spans="46:116" x14ac:dyDescent="0.3">
      <c r="AT181" s="370"/>
      <c r="AU181" s="370"/>
      <c r="AV181" s="370"/>
      <c r="AW181" s="370"/>
    </row>
    <row r="182" spans="46:116" x14ac:dyDescent="0.3">
      <c r="AT182" s="370"/>
      <c r="AU182" s="370"/>
      <c r="AV182" s="370"/>
      <c r="AW182" s="370"/>
    </row>
    <row r="183" spans="46:116" x14ac:dyDescent="0.3">
      <c r="AT183" s="370"/>
      <c r="AU183" s="370"/>
      <c r="AV183" s="370"/>
      <c r="AW183" s="370"/>
    </row>
    <row r="184" spans="46:116" x14ac:dyDescent="0.3">
      <c r="AT184" s="370"/>
      <c r="AU184" s="370"/>
      <c r="AV184" s="370"/>
      <c r="AW184" s="370"/>
    </row>
    <row r="185" spans="46:116" x14ac:dyDescent="0.3">
      <c r="AT185" s="370"/>
      <c r="AU185" s="370"/>
      <c r="AV185" s="370"/>
      <c r="AW185" s="370"/>
    </row>
    <row r="186" spans="46:116" x14ac:dyDescent="0.3">
      <c r="AT186" s="370"/>
      <c r="AU186" s="370"/>
      <c r="AV186" s="370"/>
      <c r="AW186" s="370"/>
    </row>
    <row r="187" spans="46:116" x14ac:dyDescent="0.3">
      <c r="AT187" s="370"/>
      <c r="AU187" s="370"/>
      <c r="AV187" s="370"/>
      <c r="AW187" s="370"/>
    </row>
    <row r="188" spans="46:116" x14ac:dyDescent="0.3">
      <c r="AT188" s="370"/>
      <c r="AU188" s="370"/>
      <c r="AV188" s="370"/>
      <c r="AW188" s="370"/>
    </row>
    <row r="189" spans="46:116" x14ac:dyDescent="0.3">
      <c r="AT189" s="370"/>
      <c r="AU189" s="370"/>
      <c r="AV189" s="370"/>
      <c r="AW189" s="370"/>
    </row>
    <row r="190" spans="46:116" x14ac:dyDescent="0.3">
      <c r="AT190" s="370"/>
      <c r="AU190" s="370"/>
      <c r="AV190" s="370"/>
      <c r="AW190" s="370"/>
    </row>
    <row r="191" spans="46:116" x14ac:dyDescent="0.3">
      <c r="AT191" s="96" t="s">
        <v>978</v>
      </c>
      <c r="AU191" s="96"/>
      <c r="AV191" s="96"/>
      <c r="AW191" s="96"/>
      <c r="AX191" s="96"/>
      <c r="AY191" s="96"/>
      <c r="AZ191" s="96"/>
      <c r="BA191" s="96"/>
      <c r="BB191" s="96"/>
      <c r="BC191" s="96"/>
      <c r="BD191" s="96"/>
      <c r="BE191" s="96"/>
      <c r="BF191" s="96"/>
      <c r="BG191" s="96"/>
      <c r="BH191" s="96"/>
      <c r="BI191" s="96"/>
      <c r="BJ191" s="96"/>
      <c r="BK191" s="96"/>
      <c r="BL191" s="96"/>
      <c r="BM191" s="96"/>
      <c r="BN191" s="96"/>
      <c r="BO191" s="96"/>
      <c r="BP191" s="96"/>
      <c r="BQ191" s="96"/>
      <c r="BR191" s="96"/>
      <c r="BS191" s="96"/>
      <c r="BT191" s="96"/>
      <c r="BU191" s="96"/>
      <c r="BV191" s="96"/>
      <c r="BW191" s="96"/>
      <c r="BX191" s="96"/>
      <c r="BY191" s="96"/>
      <c r="BZ191" s="96"/>
      <c r="CA191" s="96"/>
      <c r="CD191" s="49" t="s">
        <v>978</v>
      </c>
      <c r="CE191" s="49"/>
      <c r="CF191" s="49"/>
      <c r="CG191" s="49"/>
      <c r="CH191" s="49"/>
      <c r="CI191" s="49"/>
      <c r="CJ191" s="49"/>
      <c r="CK191" s="49"/>
      <c r="CL191" s="49"/>
      <c r="CM191" s="49"/>
      <c r="CN191" s="49"/>
      <c r="CO191" s="49"/>
      <c r="CP191" s="49"/>
      <c r="CQ191" s="49"/>
      <c r="CR191" s="49"/>
      <c r="CS191" s="49"/>
      <c r="CT191" s="49"/>
      <c r="CU191" s="49"/>
      <c r="CV191" s="49"/>
      <c r="CW191" s="49"/>
      <c r="CX191" s="49"/>
      <c r="CY191" s="49"/>
      <c r="CZ191" s="49"/>
      <c r="DA191" s="49"/>
      <c r="DB191" s="49"/>
      <c r="DC191" s="49"/>
      <c r="DD191" s="49"/>
      <c r="DE191" s="49"/>
      <c r="DF191" s="49"/>
      <c r="DG191" s="49"/>
      <c r="DH191" s="49"/>
      <c r="DI191" s="49"/>
      <c r="DJ191" s="49"/>
      <c r="DK191" s="49"/>
      <c r="DL191" s="49"/>
    </row>
    <row r="192" spans="46:116" x14ac:dyDescent="0.3">
      <c r="AT192" s="605" t="s">
        <v>979</v>
      </c>
      <c r="AU192" s="362"/>
      <c r="AV192" s="370"/>
      <c r="AW192" s="370"/>
      <c r="CD192" s="605" t="s">
        <v>979</v>
      </c>
      <c r="CE192" s="362"/>
    </row>
    <row r="193" spans="46:110" x14ac:dyDescent="0.3">
      <c r="AT193" s="370"/>
      <c r="AU193" s="370"/>
      <c r="AV193" s="370"/>
      <c r="AW193" s="370"/>
      <c r="BA193" s="378" t="s">
        <v>339</v>
      </c>
      <c r="BD193" s="378" t="s">
        <v>959</v>
      </c>
      <c r="BF193" s="378" t="s">
        <v>980</v>
      </c>
      <c r="BK193" s="378" t="s">
        <v>981</v>
      </c>
      <c r="BO193" s="378" t="s">
        <v>982</v>
      </c>
      <c r="BR193" s="378" t="s">
        <v>807</v>
      </c>
      <c r="CK193" s="378" t="s">
        <v>339</v>
      </c>
      <c r="CN193" s="378" t="s">
        <v>959</v>
      </c>
      <c r="CP193" s="378" t="s">
        <v>980</v>
      </c>
      <c r="CU193" s="378" t="s">
        <v>981</v>
      </c>
      <c r="CY193" s="378" t="s">
        <v>982</v>
      </c>
      <c r="DB193" s="378" t="s">
        <v>807</v>
      </c>
    </row>
    <row r="194" spans="46:110" x14ac:dyDescent="0.3">
      <c r="AT194" s="370" t="s">
        <v>203</v>
      </c>
      <c r="AU194" s="370" t="s">
        <v>941</v>
      </c>
      <c r="AV194" s="370" t="s">
        <v>137</v>
      </c>
      <c r="AW194" s="370" t="s">
        <v>983</v>
      </c>
      <c r="AX194" s="378" t="s">
        <v>984</v>
      </c>
      <c r="AY194" s="378" t="s">
        <v>330</v>
      </c>
      <c r="AZ194" s="378" t="s">
        <v>331</v>
      </c>
      <c r="BA194" s="378" t="s">
        <v>985</v>
      </c>
      <c r="BB194" s="378" t="s">
        <v>986</v>
      </c>
      <c r="BC194" s="378" t="s">
        <v>942</v>
      </c>
      <c r="BD194" s="378" t="s">
        <v>987</v>
      </c>
      <c r="BE194" s="378" t="s">
        <v>988</v>
      </c>
      <c r="BF194" s="378" t="s">
        <v>989</v>
      </c>
      <c r="BG194" s="378" t="s">
        <v>990</v>
      </c>
      <c r="BH194" s="378" t="s">
        <v>991</v>
      </c>
      <c r="BI194" s="378" t="s">
        <v>992</v>
      </c>
      <c r="BK194" s="378" t="s">
        <v>989</v>
      </c>
      <c r="BL194" s="378" t="s">
        <v>990</v>
      </c>
      <c r="BM194" s="378" t="s">
        <v>991</v>
      </c>
      <c r="BN194" s="378" t="s">
        <v>992</v>
      </c>
      <c r="BO194" s="378" t="s">
        <v>989</v>
      </c>
      <c r="BP194" s="378" t="s">
        <v>990</v>
      </c>
      <c r="BQ194" s="378" t="s">
        <v>992</v>
      </c>
      <c r="BR194" s="378" t="s">
        <v>992</v>
      </c>
      <c r="BS194" s="378" t="s">
        <v>993</v>
      </c>
      <c r="BT194" s="378" t="s">
        <v>994</v>
      </c>
      <c r="BU194" s="378" t="s">
        <v>995</v>
      </c>
      <c r="BV194" s="378" t="s">
        <v>996</v>
      </c>
      <c r="CD194" s="378" t="s">
        <v>203</v>
      </c>
      <c r="CE194" s="378" t="s">
        <v>941</v>
      </c>
      <c r="CF194" s="378" t="s">
        <v>137</v>
      </c>
      <c r="CG194" s="378" t="s">
        <v>983</v>
      </c>
      <c r="CH194" s="378" t="s">
        <v>984</v>
      </c>
      <c r="CI194" s="378" t="s">
        <v>330</v>
      </c>
      <c r="CJ194" s="378" t="s">
        <v>331</v>
      </c>
      <c r="CK194" s="378" t="s">
        <v>985</v>
      </c>
      <c r="CL194" s="378" t="s">
        <v>986</v>
      </c>
      <c r="CM194" s="378" t="s">
        <v>942</v>
      </c>
      <c r="CN194" s="378" t="s">
        <v>987</v>
      </c>
      <c r="CO194" s="378" t="s">
        <v>988</v>
      </c>
      <c r="CP194" s="378" t="s">
        <v>989</v>
      </c>
      <c r="CQ194" s="378" t="s">
        <v>990</v>
      </c>
      <c r="CR194" s="378" t="s">
        <v>991</v>
      </c>
      <c r="CS194" s="378" t="s">
        <v>992</v>
      </c>
      <c r="CU194" s="378" t="s">
        <v>989</v>
      </c>
      <c r="CV194" s="378" t="s">
        <v>990</v>
      </c>
      <c r="CW194" s="378" t="s">
        <v>991</v>
      </c>
      <c r="CX194" s="378" t="s">
        <v>992</v>
      </c>
      <c r="CY194" s="378" t="s">
        <v>989</v>
      </c>
      <c r="CZ194" s="378" t="s">
        <v>990</v>
      </c>
      <c r="DA194" s="378" t="s">
        <v>992</v>
      </c>
      <c r="DB194" s="378" t="s">
        <v>992</v>
      </c>
      <c r="DC194" s="378" t="s">
        <v>993</v>
      </c>
      <c r="DD194" s="378" t="s">
        <v>994</v>
      </c>
      <c r="DE194" s="378" t="s">
        <v>995</v>
      </c>
      <c r="DF194" s="378" t="s">
        <v>996</v>
      </c>
    </row>
    <row r="195" spans="46:110" x14ac:dyDescent="0.3">
      <c r="AT195" s="370"/>
      <c r="AU195" s="370"/>
      <c r="AV195" s="370"/>
      <c r="AW195" s="370"/>
      <c r="AY195" s="378" t="s">
        <v>109</v>
      </c>
      <c r="BA195" s="378" t="s">
        <v>115</v>
      </c>
      <c r="BB195" s="378" t="s">
        <v>115</v>
      </c>
      <c r="BC195" s="378" t="s">
        <v>943</v>
      </c>
      <c r="BF195" s="378" t="s">
        <v>946</v>
      </c>
      <c r="BG195" s="378" t="s">
        <v>154</v>
      </c>
      <c r="BH195" s="378" t="s">
        <v>997</v>
      </c>
      <c r="BJ195" s="378" t="s">
        <v>966</v>
      </c>
      <c r="BK195" s="378" t="s">
        <v>946</v>
      </c>
      <c r="BL195" s="378" t="s">
        <v>154</v>
      </c>
      <c r="BM195" s="378" t="s">
        <v>997</v>
      </c>
      <c r="BN195" s="378" t="s">
        <v>966</v>
      </c>
      <c r="BO195" s="378" t="s">
        <v>946</v>
      </c>
      <c r="BP195" s="378" t="s">
        <v>154</v>
      </c>
      <c r="BQ195" s="378" t="s">
        <v>966</v>
      </c>
      <c r="BR195" s="378" t="s">
        <v>966</v>
      </c>
      <c r="CI195" s="378" t="s">
        <v>109</v>
      </c>
      <c r="CK195" s="378" t="s">
        <v>115</v>
      </c>
      <c r="CL195" s="378" t="s">
        <v>115</v>
      </c>
      <c r="CM195" s="378" t="s">
        <v>943</v>
      </c>
      <c r="CP195" s="378" t="s">
        <v>946</v>
      </c>
      <c r="CQ195" s="378" t="s">
        <v>154</v>
      </c>
      <c r="CR195" s="378" t="s">
        <v>997</v>
      </c>
      <c r="CT195" s="378" t="s">
        <v>966</v>
      </c>
      <c r="CU195" s="378" t="s">
        <v>946</v>
      </c>
      <c r="CV195" s="378" t="s">
        <v>154</v>
      </c>
      <c r="CW195" s="378" t="s">
        <v>997</v>
      </c>
      <c r="CX195" s="378" t="s">
        <v>966</v>
      </c>
      <c r="CY195" s="378" t="s">
        <v>946</v>
      </c>
      <c r="CZ195" s="378" t="s">
        <v>154</v>
      </c>
      <c r="DA195" s="378" t="s">
        <v>966</v>
      </c>
      <c r="DB195" s="378" t="s">
        <v>966</v>
      </c>
    </row>
    <row r="196" spans="46:110" x14ac:dyDescent="0.3">
      <c r="AT196" s="370"/>
      <c r="AU196" s="370"/>
      <c r="AV196" s="370"/>
      <c r="AW196" s="370"/>
    </row>
    <row r="197" spans="46:110" x14ac:dyDescent="0.3">
      <c r="AT197" s="370"/>
      <c r="AU197" s="370"/>
      <c r="AV197" s="370"/>
      <c r="AW197" s="370"/>
    </row>
    <row r="198" spans="46:110" x14ac:dyDescent="0.3">
      <c r="AT198" s="370"/>
      <c r="AU198" s="370"/>
      <c r="AV198" s="370"/>
      <c r="AW198" s="370"/>
    </row>
    <row r="199" spans="46:110" x14ac:dyDescent="0.3">
      <c r="AT199" s="370"/>
      <c r="AU199" s="370"/>
      <c r="AV199" s="370"/>
      <c r="AW199" s="370"/>
    </row>
    <row r="200" spans="46:110" x14ac:dyDescent="0.3">
      <c r="AT200" s="370"/>
      <c r="AU200" s="370"/>
      <c r="AV200" s="370"/>
      <c r="AW200" s="370"/>
    </row>
    <row r="201" spans="46:110" x14ac:dyDescent="0.3">
      <c r="AT201" s="370"/>
      <c r="AU201" s="370"/>
      <c r="AV201" s="370"/>
      <c r="AW201" s="370"/>
    </row>
    <row r="202" spans="46:110" x14ac:dyDescent="0.3">
      <c r="AT202" s="370"/>
      <c r="AU202" s="370"/>
      <c r="AV202" s="370"/>
      <c r="AW202" s="370"/>
    </row>
    <row r="203" spans="46:110" x14ac:dyDescent="0.3">
      <c r="AT203" s="370"/>
      <c r="AU203" s="370"/>
      <c r="AV203" s="370"/>
      <c r="AW203" s="370"/>
    </row>
    <row r="204" spans="46:110" x14ac:dyDescent="0.3">
      <c r="AT204" s="370"/>
      <c r="AU204" s="370"/>
      <c r="AV204" s="370"/>
      <c r="AW204" s="370"/>
    </row>
    <row r="205" spans="46:110" x14ac:dyDescent="0.3">
      <c r="AT205" s="370"/>
      <c r="AU205" s="370"/>
      <c r="AV205" s="370"/>
      <c r="AW205" s="370"/>
    </row>
    <row r="206" spans="46:110" x14ac:dyDescent="0.3">
      <c r="AT206" s="370"/>
      <c r="AU206" s="370"/>
      <c r="AV206" s="370"/>
      <c r="AW206" s="370"/>
    </row>
    <row r="207" spans="46:110" x14ac:dyDescent="0.3">
      <c r="AT207" s="370"/>
      <c r="AU207" s="370"/>
      <c r="AV207" s="370"/>
      <c r="AW207" s="370"/>
    </row>
    <row r="208" spans="46:110" x14ac:dyDescent="0.3">
      <c r="AT208" s="370"/>
      <c r="AU208" s="370"/>
      <c r="AV208" s="370"/>
      <c r="AW208" s="370"/>
    </row>
    <row r="209" spans="46:49" x14ac:dyDescent="0.3">
      <c r="AT209" s="370"/>
      <c r="AU209" s="370"/>
      <c r="AV209" s="370"/>
      <c r="AW209" s="370"/>
    </row>
    <row r="210" spans="46:49" x14ac:dyDescent="0.3">
      <c r="AT210" s="370"/>
      <c r="AU210" s="370"/>
      <c r="AV210" s="370"/>
      <c r="AW210" s="370"/>
    </row>
    <row r="211" spans="46:49" x14ac:dyDescent="0.3">
      <c r="AT211" s="370"/>
      <c r="AU211" s="370"/>
      <c r="AV211" s="370"/>
      <c r="AW211" s="370"/>
    </row>
    <row r="212" spans="46:49" x14ac:dyDescent="0.3">
      <c r="AT212" s="370"/>
      <c r="AU212" s="370"/>
      <c r="AV212" s="370"/>
      <c r="AW212" s="370"/>
    </row>
    <row r="213" spans="46:49" x14ac:dyDescent="0.3">
      <c r="AT213" s="370"/>
      <c r="AU213" s="370"/>
      <c r="AV213" s="370"/>
      <c r="AW213" s="370"/>
    </row>
    <row r="214" spans="46:49" x14ac:dyDescent="0.3">
      <c r="AT214" s="370"/>
      <c r="AU214" s="370"/>
      <c r="AV214" s="370"/>
      <c r="AW214" s="370"/>
    </row>
    <row r="215" spans="46:49" x14ac:dyDescent="0.3">
      <c r="AT215" s="370"/>
      <c r="AU215" s="370"/>
      <c r="AV215" s="370"/>
      <c r="AW215" s="370"/>
    </row>
    <row r="216" spans="46:49" x14ac:dyDescent="0.3">
      <c r="AT216" s="370"/>
      <c r="AU216" s="370"/>
      <c r="AV216" s="370"/>
      <c r="AW216" s="370"/>
    </row>
    <row r="217" spans="46:49" x14ac:dyDescent="0.3">
      <c r="AT217" s="370"/>
      <c r="AU217" s="370"/>
      <c r="AV217" s="370"/>
      <c r="AW217" s="370"/>
    </row>
    <row r="218" spans="46:49" x14ac:dyDescent="0.3">
      <c r="AT218" s="370"/>
      <c r="AU218" s="370"/>
      <c r="AV218" s="370"/>
      <c r="AW218" s="370"/>
    </row>
    <row r="219" spans="46:49" x14ac:dyDescent="0.3">
      <c r="AT219" s="370"/>
      <c r="AU219" s="370"/>
      <c r="AV219" s="370"/>
      <c r="AW219" s="370"/>
    </row>
    <row r="220" spans="46:49" x14ac:dyDescent="0.3">
      <c r="AT220" s="370"/>
      <c r="AU220" s="370"/>
      <c r="AV220" s="370"/>
      <c r="AW220" s="370"/>
    </row>
    <row r="221" spans="46:49" x14ac:dyDescent="0.3">
      <c r="AT221" s="370"/>
      <c r="AU221" s="370"/>
      <c r="AV221" s="370"/>
      <c r="AW221" s="370"/>
    </row>
    <row r="222" spans="46:49" x14ac:dyDescent="0.3">
      <c r="AT222" s="370"/>
      <c r="AU222" s="370"/>
      <c r="AV222" s="370"/>
      <c r="AW222" s="370"/>
    </row>
    <row r="223" spans="46:49" x14ac:dyDescent="0.3">
      <c r="AT223" s="370"/>
      <c r="AU223" s="370"/>
      <c r="AV223" s="370"/>
      <c r="AW223" s="370"/>
    </row>
    <row r="224" spans="46:49" x14ac:dyDescent="0.3">
      <c r="AT224" s="370"/>
      <c r="AU224" s="370"/>
      <c r="AV224" s="370"/>
      <c r="AW224" s="370"/>
    </row>
    <row r="225" spans="46:49" x14ac:dyDescent="0.3">
      <c r="AT225" s="370"/>
      <c r="AU225" s="370"/>
      <c r="AV225" s="370"/>
      <c r="AW225" s="370"/>
    </row>
    <row r="226" spans="46:49" x14ac:dyDescent="0.3">
      <c r="AT226" s="370"/>
      <c r="AU226" s="370"/>
      <c r="AV226" s="370"/>
      <c r="AW226" s="370"/>
    </row>
    <row r="227" spans="46:49" x14ac:dyDescent="0.3">
      <c r="AT227" s="370"/>
      <c r="AU227" s="370"/>
      <c r="AV227" s="370"/>
      <c r="AW227" s="370"/>
    </row>
    <row r="228" spans="46:49" x14ac:dyDescent="0.3">
      <c r="AT228" s="370"/>
      <c r="AU228" s="370"/>
      <c r="AV228" s="370"/>
      <c r="AW228" s="370"/>
    </row>
    <row r="229" spans="46:49" x14ac:dyDescent="0.3">
      <c r="AT229" s="370"/>
      <c r="AU229" s="370"/>
      <c r="AV229" s="370"/>
      <c r="AW229" s="370"/>
    </row>
    <row r="230" spans="46:49" x14ac:dyDescent="0.3">
      <c r="AT230" s="370"/>
      <c r="AU230" s="370"/>
      <c r="AV230" s="370"/>
      <c r="AW230" s="370"/>
    </row>
    <row r="231" spans="46:49" x14ac:dyDescent="0.3">
      <c r="AT231" s="370"/>
      <c r="AU231" s="370"/>
      <c r="AV231" s="370"/>
      <c r="AW231" s="370"/>
    </row>
    <row r="232" spans="46:49" x14ac:dyDescent="0.3">
      <c r="AT232" s="370"/>
      <c r="AU232" s="370"/>
      <c r="AV232" s="370"/>
      <c r="AW232" s="370"/>
    </row>
    <row r="233" spans="46:49" x14ac:dyDescent="0.3">
      <c r="AT233" s="370"/>
      <c r="AU233" s="370"/>
      <c r="AV233" s="370"/>
      <c r="AW233" s="370"/>
    </row>
    <row r="234" spans="46:49" x14ac:dyDescent="0.3">
      <c r="AT234" s="370"/>
      <c r="AU234" s="370"/>
      <c r="AV234" s="370"/>
      <c r="AW234" s="370"/>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AM57"/>
  <sheetViews>
    <sheetView zoomScale="80" zoomScaleNormal="80" workbookViewId="0">
      <selection activeCell="G7" sqref="G7"/>
    </sheetView>
  </sheetViews>
  <sheetFormatPr defaultColWidth="9.109375" defaultRowHeight="13.8" outlineLevelCol="1" x14ac:dyDescent="0.3"/>
  <cols>
    <col min="1" max="1" width="3.6640625" style="369" customWidth="1"/>
    <col min="2" max="2" width="21.6640625" style="85" customWidth="1"/>
    <col min="3" max="3" width="23.44140625" style="371" customWidth="1"/>
    <col min="4" max="4" width="2.6640625" style="378" customWidth="1"/>
    <col min="5" max="5" width="28.109375" style="378" bestFit="1" customWidth="1"/>
    <col min="6" max="6" width="2.6640625" style="378" customWidth="1"/>
    <col min="7" max="7" width="22.44140625" style="372" bestFit="1" customWidth="1"/>
    <col min="8" max="8" width="2.6640625" style="378" customWidth="1"/>
    <col min="9" max="9" width="17.33203125" style="378" customWidth="1"/>
    <col min="10" max="10" width="2.6640625" style="378" customWidth="1"/>
    <col min="11" max="11" width="18.44140625" style="378" customWidth="1"/>
    <col min="12" max="12" width="2.6640625" style="378" customWidth="1"/>
    <col min="13" max="13" width="18.33203125" style="378" customWidth="1"/>
    <col min="14" max="14" width="2.6640625" style="378" customWidth="1"/>
    <col min="15" max="39" width="9.109375" style="378" customWidth="1" outlineLevel="1"/>
    <col min="40" max="16384" width="9.109375" style="378"/>
  </cols>
  <sheetData>
    <row r="1" spans="1:36" x14ac:dyDescent="0.3">
      <c r="A1" s="67"/>
      <c r="B1" s="67"/>
      <c r="C1" s="67"/>
      <c r="D1" s="67"/>
      <c r="E1" s="67"/>
      <c r="F1" s="67"/>
      <c r="G1" s="72"/>
      <c r="H1" s="67"/>
      <c r="I1" s="67"/>
      <c r="J1" s="67"/>
      <c r="K1" s="67"/>
      <c r="L1" s="67"/>
      <c r="M1" s="67"/>
      <c r="N1" s="67"/>
    </row>
    <row r="2" spans="1:36" s="369" customFormat="1" x14ac:dyDescent="0.3">
      <c r="B2" s="567" t="s">
        <v>5</v>
      </c>
      <c r="C2" s="567"/>
      <c r="D2" s="574"/>
      <c r="E2" s="567" t="s">
        <v>6</v>
      </c>
      <c r="G2" s="66"/>
      <c r="J2" s="567"/>
      <c r="K2" s="568" t="s">
        <v>1101</v>
      </c>
    </row>
    <row r="3" spans="1:36" s="369" customFormat="1" ht="14.4" x14ac:dyDescent="0.3">
      <c r="B3" s="369" t="s">
        <v>0</v>
      </c>
      <c r="C3" s="89" t="s">
        <v>932</v>
      </c>
      <c r="E3" s="369" t="s">
        <v>8</v>
      </c>
      <c r="G3" s="88" t="str">
        <f>'Documentation Main Sheet'!I2</f>
        <v>r6055</v>
      </c>
      <c r="I3" s="403"/>
      <c r="J3" s="569"/>
      <c r="K3" s="369" t="s">
        <v>1102</v>
      </c>
    </row>
    <row r="4" spans="1:36" s="369" customFormat="1" x14ac:dyDescent="0.3">
      <c r="B4" s="369" t="s">
        <v>1</v>
      </c>
      <c r="C4" s="369" t="str">
        <f>C3&amp;".cibd19"</f>
        <v>030006S-OffMed-Run12.cibd19</v>
      </c>
      <c r="E4" s="369" t="s">
        <v>110</v>
      </c>
      <c r="G4" s="369" t="str">
        <f>'Documentation Main Sheet'!I3</f>
        <v>Release package</v>
      </c>
      <c r="I4" s="403"/>
      <c r="J4" s="570">
        <v>1</v>
      </c>
      <c r="K4" s="378" t="s">
        <v>1103</v>
      </c>
    </row>
    <row r="5" spans="1:36" s="369" customFormat="1" x14ac:dyDescent="0.3">
      <c r="B5" s="369" t="s">
        <v>54</v>
      </c>
      <c r="C5" s="369" t="s">
        <v>56</v>
      </c>
      <c r="E5" s="369" t="s">
        <v>7</v>
      </c>
      <c r="G5" s="369" t="str">
        <f>'Documentation Main Sheet'!I4</f>
        <v>CBECC-Com 209.1.0 release</v>
      </c>
      <c r="I5" s="403"/>
      <c r="J5" s="571">
        <v>1</v>
      </c>
      <c r="K5" s="378" t="s">
        <v>1103</v>
      </c>
      <c r="L5" s="62"/>
      <c r="M5" s="62"/>
      <c r="N5" s="62"/>
    </row>
    <row r="6" spans="1:36" s="369" customFormat="1" x14ac:dyDescent="0.3">
      <c r="B6" s="369" t="s">
        <v>390</v>
      </c>
      <c r="C6" s="85" t="s">
        <v>395</v>
      </c>
      <c r="E6" s="369" t="s">
        <v>2</v>
      </c>
      <c r="G6" s="62">
        <v>43768</v>
      </c>
      <c r="I6" s="404"/>
      <c r="J6" s="572">
        <v>1</v>
      </c>
      <c r="K6" s="381" t="s">
        <v>1104</v>
      </c>
    </row>
    <row r="7" spans="1:36" s="369" customFormat="1" x14ac:dyDescent="0.3">
      <c r="B7" s="369" t="s">
        <v>432</v>
      </c>
      <c r="C7" s="85" t="s">
        <v>403</v>
      </c>
      <c r="E7" s="369" t="s">
        <v>3</v>
      </c>
      <c r="G7" s="369" t="s">
        <v>1544</v>
      </c>
      <c r="H7" s="76"/>
      <c r="I7" s="403"/>
      <c r="J7" s="573">
        <v>1</v>
      </c>
      <c r="K7" s="378" t="s">
        <v>1105</v>
      </c>
    </row>
    <row r="8" spans="1:36" s="369" customFormat="1" x14ac:dyDescent="0.3">
      <c r="B8" s="369" t="s">
        <v>952</v>
      </c>
      <c r="C8" s="85" t="s">
        <v>953</v>
      </c>
      <c r="G8" s="381"/>
      <c r="J8" s="796">
        <v>1</v>
      </c>
      <c r="K8" s="369" t="s">
        <v>1396</v>
      </c>
    </row>
    <row r="9" spans="1:36" s="369" customFormat="1" x14ac:dyDescent="0.3">
      <c r="G9" s="66"/>
    </row>
    <row r="10" spans="1:36" s="87" customFormat="1" x14ac:dyDescent="0.3">
      <c r="A10" s="288"/>
      <c r="B10" s="341" t="s">
        <v>37</v>
      </c>
      <c r="C10" s="288"/>
      <c r="D10" s="288"/>
      <c r="E10" s="288"/>
      <c r="F10" s="288"/>
      <c r="G10" s="288"/>
      <c r="H10" s="288"/>
      <c r="I10" s="288"/>
      <c r="J10" s="288"/>
      <c r="K10" s="288"/>
      <c r="L10" s="288"/>
      <c r="M10" s="288"/>
    </row>
    <row r="11" spans="1:36" s="82" customFormat="1" ht="14.4" x14ac:dyDescent="0.3">
      <c r="A11" s="70"/>
      <c r="B11" s="382" t="s">
        <v>114</v>
      </c>
      <c r="D11" s="84"/>
      <c r="F11" s="84"/>
      <c r="H11" s="84"/>
      <c r="J11" s="84"/>
      <c r="L11" s="84"/>
      <c r="N11" s="87"/>
      <c r="O11" s="945"/>
      <c r="P11" s="945"/>
      <c r="Q11" s="945"/>
      <c r="R11" s="945"/>
      <c r="S11" s="946" t="s">
        <v>1458</v>
      </c>
      <c r="T11" s="397" t="s">
        <v>343</v>
      </c>
      <c r="U11" s="397"/>
      <c r="V11" s="397"/>
      <c r="W11" s="397"/>
      <c r="X11" s="397"/>
      <c r="Y11" s="397"/>
      <c r="Z11" s="397"/>
      <c r="AA11" s="397"/>
      <c r="AB11" s="397"/>
      <c r="AC11" s="397"/>
      <c r="AD11" s="397"/>
      <c r="AE11" s="397"/>
      <c r="AF11" s="397"/>
      <c r="AG11" s="397"/>
      <c r="AH11" s="397"/>
      <c r="AI11" s="397"/>
      <c r="AJ11" s="397"/>
    </row>
    <row r="12" spans="1:36" s="82" customFormat="1" ht="14.4" x14ac:dyDescent="0.3">
      <c r="B12" s="77" t="s">
        <v>212</v>
      </c>
      <c r="D12" s="84"/>
      <c r="F12" s="84"/>
      <c r="H12" s="84"/>
      <c r="J12" s="84"/>
      <c r="L12" s="84"/>
      <c r="N12" s="87"/>
      <c r="T12" s="397" t="s">
        <v>212</v>
      </c>
      <c r="U12" s="397"/>
      <c r="V12" s="397"/>
      <c r="W12" s="397"/>
      <c r="X12" s="397"/>
      <c r="Y12" s="397" t="s">
        <v>324</v>
      </c>
      <c r="Z12" s="397"/>
      <c r="AA12" s="397"/>
      <c r="AB12" s="397"/>
      <c r="AC12" s="397"/>
      <c r="AD12" s="397"/>
      <c r="AE12" s="397"/>
      <c r="AF12" s="397"/>
      <c r="AG12" s="397" t="s">
        <v>325</v>
      </c>
      <c r="AH12" s="397"/>
      <c r="AI12" s="397"/>
      <c r="AJ12" s="397"/>
    </row>
    <row r="13" spans="1:36" s="77" customFormat="1" ht="55.2" x14ac:dyDescent="0.3">
      <c r="B13" s="108" t="s">
        <v>138</v>
      </c>
      <c r="C13" s="116" t="s">
        <v>190</v>
      </c>
      <c r="D13" s="280"/>
      <c r="E13" s="110" t="s">
        <v>597</v>
      </c>
      <c r="F13" s="280"/>
      <c r="G13" s="110" t="s">
        <v>645</v>
      </c>
      <c r="H13" s="223"/>
      <c r="I13" s="168" t="s">
        <v>598</v>
      </c>
      <c r="J13" s="280"/>
      <c r="K13" s="110" t="s">
        <v>123</v>
      </c>
      <c r="L13" s="223"/>
      <c r="M13" s="110" t="s">
        <v>161</v>
      </c>
      <c r="N13" s="81"/>
      <c r="T13" s="397" t="s">
        <v>203</v>
      </c>
      <c r="U13" s="397" t="s">
        <v>291</v>
      </c>
      <c r="V13" s="397" t="s">
        <v>190</v>
      </c>
      <c r="W13" s="397" t="s">
        <v>920</v>
      </c>
      <c r="X13" s="397" t="s">
        <v>330</v>
      </c>
      <c r="Y13" s="397" t="s">
        <v>1124</v>
      </c>
      <c r="Z13" s="397" t="s">
        <v>344</v>
      </c>
      <c r="AA13" s="397" t="s">
        <v>333</v>
      </c>
      <c r="AB13" s="397" t="s">
        <v>334</v>
      </c>
      <c r="AC13" s="397" t="s">
        <v>345</v>
      </c>
      <c r="AD13" s="397" t="s">
        <v>346</v>
      </c>
      <c r="AE13" s="397" t="s">
        <v>347</v>
      </c>
      <c r="AF13" s="397" t="s">
        <v>348</v>
      </c>
      <c r="AG13" s="397" t="s">
        <v>349</v>
      </c>
      <c r="AH13" s="397" t="s">
        <v>333</v>
      </c>
      <c r="AI13" s="397" t="s">
        <v>334</v>
      </c>
      <c r="AJ13" s="397" t="s">
        <v>350</v>
      </c>
    </row>
    <row r="14" spans="1:36" s="369" customFormat="1" ht="15" thickBot="1" x14ac:dyDescent="0.35">
      <c r="B14" s="100" t="s">
        <v>213</v>
      </c>
      <c r="C14" s="117"/>
      <c r="D14" s="100"/>
      <c r="E14" s="523" t="s">
        <v>970</v>
      </c>
      <c r="F14" s="100"/>
      <c r="G14" s="523" t="s">
        <v>970</v>
      </c>
      <c r="H14" s="215"/>
      <c r="I14" s="215" t="s">
        <v>149</v>
      </c>
      <c r="J14" s="100"/>
      <c r="K14" s="101" t="s">
        <v>150</v>
      </c>
      <c r="L14" s="215"/>
      <c r="M14" s="101" t="s">
        <v>319</v>
      </c>
      <c r="N14" s="87"/>
      <c r="T14" s="397"/>
      <c r="U14" s="397"/>
      <c r="V14" s="397"/>
      <c r="W14" s="397"/>
      <c r="X14" s="397" t="s">
        <v>109</v>
      </c>
      <c r="Y14" s="397"/>
      <c r="Z14" s="397" t="s">
        <v>164</v>
      </c>
      <c r="AA14" s="397"/>
      <c r="AB14" s="397" t="s">
        <v>336</v>
      </c>
      <c r="AC14" s="397"/>
      <c r="AD14" s="397" t="s">
        <v>164</v>
      </c>
      <c r="AE14" s="397" t="s">
        <v>164</v>
      </c>
      <c r="AF14" s="397" t="s">
        <v>351</v>
      </c>
      <c r="AG14" s="397" t="s">
        <v>164</v>
      </c>
      <c r="AH14" s="397"/>
      <c r="AI14" s="397" t="s">
        <v>336</v>
      </c>
      <c r="AJ14" s="397" t="s">
        <v>351</v>
      </c>
    </row>
    <row r="15" spans="1:36" s="369" customFormat="1" ht="42" thickTop="1" x14ac:dyDescent="0.3">
      <c r="B15" s="124" t="s">
        <v>85</v>
      </c>
      <c r="C15" s="85" t="s">
        <v>1468</v>
      </c>
      <c r="D15" s="927"/>
      <c r="E15" s="829">
        <f>ROUND(7936/10587,2)</f>
        <v>0.75</v>
      </c>
      <c r="F15" s="927"/>
      <c r="G15" s="829">
        <f>ROUND(2112/10587,2)</f>
        <v>0.2</v>
      </c>
      <c r="H15" s="141" t="str">
        <f>IF(I15=AF15,"X","")</f>
        <v/>
      </c>
      <c r="I15" s="953">
        <f>E15+G15</f>
        <v>0.95</v>
      </c>
      <c r="J15" s="134" t="str">
        <f>IF(K15=AA15,"X","")</f>
        <v/>
      </c>
      <c r="K15" s="366" t="s">
        <v>132</v>
      </c>
      <c r="L15" s="141" t="str">
        <f>IF(M15=Y15,"X","")</f>
        <v/>
      </c>
      <c r="M15" s="366" t="s">
        <v>1457</v>
      </c>
      <c r="N15" s="87"/>
      <c r="T15" s="397" t="s">
        <v>85</v>
      </c>
      <c r="U15" s="397" t="s">
        <v>1456</v>
      </c>
      <c r="V15" s="397" t="s">
        <v>1468</v>
      </c>
      <c r="W15" s="397" t="s">
        <v>435</v>
      </c>
      <c r="X15" s="397">
        <v>10586.7</v>
      </c>
      <c r="Y15" s="397"/>
      <c r="Z15" s="397">
        <v>10048</v>
      </c>
      <c r="AA15" s="397"/>
      <c r="AB15" s="397">
        <v>3340.2</v>
      </c>
      <c r="AC15" s="397">
        <v>-99996</v>
      </c>
      <c r="AD15" s="397">
        <v>0</v>
      </c>
      <c r="AE15" s="397">
        <v>10048</v>
      </c>
      <c r="AF15" s="397"/>
      <c r="AG15" s="397"/>
      <c r="AH15" s="397"/>
      <c r="AI15" s="397"/>
      <c r="AJ15" s="397"/>
    </row>
    <row r="16" spans="1:36" s="369" customFormat="1" ht="14.4" x14ac:dyDescent="0.3">
      <c r="B16" s="124" t="s">
        <v>87</v>
      </c>
      <c r="C16" s="247" t="s">
        <v>1466</v>
      </c>
      <c r="D16" s="1024"/>
      <c r="E16" s="829">
        <v>0.5</v>
      </c>
      <c r="F16" s="1024" t="s">
        <v>14</v>
      </c>
      <c r="G16" s="829" t="s">
        <v>14</v>
      </c>
      <c r="H16" s="176" t="str">
        <f t="shared" ref="H16:H31" si="0">IF(I16=AF16,"X","")</f>
        <v/>
      </c>
      <c r="I16" s="1">
        <v>0.5</v>
      </c>
      <c r="J16" s="136" t="str">
        <f t="shared" ref="J16:J31" si="1">IF(K16=AA16,"X","")</f>
        <v/>
      </c>
      <c r="K16" s="366" t="s">
        <v>132</v>
      </c>
      <c r="L16" s="141" t="str">
        <f t="shared" ref="L16:L31" si="2">IF(M16=Y16,"X","")</f>
        <v/>
      </c>
      <c r="M16" s="366" t="s">
        <v>1457</v>
      </c>
      <c r="N16" s="87"/>
      <c r="T16" s="397" t="s">
        <v>87</v>
      </c>
      <c r="U16" s="397" t="s">
        <v>1456</v>
      </c>
      <c r="V16" s="397" t="s">
        <v>1466</v>
      </c>
      <c r="W16" s="397" t="s">
        <v>435</v>
      </c>
      <c r="X16" s="397">
        <v>2231.7600000000002</v>
      </c>
      <c r="Y16" s="397"/>
      <c r="Z16" s="397">
        <v>1115.8800000000001</v>
      </c>
      <c r="AA16" s="397"/>
      <c r="AB16" s="397">
        <v>3340.2</v>
      </c>
      <c r="AC16" s="397">
        <v>-99996</v>
      </c>
      <c r="AD16" s="397">
        <v>0</v>
      </c>
      <c r="AE16" s="397">
        <v>1115.8800000000001</v>
      </c>
      <c r="AF16" s="397"/>
      <c r="AG16" s="397"/>
      <c r="AH16" s="397"/>
      <c r="AI16" s="397"/>
      <c r="AJ16" s="397"/>
    </row>
    <row r="17" spans="2:36" ht="14.4" x14ac:dyDescent="0.3">
      <c r="B17" s="124" t="s">
        <v>88</v>
      </c>
      <c r="C17" s="66" t="s">
        <v>1466</v>
      </c>
      <c r="D17" s="1024"/>
      <c r="E17" s="829">
        <v>0.5</v>
      </c>
      <c r="F17" s="1024" t="s">
        <v>14</v>
      </c>
      <c r="G17" s="829" t="s">
        <v>14</v>
      </c>
      <c r="H17" s="176" t="str">
        <f t="shared" si="0"/>
        <v/>
      </c>
      <c r="I17" s="1">
        <v>0.5</v>
      </c>
      <c r="J17" s="136" t="str">
        <f t="shared" si="1"/>
        <v/>
      </c>
      <c r="K17" s="366" t="s">
        <v>132</v>
      </c>
      <c r="L17" s="141" t="str">
        <f t="shared" si="2"/>
        <v/>
      </c>
      <c r="M17" s="366" t="s">
        <v>1457</v>
      </c>
      <c r="N17" s="87"/>
      <c r="T17" s="397" t="s">
        <v>88</v>
      </c>
      <c r="U17" s="397" t="s">
        <v>1456</v>
      </c>
      <c r="V17" s="397" t="s">
        <v>1466</v>
      </c>
      <c r="W17" s="397" t="s">
        <v>435</v>
      </c>
      <c r="X17" s="397">
        <v>1412.9</v>
      </c>
      <c r="Y17" s="397"/>
      <c r="Z17" s="397">
        <v>706.45</v>
      </c>
      <c r="AA17" s="397"/>
      <c r="AB17" s="397">
        <v>3340.2</v>
      </c>
      <c r="AC17" s="397">
        <v>-99996</v>
      </c>
      <c r="AD17" s="397">
        <v>0</v>
      </c>
      <c r="AE17" s="397">
        <v>706.45</v>
      </c>
      <c r="AF17" s="397"/>
      <c r="AG17" s="397"/>
      <c r="AH17" s="397"/>
      <c r="AI17" s="397"/>
      <c r="AJ17" s="397"/>
    </row>
    <row r="18" spans="2:36" s="369" customFormat="1" ht="14.4" x14ac:dyDescent="0.3">
      <c r="B18" s="124" t="s">
        <v>89</v>
      </c>
      <c r="C18" s="247" t="s">
        <v>1466</v>
      </c>
      <c r="D18" s="1024"/>
      <c r="E18" s="829">
        <v>0.5</v>
      </c>
      <c r="F18" s="1024" t="s">
        <v>14</v>
      </c>
      <c r="G18" s="829" t="s">
        <v>14</v>
      </c>
      <c r="H18" s="176" t="str">
        <f t="shared" si="0"/>
        <v/>
      </c>
      <c r="I18" s="1">
        <v>0.5</v>
      </c>
      <c r="J18" s="136" t="str">
        <f t="shared" si="1"/>
        <v/>
      </c>
      <c r="K18" s="366" t="s">
        <v>132</v>
      </c>
      <c r="L18" s="141" t="str">
        <f t="shared" si="2"/>
        <v/>
      </c>
      <c r="M18" s="366" t="s">
        <v>1457</v>
      </c>
      <c r="N18" s="87"/>
      <c r="T18" s="397" t="s">
        <v>89</v>
      </c>
      <c r="U18" s="397" t="s">
        <v>1456</v>
      </c>
      <c r="V18" s="397" t="s">
        <v>1466</v>
      </c>
      <c r="W18" s="397" t="s">
        <v>435</v>
      </c>
      <c r="X18" s="397">
        <v>2231.7600000000002</v>
      </c>
      <c r="Y18" s="397"/>
      <c r="Z18" s="397">
        <v>1115.8800000000001</v>
      </c>
      <c r="AA18" s="397"/>
      <c r="AB18" s="397">
        <v>3340.2</v>
      </c>
      <c r="AC18" s="397">
        <v>-99996</v>
      </c>
      <c r="AD18" s="397">
        <v>0</v>
      </c>
      <c r="AE18" s="397">
        <v>1115.8800000000001</v>
      </c>
      <c r="AF18" s="397"/>
      <c r="AG18" s="397"/>
      <c r="AH18" s="397"/>
      <c r="AI18" s="397"/>
      <c r="AJ18" s="397"/>
    </row>
    <row r="19" spans="2:36" s="369" customFormat="1" ht="27.6" x14ac:dyDescent="0.3">
      <c r="B19" s="124" t="s">
        <v>90</v>
      </c>
      <c r="C19" s="930" t="s">
        <v>1467</v>
      </c>
      <c r="D19" s="1024"/>
      <c r="E19" s="829">
        <v>0.5</v>
      </c>
      <c r="F19" s="1024" t="s">
        <v>14</v>
      </c>
      <c r="G19" s="829" t="s">
        <v>14</v>
      </c>
      <c r="H19" s="176" t="str">
        <f t="shared" si="0"/>
        <v/>
      </c>
      <c r="I19" s="1">
        <v>0.5</v>
      </c>
      <c r="J19" s="136" t="str">
        <f t="shared" si="1"/>
        <v/>
      </c>
      <c r="K19" s="366" t="s">
        <v>132</v>
      </c>
      <c r="L19" s="141" t="str">
        <f t="shared" si="2"/>
        <v/>
      </c>
      <c r="M19" s="366" t="s">
        <v>1432</v>
      </c>
      <c r="N19" s="87"/>
      <c r="T19" s="397" t="s">
        <v>90</v>
      </c>
      <c r="U19" s="397" t="s">
        <v>1456</v>
      </c>
      <c r="V19" s="397" t="s">
        <v>1467</v>
      </c>
      <c r="W19" s="397" t="s">
        <v>435</v>
      </c>
      <c r="X19" s="397">
        <v>1412.8</v>
      </c>
      <c r="Y19" s="397"/>
      <c r="Z19" s="397">
        <v>706.4</v>
      </c>
      <c r="AA19" s="397"/>
      <c r="AB19" s="397">
        <v>3340.2</v>
      </c>
      <c r="AC19" s="397">
        <v>-99996</v>
      </c>
      <c r="AD19" s="397">
        <v>0</v>
      </c>
      <c r="AE19" s="397">
        <v>706.4</v>
      </c>
      <c r="AF19" s="397"/>
      <c r="AG19" s="397"/>
      <c r="AH19" s="397"/>
      <c r="AI19" s="397"/>
      <c r="AJ19" s="397"/>
    </row>
    <row r="20" spans="2:36" s="369" customFormat="1" ht="14.4" x14ac:dyDescent="0.3">
      <c r="B20" s="124" t="s">
        <v>160</v>
      </c>
      <c r="D20" s="1024" t="s">
        <v>14</v>
      </c>
      <c r="E20" s="829" t="s">
        <v>14</v>
      </c>
      <c r="F20" s="1024" t="s">
        <v>14</v>
      </c>
      <c r="G20" s="829" t="s">
        <v>14</v>
      </c>
      <c r="H20" s="69"/>
      <c r="I20" s="821"/>
      <c r="J20" s="332"/>
      <c r="K20" s="266"/>
      <c r="L20" s="332"/>
      <c r="M20" s="266"/>
      <c r="N20" s="87"/>
      <c r="T20" s="397" t="s">
        <v>160</v>
      </c>
      <c r="U20" s="397" t="s">
        <v>337</v>
      </c>
      <c r="V20" s="397" t="s">
        <v>118</v>
      </c>
      <c r="W20" s="397" t="s">
        <v>435</v>
      </c>
      <c r="X20" s="397">
        <v>0</v>
      </c>
      <c r="Y20" s="397"/>
      <c r="Z20" s="397"/>
      <c r="AA20" s="397"/>
      <c r="AB20" s="397"/>
      <c r="AC20" s="397"/>
      <c r="AD20" s="397"/>
      <c r="AE20" s="397"/>
      <c r="AF20" s="397"/>
      <c r="AG20" s="397"/>
      <c r="AH20" s="397"/>
      <c r="AI20" s="397"/>
      <c r="AJ20" s="397"/>
    </row>
    <row r="21" spans="2:36" s="369" customFormat="1" ht="41.4" x14ac:dyDescent="0.3">
      <c r="B21" s="124" t="s">
        <v>97</v>
      </c>
      <c r="C21" s="85" t="s">
        <v>1468</v>
      </c>
      <c r="D21" s="1024"/>
      <c r="E21" s="829">
        <f>ROUND(7936/10587,2)</f>
        <v>0.75</v>
      </c>
      <c r="F21" s="1024"/>
      <c r="G21" s="829">
        <f>ROUND(2112/10587,2)</f>
        <v>0.2</v>
      </c>
      <c r="H21" s="176" t="str">
        <f t="shared" si="0"/>
        <v/>
      </c>
      <c r="I21" s="1">
        <f>E21+G21</f>
        <v>0.95</v>
      </c>
      <c r="J21" s="136" t="str">
        <f t="shared" si="1"/>
        <v/>
      </c>
      <c r="K21" s="366" t="s">
        <v>132</v>
      </c>
      <c r="L21" s="136" t="str">
        <f t="shared" si="2"/>
        <v/>
      </c>
      <c r="M21" s="366" t="s">
        <v>1457</v>
      </c>
      <c r="N21" s="87"/>
      <c r="T21" s="397" t="s">
        <v>97</v>
      </c>
      <c r="U21" s="397" t="s">
        <v>1456</v>
      </c>
      <c r="V21" s="397" t="s">
        <v>1468</v>
      </c>
      <c r="W21" s="397" t="s">
        <v>435</v>
      </c>
      <c r="X21" s="397">
        <v>10586.7</v>
      </c>
      <c r="Y21" s="397"/>
      <c r="Z21" s="397">
        <v>10048</v>
      </c>
      <c r="AA21" s="397"/>
      <c r="AB21" s="397">
        <v>3340.2</v>
      </c>
      <c r="AC21" s="397">
        <v>-99996</v>
      </c>
      <c r="AD21" s="397">
        <v>0</v>
      </c>
      <c r="AE21" s="397">
        <v>10048</v>
      </c>
      <c r="AF21" s="397"/>
      <c r="AG21" s="397"/>
      <c r="AH21" s="397"/>
      <c r="AI21" s="397"/>
      <c r="AJ21" s="397"/>
    </row>
    <row r="22" spans="2:36" s="369" customFormat="1" ht="14.4" x14ac:dyDescent="0.3">
      <c r="B22" s="124" t="s">
        <v>99</v>
      </c>
      <c r="C22" s="247" t="s">
        <v>1466</v>
      </c>
      <c r="D22" s="1024"/>
      <c r="E22" s="829">
        <v>0.5</v>
      </c>
      <c r="F22" s="1024" t="s">
        <v>14</v>
      </c>
      <c r="G22" s="829" t="s">
        <v>14</v>
      </c>
      <c r="H22" s="176" t="str">
        <f t="shared" si="0"/>
        <v/>
      </c>
      <c r="I22" s="1">
        <v>0.5</v>
      </c>
      <c r="J22" s="136" t="str">
        <f t="shared" si="1"/>
        <v/>
      </c>
      <c r="K22" s="366" t="s">
        <v>132</v>
      </c>
      <c r="L22" s="141" t="str">
        <f t="shared" si="2"/>
        <v/>
      </c>
      <c r="M22" s="366" t="s">
        <v>1457</v>
      </c>
      <c r="N22" s="87"/>
      <c r="T22" s="397" t="s">
        <v>99</v>
      </c>
      <c r="U22" s="397" t="s">
        <v>1456</v>
      </c>
      <c r="V22" s="397" t="s">
        <v>1466</v>
      </c>
      <c r="W22" s="397" t="s">
        <v>435</v>
      </c>
      <c r="X22" s="397">
        <v>2231.7600000000002</v>
      </c>
      <c r="Y22" s="397"/>
      <c r="Z22" s="397">
        <v>1115.8800000000001</v>
      </c>
      <c r="AA22" s="397"/>
      <c r="AB22" s="397">
        <v>3340.2</v>
      </c>
      <c r="AC22" s="397">
        <v>-99996</v>
      </c>
      <c r="AD22" s="397">
        <v>0</v>
      </c>
      <c r="AE22" s="397">
        <v>1115.8800000000001</v>
      </c>
      <c r="AF22" s="397"/>
      <c r="AG22" s="397"/>
      <c r="AH22" s="397"/>
      <c r="AI22" s="397"/>
      <c r="AJ22" s="397"/>
    </row>
    <row r="23" spans="2:36" s="369" customFormat="1" ht="14.4" x14ac:dyDescent="0.3">
      <c r="B23" s="124" t="s">
        <v>100</v>
      </c>
      <c r="C23" s="247" t="s">
        <v>1466</v>
      </c>
      <c r="D23" s="1024"/>
      <c r="E23" s="829">
        <v>0.5</v>
      </c>
      <c r="F23" s="1024" t="s">
        <v>14</v>
      </c>
      <c r="G23" s="829" t="s">
        <v>14</v>
      </c>
      <c r="H23" s="176" t="str">
        <f t="shared" si="0"/>
        <v/>
      </c>
      <c r="I23" s="1">
        <v>0.5</v>
      </c>
      <c r="J23" s="136" t="str">
        <f t="shared" si="1"/>
        <v/>
      </c>
      <c r="K23" s="366" t="s">
        <v>132</v>
      </c>
      <c r="L23" s="141" t="str">
        <f t="shared" si="2"/>
        <v/>
      </c>
      <c r="M23" s="366" t="s">
        <v>1457</v>
      </c>
      <c r="N23" s="87"/>
      <c r="T23" s="397" t="s">
        <v>100</v>
      </c>
      <c r="U23" s="397" t="s">
        <v>1456</v>
      </c>
      <c r="V23" s="397" t="s">
        <v>1466</v>
      </c>
      <c r="W23" s="397" t="s">
        <v>435</v>
      </c>
      <c r="X23" s="397">
        <v>1412.9</v>
      </c>
      <c r="Y23" s="397"/>
      <c r="Z23" s="397">
        <v>706.45</v>
      </c>
      <c r="AA23" s="397"/>
      <c r="AB23" s="397">
        <v>3340.2</v>
      </c>
      <c r="AC23" s="397">
        <v>-99996</v>
      </c>
      <c r="AD23" s="397">
        <v>0</v>
      </c>
      <c r="AE23" s="397">
        <v>706.45</v>
      </c>
      <c r="AF23" s="397"/>
      <c r="AG23" s="397"/>
      <c r="AH23" s="397"/>
      <c r="AI23" s="397"/>
      <c r="AJ23" s="397"/>
    </row>
    <row r="24" spans="2:36" s="369" customFormat="1" ht="14.4" x14ac:dyDescent="0.3">
      <c r="B24" s="124" t="s">
        <v>101</v>
      </c>
      <c r="C24" s="247" t="s">
        <v>1466</v>
      </c>
      <c r="D24" s="1024"/>
      <c r="E24" s="829">
        <v>0.5</v>
      </c>
      <c r="F24" s="1024" t="s">
        <v>14</v>
      </c>
      <c r="G24" s="829" t="s">
        <v>14</v>
      </c>
      <c r="H24" s="176" t="str">
        <f t="shared" si="0"/>
        <v/>
      </c>
      <c r="I24" s="1">
        <v>0.5</v>
      </c>
      <c r="J24" s="136" t="str">
        <f t="shared" si="1"/>
        <v/>
      </c>
      <c r="K24" s="366" t="s">
        <v>132</v>
      </c>
      <c r="L24" s="141" t="str">
        <f t="shared" si="2"/>
        <v/>
      </c>
      <c r="M24" s="366" t="s">
        <v>1457</v>
      </c>
      <c r="N24" s="87"/>
      <c r="T24" s="397" t="s">
        <v>101</v>
      </c>
      <c r="U24" s="397" t="s">
        <v>1456</v>
      </c>
      <c r="V24" s="397" t="s">
        <v>1466</v>
      </c>
      <c r="W24" s="397" t="s">
        <v>435</v>
      </c>
      <c r="X24" s="397">
        <v>2231.7600000000002</v>
      </c>
      <c r="Y24" s="397"/>
      <c r="Z24" s="397">
        <v>1115.8800000000001</v>
      </c>
      <c r="AA24" s="397"/>
      <c r="AB24" s="397">
        <v>3340.2</v>
      </c>
      <c r="AC24" s="397">
        <v>-99996</v>
      </c>
      <c r="AD24" s="397">
        <v>0</v>
      </c>
      <c r="AE24" s="397">
        <v>1115.8800000000001</v>
      </c>
      <c r="AF24" s="397"/>
      <c r="AG24" s="397"/>
      <c r="AH24" s="397"/>
      <c r="AI24" s="397"/>
      <c r="AJ24" s="397"/>
    </row>
    <row r="25" spans="2:36" s="369" customFormat="1" ht="27.6" x14ac:dyDescent="0.3">
      <c r="B25" s="124" t="s">
        <v>102</v>
      </c>
      <c r="C25" s="930" t="s">
        <v>1467</v>
      </c>
      <c r="D25" s="1024"/>
      <c r="E25" s="829">
        <v>0.5</v>
      </c>
      <c r="F25" s="1024" t="s">
        <v>14</v>
      </c>
      <c r="G25" s="829" t="s">
        <v>14</v>
      </c>
      <c r="H25" s="176" t="str">
        <f t="shared" si="0"/>
        <v/>
      </c>
      <c r="I25" s="1">
        <v>0.5</v>
      </c>
      <c r="J25" s="136" t="str">
        <f t="shared" si="1"/>
        <v/>
      </c>
      <c r="K25" s="366" t="s">
        <v>132</v>
      </c>
      <c r="L25" s="141" t="str">
        <f t="shared" si="2"/>
        <v/>
      </c>
      <c r="M25" s="366" t="s">
        <v>1432</v>
      </c>
      <c r="N25" s="87"/>
      <c r="T25" s="397" t="s">
        <v>102</v>
      </c>
      <c r="U25" s="397" t="s">
        <v>1456</v>
      </c>
      <c r="V25" s="397" t="s">
        <v>1467</v>
      </c>
      <c r="W25" s="397" t="s">
        <v>435</v>
      </c>
      <c r="X25" s="397">
        <v>1412.8</v>
      </c>
      <c r="Y25" s="397"/>
      <c r="Z25" s="397">
        <v>706.4</v>
      </c>
      <c r="AA25" s="397"/>
      <c r="AB25" s="397">
        <v>3340.2</v>
      </c>
      <c r="AC25" s="397">
        <v>-99996</v>
      </c>
      <c r="AD25" s="397">
        <v>0</v>
      </c>
      <c r="AE25" s="397">
        <v>706.4</v>
      </c>
      <c r="AF25" s="397"/>
      <c r="AG25" s="397"/>
      <c r="AH25" s="397"/>
      <c r="AI25" s="397"/>
      <c r="AJ25" s="397"/>
    </row>
    <row r="26" spans="2:36" s="369" customFormat="1" ht="14.4" x14ac:dyDescent="0.3">
      <c r="B26" s="124" t="s">
        <v>98</v>
      </c>
      <c r="C26" s="85"/>
      <c r="D26" s="1024" t="s">
        <v>14</v>
      </c>
      <c r="E26" s="829" t="s">
        <v>14</v>
      </c>
      <c r="F26" s="1024" t="s">
        <v>14</v>
      </c>
      <c r="G26" s="829" t="s">
        <v>14</v>
      </c>
      <c r="H26" s="69"/>
      <c r="I26" s="821"/>
      <c r="J26" s="332"/>
      <c r="K26" s="821"/>
      <c r="L26" s="332"/>
      <c r="M26" s="266"/>
      <c r="N26" s="87"/>
      <c r="T26" s="397" t="s">
        <v>98</v>
      </c>
      <c r="U26" s="397" t="s">
        <v>337</v>
      </c>
      <c r="V26" s="397" t="s">
        <v>118</v>
      </c>
      <c r="W26" s="397" t="s">
        <v>435</v>
      </c>
      <c r="X26" s="397">
        <v>0</v>
      </c>
      <c r="Y26" s="397"/>
      <c r="Z26" s="397"/>
      <c r="AA26" s="397"/>
      <c r="AB26" s="397"/>
      <c r="AC26" s="397"/>
      <c r="AD26" s="397"/>
      <c r="AE26" s="397"/>
      <c r="AF26" s="397"/>
      <c r="AG26" s="397"/>
      <c r="AH26" s="397"/>
      <c r="AI26" s="397"/>
      <c r="AJ26" s="397"/>
    </row>
    <row r="27" spans="2:36" s="369" customFormat="1" ht="41.4" x14ac:dyDescent="0.3">
      <c r="B27" s="124" t="s">
        <v>103</v>
      </c>
      <c r="C27" s="85" t="s">
        <v>1468</v>
      </c>
      <c r="D27" s="1024"/>
      <c r="E27" s="829">
        <f>ROUND(7936/10587,2)</f>
        <v>0.75</v>
      </c>
      <c r="F27" s="1024"/>
      <c r="G27" s="829">
        <f>ROUND(2112/10587,2)</f>
        <v>0.2</v>
      </c>
      <c r="H27" s="176" t="str">
        <f t="shared" si="0"/>
        <v/>
      </c>
      <c r="I27" s="1">
        <f>E27+G27</f>
        <v>0.95</v>
      </c>
      <c r="J27" s="136" t="str">
        <f t="shared" si="1"/>
        <v/>
      </c>
      <c r="K27" s="366" t="s">
        <v>132</v>
      </c>
      <c r="L27" s="136" t="str">
        <f t="shared" si="2"/>
        <v/>
      </c>
      <c r="M27" s="366" t="s">
        <v>1457</v>
      </c>
      <c r="N27" s="87"/>
      <c r="T27" s="397" t="s">
        <v>103</v>
      </c>
      <c r="U27" s="397" t="s">
        <v>1456</v>
      </c>
      <c r="V27" s="397" t="s">
        <v>1468</v>
      </c>
      <c r="W27" s="397" t="s">
        <v>435</v>
      </c>
      <c r="X27" s="397">
        <v>10586.7</v>
      </c>
      <c r="Y27" s="397"/>
      <c r="Z27" s="397">
        <v>10048</v>
      </c>
      <c r="AA27" s="397"/>
      <c r="AB27" s="397">
        <v>3340.2</v>
      </c>
      <c r="AC27" s="397">
        <v>-99996</v>
      </c>
      <c r="AD27" s="397">
        <v>0</v>
      </c>
      <c r="AE27" s="397">
        <v>10048</v>
      </c>
      <c r="AF27" s="397"/>
      <c r="AG27" s="397"/>
      <c r="AH27" s="397"/>
      <c r="AI27" s="397"/>
      <c r="AJ27" s="397"/>
    </row>
    <row r="28" spans="2:36" s="369" customFormat="1" ht="14.4" x14ac:dyDescent="0.3">
      <c r="B28" s="124" t="s">
        <v>104</v>
      </c>
      <c r="C28" s="247" t="s">
        <v>1466</v>
      </c>
      <c r="D28" s="1024"/>
      <c r="E28" s="829">
        <v>0.5</v>
      </c>
      <c r="F28" s="1024" t="s">
        <v>14</v>
      </c>
      <c r="G28" s="829" t="s">
        <v>14</v>
      </c>
      <c r="H28" s="176" t="str">
        <f t="shared" si="0"/>
        <v/>
      </c>
      <c r="I28" s="1">
        <v>0.5</v>
      </c>
      <c r="J28" s="136" t="str">
        <f t="shared" si="1"/>
        <v/>
      </c>
      <c r="K28" s="366" t="s">
        <v>132</v>
      </c>
      <c r="L28" s="141" t="str">
        <f t="shared" si="2"/>
        <v/>
      </c>
      <c r="M28" s="366" t="s">
        <v>1457</v>
      </c>
      <c r="N28" s="87"/>
      <c r="T28" s="397" t="s">
        <v>104</v>
      </c>
      <c r="U28" s="397" t="s">
        <v>1456</v>
      </c>
      <c r="V28" s="397" t="s">
        <v>1466</v>
      </c>
      <c r="W28" s="397" t="s">
        <v>435</v>
      </c>
      <c r="X28" s="397">
        <v>2231.7600000000002</v>
      </c>
      <c r="Y28" s="397"/>
      <c r="Z28" s="397">
        <v>1115.8800000000001</v>
      </c>
      <c r="AA28" s="397"/>
      <c r="AB28" s="397">
        <v>3340.2</v>
      </c>
      <c r="AC28" s="397">
        <v>-99996</v>
      </c>
      <c r="AD28" s="397">
        <v>0</v>
      </c>
      <c r="AE28" s="397">
        <v>1115.8800000000001</v>
      </c>
      <c r="AF28" s="397"/>
      <c r="AG28" s="397"/>
      <c r="AH28" s="397"/>
      <c r="AI28" s="397"/>
      <c r="AJ28" s="397"/>
    </row>
    <row r="29" spans="2:36" s="369" customFormat="1" ht="14.4" x14ac:dyDescent="0.3">
      <c r="B29" s="124" t="s">
        <v>105</v>
      </c>
      <c r="C29" s="247" t="s">
        <v>1466</v>
      </c>
      <c r="D29" s="1024"/>
      <c r="E29" s="829">
        <v>0.5</v>
      </c>
      <c r="F29" s="1024" t="s">
        <v>14</v>
      </c>
      <c r="G29" s="829" t="s">
        <v>14</v>
      </c>
      <c r="H29" s="176" t="str">
        <f t="shared" si="0"/>
        <v/>
      </c>
      <c r="I29" s="1">
        <v>0.5</v>
      </c>
      <c r="J29" s="136" t="str">
        <f t="shared" si="1"/>
        <v/>
      </c>
      <c r="K29" s="366" t="s">
        <v>132</v>
      </c>
      <c r="L29" s="141" t="str">
        <f t="shared" si="2"/>
        <v/>
      </c>
      <c r="M29" s="366" t="s">
        <v>1457</v>
      </c>
      <c r="N29" s="87"/>
      <c r="T29" s="397" t="s">
        <v>105</v>
      </c>
      <c r="U29" s="397" t="s">
        <v>1456</v>
      </c>
      <c r="V29" s="397" t="s">
        <v>1466</v>
      </c>
      <c r="W29" s="397" t="s">
        <v>435</v>
      </c>
      <c r="X29" s="397">
        <v>1412.9</v>
      </c>
      <c r="Y29" s="397"/>
      <c r="Z29" s="397">
        <v>706.45</v>
      </c>
      <c r="AA29" s="397"/>
      <c r="AB29" s="397">
        <v>3340.2</v>
      </c>
      <c r="AC29" s="397">
        <v>-99996</v>
      </c>
      <c r="AD29" s="397">
        <v>0</v>
      </c>
      <c r="AE29" s="397">
        <v>706.45</v>
      </c>
      <c r="AF29" s="397"/>
      <c r="AG29" s="397"/>
      <c r="AH29" s="397"/>
      <c r="AI29" s="397"/>
      <c r="AJ29" s="397"/>
    </row>
    <row r="30" spans="2:36" s="369" customFormat="1" ht="14.4" x14ac:dyDescent="0.3">
      <c r="B30" s="124" t="s">
        <v>106</v>
      </c>
      <c r="C30" s="247" t="s">
        <v>1466</v>
      </c>
      <c r="D30" s="1024"/>
      <c r="E30" s="829">
        <v>0.5</v>
      </c>
      <c r="F30" s="1024" t="s">
        <v>14</v>
      </c>
      <c r="G30" s="829" t="s">
        <v>14</v>
      </c>
      <c r="H30" s="176" t="str">
        <f t="shared" si="0"/>
        <v/>
      </c>
      <c r="I30" s="1">
        <v>0.5</v>
      </c>
      <c r="J30" s="136" t="str">
        <f t="shared" si="1"/>
        <v/>
      </c>
      <c r="K30" s="366" t="s">
        <v>132</v>
      </c>
      <c r="L30" s="141" t="str">
        <f t="shared" si="2"/>
        <v/>
      </c>
      <c r="M30" s="366" t="s">
        <v>1457</v>
      </c>
      <c r="N30" s="87"/>
      <c r="T30" s="397" t="s">
        <v>106</v>
      </c>
      <c r="U30" s="397" t="s">
        <v>1456</v>
      </c>
      <c r="V30" s="397" t="s">
        <v>1466</v>
      </c>
      <c r="W30" s="397" t="s">
        <v>435</v>
      </c>
      <c r="X30" s="397">
        <v>2231.7600000000002</v>
      </c>
      <c r="Y30" s="397"/>
      <c r="Z30" s="397">
        <v>1115.8800000000001</v>
      </c>
      <c r="AA30" s="397"/>
      <c r="AB30" s="397">
        <v>3340.2</v>
      </c>
      <c r="AC30" s="397">
        <v>-99996</v>
      </c>
      <c r="AD30" s="397">
        <v>0</v>
      </c>
      <c r="AE30" s="397">
        <v>1115.8800000000001</v>
      </c>
      <c r="AF30" s="397"/>
      <c r="AG30" s="397"/>
      <c r="AH30" s="397"/>
      <c r="AI30" s="397"/>
      <c r="AJ30" s="397"/>
    </row>
    <row r="31" spans="2:36" s="369" customFormat="1" ht="27.6" x14ac:dyDescent="0.3">
      <c r="B31" s="124" t="s">
        <v>107</v>
      </c>
      <c r="C31" s="930" t="s">
        <v>1467</v>
      </c>
      <c r="D31" s="1024"/>
      <c r="E31" s="829">
        <v>0.5</v>
      </c>
      <c r="F31" s="1024" t="s">
        <v>14</v>
      </c>
      <c r="G31" s="829" t="s">
        <v>14</v>
      </c>
      <c r="H31" s="176" t="str">
        <f t="shared" si="0"/>
        <v/>
      </c>
      <c r="I31" s="1">
        <v>0.5</v>
      </c>
      <c r="J31" s="136" t="str">
        <f t="shared" si="1"/>
        <v/>
      </c>
      <c r="K31" s="366" t="s">
        <v>132</v>
      </c>
      <c r="L31" s="141" t="str">
        <f t="shared" si="2"/>
        <v/>
      </c>
      <c r="M31" s="366" t="s">
        <v>1432</v>
      </c>
      <c r="N31" s="87"/>
      <c r="T31" s="397" t="s">
        <v>107</v>
      </c>
      <c r="U31" s="397" t="s">
        <v>1456</v>
      </c>
      <c r="V31" s="397" t="s">
        <v>1467</v>
      </c>
      <c r="W31" s="397" t="s">
        <v>435</v>
      </c>
      <c r="X31" s="397">
        <v>1412.8</v>
      </c>
      <c r="Y31" s="397"/>
      <c r="Z31" s="397">
        <v>706.4</v>
      </c>
      <c r="AA31" s="397"/>
      <c r="AB31" s="397">
        <v>3340.2</v>
      </c>
      <c r="AC31" s="397">
        <v>-99996</v>
      </c>
      <c r="AD31" s="397">
        <v>0</v>
      </c>
      <c r="AE31" s="397">
        <v>706.4</v>
      </c>
      <c r="AF31" s="397"/>
      <c r="AG31" s="397"/>
      <c r="AH31" s="397"/>
      <c r="AI31" s="397"/>
      <c r="AJ31" s="397"/>
    </row>
    <row r="32" spans="2:36" s="369" customFormat="1" ht="14.4" x14ac:dyDescent="0.3">
      <c r="B32" s="175" t="s">
        <v>108</v>
      </c>
      <c r="C32" s="150"/>
      <c r="D32" s="928" t="s">
        <v>14</v>
      </c>
      <c r="E32" s="830" t="s">
        <v>14</v>
      </c>
      <c r="F32" s="928" t="s">
        <v>14</v>
      </c>
      <c r="G32" s="830" t="s">
        <v>14</v>
      </c>
      <c r="H32" s="271"/>
      <c r="I32" s="822"/>
      <c r="J32" s="333"/>
      <c r="K32" s="273"/>
      <c r="L32" s="333"/>
      <c r="M32" s="273"/>
      <c r="N32" s="87"/>
      <c r="T32" s="397" t="s">
        <v>108</v>
      </c>
      <c r="U32" s="397" t="s">
        <v>337</v>
      </c>
      <c r="V32" s="397" t="s">
        <v>118</v>
      </c>
      <c r="W32" s="397" t="s">
        <v>435</v>
      </c>
      <c r="X32" s="397">
        <v>0</v>
      </c>
      <c r="Y32" s="397"/>
      <c r="Z32" s="397"/>
      <c r="AA32" s="397"/>
      <c r="AB32" s="397"/>
      <c r="AC32" s="397"/>
      <c r="AD32" s="397"/>
      <c r="AE32" s="397"/>
      <c r="AF32" s="397"/>
      <c r="AG32" s="397"/>
      <c r="AH32" s="397"/>
      <c r="AI32" s="397"/>
      <c r="AJ32" s="397"/>
    </row>
    <row r="33" spans="1:39" s="369" customFormat="1" x14ac:dyDescent="0.3">
      <c r="B33" s="77"/>
      <c r="C33" s="29"/>
      <c r="I33" s="370"/>
      <c r="K33" s="370"/>
      <c r="L33" s="87"/>
      <c r="M33" s="87"/>
      <c r="N33" s="87"/>
    </row>
    <row r="34" spans="1:39" s="369" customFormat="1" x14ac:dyDescent="0.3">
      <c r="B34" s="85"/>
      <c r="C34" s="83"/>
      <c r="I34" s="75"/>
      <c r="K34" s="75"/>
      <c r="M34" s="75"/>
      <c r="N34" s="75"/>
    </row>
    <row r="35" spans="1:39" s="86" customFormat="1" x14ac:dyDescent="0.3">
      <c r="A35" s="290"/>
      <c r="B35" s="342" t="s">
        <v>48</v>
      </c>
      <c r="C35" s="290"/>
      <c r="D35" s="290"/>
      <c r="E35" s="290"/>
      <c r="F35" s="290"/>
      <c r="G35" s="290"/>
      <c r="H35" s="290"/>
      <c r="I35" s="290"/>
      <c r="J35" s="290"/>
      <c r="K35" s="290"/>
      <c r="L35" s="290"/>
      <c r="M35" s="290"/>
    </row>
    <row r="36" spans="1:39" s="82" customFormat="1" ht="14.4" x14ac:dyDescent="0.3">
      <c r="A36" s="71"/>
      <c r="B36" s="49" t="s">
        <v>114</v>
      </c>
      <c r="D36" s="84"/>
      <c r="F36" s="84"/>
      <c r="H36" s="84"/>
      <c r="J36" s="84"/>
      <c r="L36" s="84"/>
      <c r="N36" s="87"/>
      <c r="O36" s="947"/>
      <c r="P36" s="947"/>
      <c r="Q36" s="947"/>
      <c r="R36" s="947"/>
      <c r="S36" s="948" t="s">
        <v>1458</v>
      </c>
      <c r="T36" s="397" t="s">
        <v>343</v>
      </c>
      <c r="U36" s="397"/>
      <c r="V36" s="397"/>
      <c r="W36" s="397"/>
      <c r="X36" s="397"/>
      <c r="Y36" s="397"/>
      <c r="Z36" s="397"/>
      <c r="AA36" s="397"/>
      <c r="AB36" s="397"/>
      <c r="AC36" s="397"/>
      <c r="AD36" s="397"/>
      <c r="AE36" s="397"/>
      <c r="AF36" s="397"/>
      <c r="AG36" s="397"/>
      <c r="AH36" s="397"/>
      <c r="AI36" s="397"/>
      <c r="AJ36" s="397"/>
      <c r="AK36" s="397"/>
      <c r="AL36" s="397"/>
      <c r="AM36" s="397"/>
    </row>
    <row r="37" spans="1:39" s="82" customFormat="1" ht="14.4" x14ac:dyDescent="0.3">
      <c r="B37" s="77" t="s">
        <v>212</v>
      </c>
      <c r="D37" s="84"/>
      <c r="F37" s="84"/>
      <c r="H37" s="84"/>
      <c r="J37" s="84"/>
      <c r="L37" s="84"/>
      <c r="N37" s="87"/>
      <c r="T37" s="397" t="s">
        <v>212</v>
      </c>
      <c r="U37" s="397"/>
      <c r="V37" s="397"/>
      <c r="W37" s="397"/>
      <c r="X37" s="397"/>
      <c r="Y37" s="397" t="s">
        <v>324</v>
      </c>
      <c r="Z37" s="397"/>
      <c r="AA37" s="397"/>
      <c r="AB37" s="397"/>
      <c r="AC37" s="397"/>
      <c r="AD37" s="397"/>
      <c r="AE37" s="397"/>
      <c r="AF37" s="397"/>
      <c r="AG37" s="397"/>
      <c r="AH37" s="397"/>
      <c r="AI37" s="397"/>
      <c r="AJ37" s="397" t="s">
        <v>325</v>
      </c>
      <c r="AK37" s="397"/>
      <c r="AL37" s="397"/>
      <c r="AM37" s="397"/>
    </row>
    <row r="38" spans="1:39" s="77" customFormat="1" ht="55.2" x14ac:dyDescent="0.3">
      <c r="B38" s="108" t="s">
        <v>138</v>
      </c>
      <c r="C38" s="116" t="s">
        <v>190</v>
      </c>
      <c r="D38" s="280"/>
      <c r="E38" s="110" t="s">
        <v>597</v>
      </c>
      <c r="F38" s="223"/>
      <c r="G38" s="168" t="s">
        <v>645</v>
      </c>
      <c r="H38" s="280"/>
      <c r="I38" s="110" t="s">
        <v>598</v>
      </c>
      <c r="J38" s="223"/>
      <c r="K38" s="168" t="s">
        <v>123</v>
      </c>
      <c r="L38" s="280"/>
      <c r="M38" s="110" t="s">
        <v>161</v>
      </c>
      <c r="N38" s="81"/>
      <c r="T38" s="397" t="s">
        <v>203</v>
      </c>
      <c r="U38" s="397" t="s">
        <v>291</v>
      </c>
      <c r="V38" s="397" t="s">
        <v>190</v>
      </c>
      <c r="W38" s="397" t="s">
        <v>920</v>
      </c>
      <c r="X38" s="397" t="s">
        <v>330</v>
      </c>
      <c r="Y38" s="397" t="s">
        <v>1124</v>
      </c>
      <c r="Z38" s="397" t="s">
        <v>344</v>
      </c>
      <c r="AA38" s="397" t="s">
        <v>333</v>
      </c>
      <c r="AB38" s="397" t="s">
        <v>334</v>
      </c>
      <c r="AC38" s="397" t="s">
        <v>345</v>
      </c>
      <c r="AD38" s="397" t="s">
        <v>346</v>
      </c>
      <c r="AE38" s="397" t="s">
        <v>385</v>
      </c>
      <c r="AF38" s="397" t="s">
        <v>386</v>
      </c>
      <c r="AG38" s="397" t="s">
        <v>387</v>
      </c>
      <c r="AH38" s="397" t="s">
        <v>347</v>
      </c>
      <c r="AI38" s="397" t="s">
        <v>348</v>
      </c>
      <c r="AJ38" s="397" t="s">
        <v>349</v>
      </c>
      <c r="AK38" s="397" t="s">
        <v>333</v>
      </c>
      <c r="AL38" s="397" t="s">
        <v>334</v>
      </c>
      <c r="AM38" s="397" t="s">
        <v>350</v>
      </c>
    </row>
    <row r="39" spans="1:39" s="369" customFormat="1" ht="15" thickBot="1" x14ac:dyDescent="0.35">
      <c r="B39" s="100" t="s">
        <v>213</v>
      </c>
      <c r="C39" s="117"/>
      <c r="D39" s="100"/>
      <c r="E39" s="523" t="s">
        <v>970</v>
      </c>
      <c r="F39" s="524"/>
      <c r="G39" s="524" t="s">
        <v>970</v>
      </c>
      <c r="H39" s="100"/>
      <c r="I39" s="101" t="s">
        <v>149</v>
      </c>
      <c r="J39" s="215"/>
      <c r="K39" s="215" t="s">
        <v>150</v>
      </c>
      <c r="L39" s="100"/>
      <c r="M39" s="101" t="s">
        <v>319</v>
      </c>
      <c r="N39" s="87"/>
      <c r="T39" s="397"/>
      <c r="U39" s="397"/>
      <c r="V39" s="397"/>
      <c r="W39" s="397"/>
      <c r="X39" s="397" t="s">
        <v>109</v>
      </c>
      <c r="Y39" s="397"/>
      <c r="Z39" s="397" t="s">
        <v>164</v>
      </c>
      <c r="AA39" s="397"/>
      <c r="AB39" s="397" t="s">
        <v>336</v>
      </c>
      <c r="AC39" s="397"/>
      <c r="AD39" s="397" t="s">
        <v>164</v>
      </c>
      <c r="AE39" s="397" t="s">
        <v>164</v>
      </c>
      <c r="AF39" s="397" t="s">
        <v>164</v>
      </c>
      <c r="AG39" s="397" t="s">
        <v>164</v>
      </c>
      <c r="AH39" s="397" t="s">
        <v>164</v>
      </c>
      <c r="AI39" s="397" t="s">
        <v>351</v>
      </c>
      <c r="AJ39" s="397" t="s">
        <v>164</v>
      </c>
      <c r="AK39" s="397"/>
      <c r="AL39" s="397" t="s">
        <v>336</v>
      </c>
      <c r="AM39" s="397" t="s">
        <v>351</v>
      </c>
    </row>
    <row r="40" spans="1:39" s="369" customFormat="1" ht="42" thickTop="1" x14ac:dyDescent="0.3">
      <c r="B40" s="124" t="s">
        <v>85</v>
      </c>
      <c r="C40" s="85" t="s">
        <v>1468</v>
      </c>
      <c r="D40" s="927"/>
      <c r="E40" s="829">
        <v>0.65</v>
      </c>
      <c r="F40" s="927"/>
      <c r="G40" s="829">
        <f>MIN(G15,0.3)</f>
        <v>0.2</v>
      </c>
      <c r="H40" s="141" t="str">
        <f>IF(I40=AI40,"X","")</f>
        <v/>
      </c>
      <c r="I40" s="198">
        <f>E40+G40</f>
        <v>0.85000000000000009</v>
      </c>
      <c r="J40" s="823" t="str">
        <f>IF(K40=AA40,"X","")</f>
        <v/>
      </c>
      <c r="K40" s="366" t="s">
        <v>132</v>
      </c>
      <c r="L40" s="823" t="str">
        <f>IF(M40=Y40,"X","")</f>
        <v/>
      </c>
      <c r="M40" s="366" t="s">
        <v>1457</v>
      </c>
      <c r="N40" s="87"/>
      <c r="T40" s="397" t="s">
        <v>85</v>
      </c>
      <c r="U40" s="397" t="s">
        <v>1456</v>
      </c>
      <c r="V40" s="397" t="s">
        <v>1468</v>
      </c>
      <c r="W40" s="397" t="s">
        <v>435</v>
      </c>
      <c r="X40" s="397">
        <v>10586.7</v>
      </c>
      <c r="Y40" s="397"/>
      <c r="Z40" s="397">
        <v>0</v>
      </c>
      <c r="AA40" s="397"/>
      <c r="AB40" s="397">
        <v>3340.2</v>
      </c>
      <c r="AC40" s="397">
        <v>-99996</v>
      </c>
      <c r="AD40" s="397">
        <v>0</v>
      </c>
      <c r="AE40" s="397">
        <v>6881.36</v>
      </c>
      <c r="AF40" s="397">
        <v>0</v>
      </c>
      <c r="AG40" s="397">
        <v>2112</v>
      </c>
      <c r="AH40" s="397">
        <v>8993.35</v>
      </c>
      <c r="AI40" s="397"/>
      <c r="AJ40" s="397"/>
      <c r="AK40" s="397"/>
      <c r="AL40" s="397"/>
      <c r="AM40" s="397"/>
    </row>
    <row r="41" spans="1:39" s="369" customFormat="1" ht="14.4" x14ac:dyDescent="0.3">
      <c r="B41" s="124" t="s">
        <v>87</v>
      </c>
      <c r="C41" s="247" t="s">
        <v>1466</v>
      </c>
      <c r="D41" s="1024"/>
      <c r="E41" s="829">
        <v>0.55000000000000004</v>
      </c>
      <c r="F41" s="1024" t="s">
        <v>14</v>
      </c>
      <c r="G41" s="829" t="s">
        <v>14</v>
      </c>
      <c r="H41" s="823" t="str">
        <f t="shared" ref="H41:H56" si="3">IF(I41=AI41,"X","")</f>
        <v/>
      </c>
      <c r="I41" s="197">
        <f>E41</f>
        <v>0.55000000000000004</v>
      </c>
      <c r="J41" s="823" t="str">
        <f t="shared" ref="J41:J44" si="4">IF(K41=AA41,"X","")</f>
        <v/>
      </c>
      <c r="K41" s="366" t="s">
        <v>132</v>
      </c>
      <c r="L41" s="823" t="str">
        <f t="shared" ref="L41:L44" si="5">IF(M41=Y41,"X","")</f>
        <v/>
      </c>
      <c r="M41" s="366" t="s">
        <v>1457</v>
      </c>
      <c r="N41" s="87"/>
      <c r="T41" s="397" t="s">
        <v>87</v>
      </c>
      <c r="U41" s="397" t="s">
        <v>1456</v>
      </c>
      <c r="V41" s="397" t="s">
        <v>1466</v>
      </c>
      <c r="W41" s="397" t="s">
        <v>435</v>
      </c>
      <c r="X41" s="397">
        <v>2231.7600000000002</v>
      </c>
      <c r="Y41" s="397"/>
      <c r="Z41" s="397">
        <v>0</v>
      </c>
      <c r="AA41" s="397"/>
      <c r="AB41" s="397">
        <v>3340.2</v>
      </c>
      <c r="AC41" s="397">
        <v>-99996</v>
      </c>
      <c r="AD41" s="397">
        <v>0</v>
      </c>
      <c r="AE41" s="397">
        <v>1227.47</v>
      </c>
      <c r="AF41" s="397">
        <v>0</v>
      </c>
      <c r="AG41" s="397">
        <v>0</v>
      </c>
      <c r="AH41" s="397">
        <v>1227.47</v>
      </c>
      <c r="AI41" s="397"/>
      <c r="AJ41" s="397"/>
      <c r="AK41" s="397"/>
      <c r="AL41" s="397"/>
      <c r="AM41" s="397"/>
    </row>
    <row r="42" spans="1:39" ht="14.4" x14ac:dyDescent="0.3">
      <c r="B42" s="124" t="s">
        <v>88</v>
      </c>
      <c r="C42" s="247" t="s">
        <v>1466</v>
      </c>
      <c r="D42" s="1024"/>
      <c r="E42" s="829">
        <v>0.55000000000000004</v>
      </c>
      <c r="F42" s="1024" t="s">
        <v>14</v>
      </c>
      <c r="G42" s="829" t="s">
        <v>14</v>
      </c>
      <c r="H42" s="823" t="str">
        <f t="shared" si="3"/>
        <v/>
      </c>
      <c r="I42" s="197">
        <f>E42</f>
        <v>0.55000000000000004</v>
      </c>
      <c r="J42" s="823" t="str">
        <f t="shared" si="4"/>
        <v/>
      </c>
      <c r="K42" s="366" t="s">
        <v>132</v>
      </c>
      <c r="L42" s="823" t="str">
        <f t="shared" si="5"/>
        <v/>
      </c>
      <c r="M42" s="366" t="s">
        <v>1457</v>
      </c>
      <c r="N42" s="87"/>
      <c r="T42" s="397" t="s">
        <v>88</v>
      </c>
      <c r="U42" s="397" t="s">
        <v>1456</v>
      </c>
      <c r="V42" s="397" t="s">
        <v>1466</v>
      </c>
      <c r="W42" s="397" t="s">
        <v>435</v>
      </c>
      <c r="X42" s="397">
        <v>1412.9</v>
      </c>
      <c r="Y42" s="397"/>
      <c r="Z42" s="397">
        <v>0</v>
      </c>
      <c r="AA42" s="397"/>
      <c r="AB42" s="397">
        <v>3340.2</v>
      </c>
      <c r="AC42" s="397">
        <v>-99996</v>
      </c>
      <c r="AD42" s="397">
        <v>0</v>
      </c>
      <c r="AE42" s="397">
        <v>777.09500000000003</v>
      </c>
      <c r="AF42" s="397">
        <v>0</v>
      </c>
      <c r="AG42" s="397">
        <v>0</v>
      </c>
      <c r="AH42" s="397">
        <v>777.09500000000003</v>
      </c>
      <c r="AI42" s="397"/>
      <c r="AJ42" s="397"/>
      <c r="AK42" s="397"/>
      <c r="AL42" s="397"/>
      <c r="AM42" s="397"/>
    </row>
    <row r="43" spans="1:39" s="369" customFormat="1" ht="14.4" x14ac:dyDescent="0.3">
      <c r="B43" s="124" t="s">
        <v>89</v>
      </c>
      <c r="C43" s="247" t="s">
        <v>1466</v>
      </c>
      <c r="D43" s="1024"/>
      <c r="E43" s="829">
        <v>0.55000000000000004</v>
      </c>
      <c r="F43" s="1024" t="s">
        <v>14</v>
      </c>
      <c r="G43" s="829" t="s">
        <v>14</v>
      </c>
      <c r="H43" s="823" t="str">
        <f t="shared" si="3"/>
        <v/>
      </c>
      <c r="I43" s="197">
        <f>E43</f>
        <v>0.55000000000000004</v>
      </c>
      <c r="J43" s="823" t="str">
        <f t="shared" si="4"/>
        <v/>
      </c>
      <c r="K43" s="366" t="s">
        <v>132</v>
      </c>
      <c r="L43" s="823" t="str">
        <f t="shared" si="5"/>
        <v/>
      </c>
      <c r="M43" s="366" t="s">
        <v>1457</v>
      </c>
      <c r="N43" s="87"/>
      <c r="T43" s="397" t="s">
        <v>89</v>
      </c>
      <c r="U43" s="397" t="s">
        <v>1456</v>
      </c>
      <c r="V43" s="397" t="s">
        <v>1466</v>
      </c>
      <c r="W43" s="397" t="s">
        <v>435</v>
      </c>
      <c r="X43" s="397">
        <v>2231.7600000000002</v>
      </c>
      <c r="Y43" s="397"/>
      <c r="Z43" s="397">
        <v>0</v>
      </c>
      <c r="AA43" s="397"/>
      <c r="AB43" s="397">
        <v>3340.2</v>
      </c>
      <c r="AC43" s="397">
        <v>-99996</v>
      </c>
      <c r="AD43" s="397">
        <v>0</v>
      </c>
      <c r="AE43" s="397">
        <v>1227.47</v>
      </c>
      <c r="AF43" s="397">
        <v>0</v>
      </c>
      <c r="AG43" s="397">
        <v>0</v>
      </c>
      <c r="AH43" s="397">
        <v>1227.47</v>
      </c>
      <c r="AI43" s="397"/>
      <c r="AJ43" s="397"/>
      <c r="AK43" s="397"/>
      <c r="AL43" s="397"/>
      <c r="AM43" s="397"/>
    </row>
    <row r="44" spans="1:39" s="369" customFormat="1" ht="27.6" x14ac:dyDescent="0.3">
      <c r="B44" s="124" t="s">
        <v>90</v>
      </c>
      <c r="C44" s="930" t="s">
        <v>1467</v>
      </c>
      <c r="D44" s="1024"/>
      <c r="E44" s="829">
        <v>0.6</v>
      </c>
      <c r="F44" s="1024" t="s">
        <v>14</v>
      </c>
      <c r="G44" s="829" t="s">
        <v>14</v>
      </c>
      <c r="H44" s="823" t="str">
        <f t="shared" si="3"/>
        <v/>
      </c>
      <c r="I44" s="197">
        <f>E44</f>
        <v>0.6</v>
      </c>
      <c r="J44" s="823" t="str">
        <f t="shared" si="4"/>
        <v/>
      </c>
      <c r="K44" s="366" t="s">
        <v>132</v>
      </c>
      <c r="L44" s="823" t="str">
        <f t="shared" si="5"/>
        <v/>
      </c>
      <c r="M44" s="366" t="s">
        <v>1432</v>
      </c>
      <c r="N44" s="87"/>
      <c r="T44" s="397" t="s">
        <v>90</v>
      </c>
      <c r="U44" s="397" t="s">
        <v>1456</v>
      </c>
      <c r="V44" s="397" t="s">
        <v>1467</v>
      </c>
      <c r="W44" s="397" t="s">
        <v>435</v>
      </c>
      <c r="X44" s="397">
        <v>1412.8</v>
      </c>
      <c r="Y44" s="397"/>
      <c r="Z44" s="397">
        <v>0</v>
      </c>
      <c r="AA44" s="397"/>
      <c r="AB44" s="397">
        <v>3340.2</v>
      </c>
      <c r="AC44" s="397">
        <v>-99996</v>
      </c>
      <c r="AD44" s="397">
        <v>0</v>
      </c>
      <c r="AE44" s="397">
        <v>847.68</v>
      </c>
      <c r="AF44" s="397">
        <v>0</v>
      </c>
      <c r="AG44" s="397">
        <v>0</v>
      </c>
      <c r="AH44" s="397">
        <v>847.68</v>
      </c>
      <c r="AI44" s="397"/>
      <c r="AJ44" s="397"/>
      <c r="AK44" s="397"/>
      <c r="AL44" s="397"/>
      <c r="AM44" s="397"/>
    </row>
    <row r="45" spans="1:39" s="369" customFormat="1" ht="14.4" x14ac:dyDescent="0.3">
      <c r="B45" s="124" t="s">
        <v>160</v>
      </c>
      <c r="D45" s="1024" t="s">
        <v>14</v>
      </c>
      <c r="E45" s="829" t="s">
        <v>14</v>
      </c>
      <c r="F45" s="1024" t="s">
        <v>14</v>
      </c>
      <c r="G45" s="829" t="s">
        <v>14</v>
      </c>
      <c r="H45" s="332"/>
      <c r="I45" s="266"/>
      <c r="J45" s="69"/>
      <c r="K45" s="266"/>
      <c r="L45" s="332"/>
      <c r="M45" s="266"/>
      <c r="N45" s="87"/>
      <c r="T45" s="397" t="s">
        <v>160</v>
      </c>
      <c r="U45" s="397" t="s">
        <v>337</v>
      </c>
      <c r="V45" s="397" t="s">
        <v>118</v>
      </c>
      <c r="W45" s="397" t="s">
        <v>435</v>
      </c>
      <c r="X45" s="397">
        <v>0</v>
      </c>
      <c r="Y45" s="397"/>
      <c r="Z45" s="397"/>
      <c r="AA45" s="397"/>
      <c r="AB45" s="397"/>
      <c r="AC45" s="397"/>
      <c r="AD45" s="397"/>
      <c r="AE45" s="397"/>
      <c r="AF45" s="397"/>
      <c r="AG45" s="397"/>
      <c r="AH45" s="397"/>
      <c r="AI45" s="397"/>
      <c r="AJ45" s="397"/>
      <c r="AK45" s="397"/>
      <c r="AL45" s="397"/>
      <c r="AM45" s="397"/>
    </row>
    <row r="46" spans="1:39" s="369" customFormat="1" ht="41.4" x14ac:dyDescent="0.3">
      <c r="B46" s="124" t="s">
        <v>97</v>
      </c>
      <c r="C46" s="85" t="s">
        <v>1468</v>
      </c>
      <c r="D46" s="1024"/>
      <c r="E46" s="829">
        <v>0.65</v>
      </c>
      <c r="F46" s="1024"/>
      <c r="G46" s="829">
        <f>MIN(G21,0.3)</f>
        <v>0.2</v>
      </c>
      <c r="H46" s="823" t="str">
        <f t="shared" si="3"/>
        <v/>
      </c>
      <c r="I46" s="198">
        <f>E46+G46</f>
        <v>0.85000000000000009</v>
      </c>
      <c r="J46" s="823" t="str">
        <f t="shared" ref="J46:J50" si="6">IF(K46=AA46,"X","")</f>
        <v/>
      </c>
      <c r="K46" s="366" t="s">
        <v>132</v>
      </c>
      <c r="L46" s="823" t="str">
        <f t="shared" ref="L46:L50" si="7">IF(M46=Y46,"X","")</f>
        <v/>
      </c>
      <c r="M46" s="366" t="s">
        <v>1457</v>
      </c>
      <c r="N46" s="87"/>
      <c r="T46" s="397" t="s">
        <v>97</v>
      </c>
      <c r="U46" s="397" t="s">
        <v>1456</v>
      </c>
      <c r="V46" s="397" t="s">
        <v>1468</v>
      </c>
      <c r="W46" s="397" t="s">
        <v>435</v>
      </c>
      <c r="X46" s="397">
        <v>10586.7</v>
      </c>
      <c r="Y46" s="397"/>
      <c r="Z46" s="397">
        <v>0</v>
      </c>
      <c r="AA46" s="397"/>
      <c r="AB46" s="397">
        <v>3340.2</v>
      </c>
      <c r="AC46" s="397">
        <v>-99996</v>
      </c>
      <c r="AD46" s="397">
        <v>0</v>
      </c>
      <c r="AE46" s="397">
        <v>6881.36</v>
      </c>
      <c r="AF46" s="397">
        <v>0</v>
      </c>
      <c r="AG46" s="397">
        <v>2112</v>
      </c>
      <c r="AH46" s="397">
        <v>8993.35</v>
      </c>
      <c r="AI46" s="397"/>
      <c r="AJ46" s="397"/>
      <c r="AK46" s="397"/>
      <c r="AL46" s="397"/>
      <c r="AM46" s="397"/>
    </row>
    <row r="47" spans="1:39" s="369" customFormat="1" ht="14.4" x14ac:dyDescent="0.3">
      <c r="B47" s="124" t="s">
        <v>99</v>
      </c>
      <c r="C47" s="247" t="s">
        <v>1466</v>
      </c>
      <c r="D47" s="1024"/>
      <c r="E47" s="829">
        <v>0.55000000000000004</v>
      </c>
      <c r="F47" s="1024" t="s">
        <v>14</v>
      </c>
      <c r="G47" s="829" t="s">
        <v>14</v>
      </c>
      <c r="H47" s="823" t="str">
        <f t="shared" si="3"/>
        <v/>
      </c>
      <c r="I47" s="197">
        <f>E47</f>
        <v>0.55000000000000004</v>
      </c>
      <c r="J47" s="823" t="str">
        <f t="shared" si="6"/>
        <v/>
      </c>
      <c r="K47" s="366" t="s">
        <v>132</v>
      </c>
      <c r="L47" s="823" t="str">
        <f t="shared" si="7"/>
        <v/>
      </c>
      <c r="M47" s="366" t="s">
        <v>1457</v>
      </c>
      <c r="N47" s="87"/>
      <c r="T47" s="397" t="s">
        <v>99</v>
      </c>
      <c r="U47" s="397" t="s">
        <v>1456</v>
      </c>
      <c r="V47" s="397" t="s">
        <v>1466</v>
      </c>
      <c r="W47" s="397" t="s">
        <v>435</v>
      </c>
      <c r="X47" s="397">
        <v>2231.7600000000002</v>
      </c>
      <c r="Y47" s="397"/>
      <c r="Z47" s="397">
        <v>0</v>
      </c>
      <c r="AA47" s="397"/>
      <c r="AB47" s="397">
        <v>3340.2</v>
      </c>
      <c r="AC47" s="397">
        <v>-99996</v>
      </c>
      <c r="AD47" s="397">
        <v>0</v>
      </c>
      <c r="AE47" s="397">
        <v>1227.47</v>
      </c>
      <c r="AF47" s="397">
        <v>0</v>
      </c>
      <c r="AG47" s="397">
        <v>0</v>
      </c>
      <c r="AH47" s="397">
        <v>1227.47</v>
      </c>
      <c r="AI47" s="397"/>
      <c r="AJ47" s="397"/>
      <c r="AK47" s="397"/>
      <c r="AL47" s="397"/>
      <c r="AM47" s="397"/>
    </row>
    <row r="48" spans="1:39" s="369" customFormat="1" ht="14.4" x14ac:dyDescent="0.3">
      <c r="B48" s="124" t="s">
        <v>100</v>
      </c>
      <c r="C48" s="247" t="s">
        <v>1466</v>
      </c>
      <c r="D48" s="1024"/>
      <c r="E48" s="829">
        <v>0.55000000000000004</v>
      </c>
      <c r="F48" s="1024" t="s">
        <v>14</v>
      </c>
      <c r="G48" s="829" t="s">
        <v>14</v>
      </c>
      <c r="H48" s="823" t="str">
        <f t="shared" si="3"/>
        <v/>
      </c>
      <c r="I48" s="197">
        <f>E48</f>
        <v>0.55000000000000004</v>
      </c>
      <c r="J48" s="823" t="str">
        <f t="shared" si="6"/>
        <v/>
      </c>
      <c r="K48" s="366" t="s">
        <v>132</v>
      </c>
      <c r="L48" s="823" t="str">
        <f t="shared" si="7"/>
        <v/>
      </c>
      <c r="M48" s="366" t="s">
        <v>1457</v>
      </c>
      <c r="N48" s="87"/>
      <c r="T48" s="397" t="s">
        <v>100</v>
      </c>
      <c r="U48" s="397" t="s">
        <v>1456</v>
      </c>
      <c r="V48" s="397" t="s">
        <v>1466</v>
      </c>
      <c r="W48" s="397" t="s">
        <v>435</v>
      </c>
      <c r="X48" s="397">
        <v>1412.9</v>
      </c>
      <c r="Y48" s="397"/>
      <c r="Z48" s="397">
        <v>0</v>
      </c>
      <c r="AA48" s="397"/>
      <c r="AB48" s="397">
        <v>3340.2</v>
      </c>
      <c r="AC48" s="397">
        <v>-99996</v>
      </c>
      <c r="AD48" s="397">
        <v>0</v>
      </c>
      <c r="AE48" s="397">
        <v>777.09500000000003</v>
      </c>
      <c r="AF48" s="397">
        <v>0</v>
      </c>
      <c r="AG48" s="397">
        <v>0</v>
      </c>
      <c r="AH48" s="397">
        <v>777.09500000000003</v>
      </c>
      <c r="AI48" s="397"/>
      <c r="AJ48" s="397"/>
      <c r="AK48" s="397"/>
      <c r="AL48" s="397"/>
      <c r="AM48" s="397"/>
    </row>
    <row r="49" spans="2:39" s="369" customFormat="1" ht="14.4" x14ac:dyDescent="0.3">
      <c r="B49" s="124" t="s">
        <v>101</v>
      </c>
      <c r="C49" s="247" t="s">
        <v>1466</v>
      </c>
      <c r="D49" s="1024"/>
      <c r="E49" s="829">
        <v>0.55000000000000004</v>
      </c>
      <c r="F49" s="1024" t="s">
        <v>14</v>
      </c>
      <c r="G49" s="829" t="s">
        <v>14</v>
      </c>
      <c r="H49" s="823" t="str">
        <f t="shared" si="3"/>
        <v/>
      </c>
      <c r="I49" s="197">
        <f>E49</f>
        <v>0.55000000000000004</v>
      </c>
      <c r="J49" s="823" t="str">
        <f t="shared" si="6"/>
        <v/>
      </c>
      <c r="K49" s="366" t="s">
        <v>132</v>
      </c>
      <c r="L49" s="823" t="str">
        <f t="shared" si="7"/>
        <v/>
      </c>
      <c r="M49" s="366" t="s">
        <v>1457</v>
      </c>
      <c r="N49" s="87"/>
      <c r="T49" s="397" t="s">
        <v>101</v>
      </c>
      <c r="U49" s="397" t="s">
        <v>1456</v>
      </c>
      <c r="V49" s="397" t="s">
        <v>1466</v>
      </c>
      <c r="W49" s="397" t="s">
        <v>435</v>
      </c>
      <c r="X49" s="397">
        <v>2231.7600000000002</v>
      </c>
      <c r="Y49" s="397"/>
      <c r="Z49" s="397">
        <v>0</v>
      </c>
      <c r="AA49" s="397"/>
      <c r="AB49" s="397">
        <v>3340.2</v>
      </c>
      <c r="AC49" s="397">
        <v>-99996</v>
      </c>
      <c r="AD49" s="397">
        <v>0</v>
      </c>
      <c r="AE49" s="397">
        <v>1227.47</v>
      </c>
      <c r="AF49" s="397">
        <v>0</v>
      </c>
      <c r="AG49" s="397">
        <v>0</v>
      </c>
      <c r="AH49" s="397">
        <v>1227.47</v>
      </c>
      <c r="AI49" s="397"/>
      <c r="AJ49" s="397"/>
      <c r="AK49" s="397"/>
      <c r="AL49" s="397"/>
      <c r="AM49" s="397"/>
    </row>
    <row r="50" spans="2:39" s="369" customFormat="1" ht="27.6" x14ac:dyDescent="0.3">
      <c r="B50" s="124" t="s">
        <v>102</v>
      </c>
      <c r="C50" s="930" t="s">
        <v>1467</v>
      </c>
      <c r="D50" s="1024"/>
      <c r="E50" s="829">
        <v>0.6</v>
      </c>
      <c r="F50" s="1024" t="s">
        <v>14</v>
      </c>
      <c r="G50" s="829" t="s">
        <v>14</v>
      </c>
      <c r="H50" s="823" t="str">
        <f t="shared" si="3"/>
        <v/>
      </c>
      <c r="I50" s="197">
        <f>E50</f>
        <v>0.6</v>
      </c>
      <c r="J50" s="823" t="str">
        <f t="shared" si="6"/>
        <v/>
      </c>
      <c r="K50" s="366" t="s">
        <v>132</v>
      </c>
      <c r="L50" s="823" t="str">
        <f t="shared" si="7"/>
        <v/>
      </c>
      <c r="M50" s="366" t="s">
        <v>1432</v>
      </c>
      <c r="N50" s="87"/>
      <c r="T50" s="397" t="s">
        <v>102</v>
      </c>
      <c r="U50" s="397" t="s">
        <v>1456</v>
      </c>
      <c r="V50" s="397" t="s">
        <v>1467</v>
      </c>
      <c r="W50" s="397" t="s">
        <v>435</v>
      </c>
      <c r="X50" s="397">
        <v>1412.8</v>
      </c>
      <c r="Y50" s="397"/>
      <c r="Z50" s="397">
        <v>0</v>
      </c>
      <c r="AA50" s="397"/>
      <c r="AB50" s="397">
        <v>3340.2</v>
      </c>
      <c r="AC50" s="397">
        <v>-99996</v>
      </c>
      <c r="AD50" s="397">
        <v>0</v>
      </c>
      <c r="AE50" s="397">
        <v>847.68</v>
      </c>
      <c r="AF50" s="397">
        <v>0</v>
      </c>
      <c r="AG50" s="397">
        <v>0</v>
      </c>
      <c r="AH50" s="397">
        <v>847.68</v>
      </c>
      <c r="AI50" s="397"/>
      <c r="AJ50" s="397"/>
      <c r="AK50" s="397"/>
      <c r="AL50" s="397"/>
      <c r="AM50" s="397"/>
    </row>
    <row r="51" spans="2:39" s="369" customFormat="1" ht="14.4" x14ac:dyDescent="0.3">
      <c r="B51" s="124" t="s">
        <v>98</v>
      </c>
      <c r="C51" s="85"/>
      <c r="D51" s="1024" t="s">
        <v>14</v>
      </c>
      <c r="E51" s="829" t="s">
        <v>14</v>
      </c>
      <c r="F51" s="1024" t="s">
        <v>14</v>
      </c>
      <c r="G51" s="829" t="s">
        <v>14</v>
      </c>
      <c r="H51" s="332"/>
      <c r="I51" s="266"/>
      <c r="J51" s="69"/>
      <c r="K51" s="821"/>
      <c r="L51" s="332"/>
      <c r="M51" s="266"/>
      <c r="N51" s="87"/>
      <c r="T51" s="397" t="s">
        <v>98</v>
      </c>
      <c r="U51" s="397" t="s">
        <v>337</v>
      </c>
      <c r="V51" s="397" t="s">
        <v>118</v>
      </c>
      <c r="W51" s="397" t="s">
        <v>435</v>
      </c>
      <c r="X51" s="397">
        <v>0</v>
      </c>
      <c r="Y51" s="397"/>
      <c r="Z51" s="397"/>
      <c r="AA51" s="397"/>
      <c r="AB51" s="397"/>
      <c r="AC51" s="397"/>
      <c r="AD51" s="397"/>
      <c r="AE51" s="397"/>
      <c r="AF51" s="397"/>
      <c r="AG51" s="397"/>
      <c r="AH51" s="397"/>
      <c r="AI51" s="397"/>
      <c r="AJ51" s="397"/>
      <c r="AK51" s="397"/>
      <c r="AL51" s="397"/>
      <c r="AM51" s="397"/>
    </row>
    <row r="52" spans="2:39" s="369" customFormat="1" ht="41.4" x14ac:dyDescent="0.3">
      <c r="B52" s="124" t="s">
        <v>103</v>
      </c>
      <c r="C52" s="85" t="s">
        <v>1468</v>
      </c>
      <c r="D52" s="1024"/>
      <c r="E52" s="829">
        <v>0.65</v>
      </c>
      <c r="F52" s="1024"/>
      <c r="G52" s="829">
        <f>MIN(G27,0.3)</f>
        <v>0.2</v>
      </c>
      <c r="H52" s="823" t="str">
        <f t="shared" si="3"/>
        <v/>
      </c>
      <c r="I52" s="198">
        <f>E52+G52</f>
        <v>0.85000000000000009</v>
      </c>
      <c r="J52" s="823" t="str">
        <f t="shared" ref="J52:J56" si="8">IF(K52=AA52,"X","")</f>
        <v/>
      </c>
      <c r="K52" s="366" t="s">
        <v>132</v>
      </c>
      <c r="L52" s="823" t="str">
        <f t="shared" ref="L52:L56" si="9">IF(M52=Y52,"X","")</f>
        <v/>
      </c>
      <c r="M52" s="366" t="s">
        <v>1457</v>
      </c>
      <c r="N52" s="87"/>
      <c r="T52" s="397" t="s">
        <v>103</v>
      </c>
      <c r="U52" s="397" t="s">
        <v>1456</v>
      </c>
      <c r="V52" s="397" t="s">
        <v>1468</v>
      </c>
      <c r="W52" s="397" t="s">
        <v>435</v>
      </c>
      <c r="X52" s="397">
        <v>10586.7</v>
      </c>
      <c r="Y52" s="397"/>
      <c r="Z52" s="397">
        <v>0</v>
      </c>
      <c r="AA52" s="397"/>
      <c r="AB52" s="397">
        <v>3340.2</v>
      </c>
      <c r="AC52" s="397">
        <v>-99996</v>
      </c>
      <c r="AD52" s="397">
        <v>0</v>
      </c>
      <c r="AE52" s="397">
        <v>6881.36</v>
      </c>
      <c r="AF52" s="397">
        <v>0</v>
      </c>
      <c r="AG52" s="397">
        <v>2112</v>
      </c>
      <c r="AH52" s="397">
        <v>8993.35</v>
      </c>
      <c r="AI52" s="397"/>
      <c r="AJ52" s="397"/>
      <c r="AK52" s="397"/>
      <c r="AL52" s="397"/>
      <c r="AM52" s="397"/>
    </row>
    <row r="53" spans="2:39" s="369" customFormat="1" ht="14.4" x14ac:dyDescent="0.3">
      <c r="B53" s="124" t="s">
        <v>104</v>
      </c>
      <c r="C53" s="247" t="s">
        <v>1466</v>
      </c>
      <c r="D53" s="1024"/>
      <c r="E53" s="829">
        <v>0.55000000000000004</v>
      </c>
      <c r="F53" s="1024" t="s">
        <v>14</v>
      </c>
      <c r="G53" s="829" t="s">
        <v>14</v>
      </c>
      <c r="H53" s="823" t="str">
        <f t="shared" si="3"/>
        <v/>
      </c>
      <c r="I53" s="197">
        <f>E53</f>
        <v>0.55000000000000004</v>
      </c>
      <c r="J53" s="823" t="str">
        <f t="shared" si="8"/>
        <v/>
      </c>
      <c r="K53" s="366" t="s">
        <v>132</v>
      </c>
      <c r="L53" s="823" t="str">
        <f t="shared" si="9"/>
        <v/>
      </c>
      <c r="M53" s="366" t="s">
        <v>1457</v>
      </c>
      <c r="N53" s="87"/>
      <c r="T53" s="397" t="s">
        <v>104</v>
      </c>
      <c r="U53" s="397" t="s">
        <v>1456</v>
      </c>
      <c r="V53" s="397" t="s">
        <v>1466</v>
      </c>
      <c r="W53" s="397" t="s">
        <v>435</v>
      </c>
      <c r="X53" s="397">
        <v>2231.7600000000002</v>
      </c>
      <c r="Y53" s="397"/>
      <c r="Z53" s="397">
        <v>0</v>
      </c>
      <c r="AA53" s="397"/>
      <c r="AB53" s="397">
        <v>3340.2</v>
      </c>
      <c r="AC53" s="397">
        <v>-99996</v>
      </c>
      <c r="AD53" s="397">
        <v>0</v>
      </c>
      <c r="AE53" s="397">
        <v>1227.47</v>
      </c>
      <c r="AF53" s="397">
        <v>0</v>
      </c>
      <c r="AG53" s="397">
        <v>0</v>
      </c>
      <c r="AH53" s="397">
        <v>1227.47</v>
      </c>
      <c r="AI53" s="397"/>
      <c r="AJ53" s="397"/>
      <c r="AK53" s="397"/>
      <c r="AL53" s="397"/>
      <c r="AM53" s="397"/>
    </row>
    <row r="54" spans="2:39" s="369" customFormat="1" ht="14.4" x14ac:dyDescent="0.3">
      <c r="B54" s="124" t="s">
        <v>105</v>
      </c>
      <c r="C54" s="247" t="s">
        <v>1466</v>
      </c>
      <c r="D54" s="1024"/>
      <c r="E54" s="829">
        <v>0.55000000000000004</v>
      </c>
      <c r="F54" s="1024" t="s">
        <v>14</v>
      </c>
      <c r="G54" s="829" t="s">
        <v>14</v>
      </c>
      <c r="H54" s="823" t="str">
        <f t="shared" si="3"/>
        <v/>
      </c>
      <c r="I54" s="197">
        <f>E54</f>
        <v>0.55000000000000004</v>
      </c>
      <c r="J54" s="823" t="str">
        <f t="shared" si="8"/>
        <v/>
      </c>
      <c r="K54" s="366" t="s">
        <v>132</v>
      </c>
      <c r="L54" s="823" t="str">
        <f t="shared" si="9"/>
        <v/>
      </c>
      <c r="M54" s="366" t="s">
        <v>1457</v>
      </c>
      <c r="N54" s="87"/>
      <c r="T54" s="397" t="s">
        <v>105</v>
      </c>
      <c r="U54" s="397" t="s">
        <v>1456</v>
      </c>
      <c r="V54" s="397" t="s">
        <v>1466</v>
      </c>
      <c r="W54" s="397" t="s">
        <v>435</v>
      </c>
      <c r="X54" s="397">
        <v>1412.9</v>
      </c>
      <c r="Y54" s="397"/>
      <c r="Z54" s="397">
        <v>0</v>
      </c>
      <c r="AA54" s="397"/>
      <c r="AB54" s="397">
        <v>3340.2</v>
      </c>
      <c r="AC54" s="397">
        <v>-99996</v>
      </c>
      <c r="AD54" s="397">
        <v>0</v>
      </c>
      <c r="AE54" s="397">
        <v>777.09500000000003</v>
      </c>
      <c r="AF54" s="397">
        <v>0</v>
      </c>
      <c r="AG54" s="397">
        <v>0</v>
      </c>
      <c r="AH54" s="397">
        <v>777.09500000000003</v>
      </c>
      <c r="AI54" s="397"/>
      <c r="AJ54" s="397"/>
      <c r="AK54" s="397"/>
      <c r="AL54" s="397"/>
      <c r="AM54" s="397"/>
    </row>
    <row r="55" spans="2:39" s="369" customFormat="1" ht="14.4" x14ac:dyDescent="0.3">
      <c r="B55" s="124" t="s">
        <v>106</v>
      </c>
      <c r="C55" s="247" t="s">
        <v>1466</v>
      </c>
      <c r="D55" s="1024"/>
      <c r="E55" s="829">
        <v>0.55000000000000004</v>
      </c>
      <c r="F55" s="1024" t="s">
        <v>14</v>
      </c>
      <c r="G55" s="829" t="s">
        <v>14</v>
      </c>
      <c r="H55" s="823" t="str">
        <f t="shared" si="3"/>
        <v/>
      </c>
      <c r="I55" s="197">
        <f>E55</f>
        <v>0.55000000000000004</v>
      </c>
      <c r="J55" s="823" t="str">
        <f t="shared" si="8"/>
        <v/>
      </c>
      <c r="K55" s="366" t="s">
        <v>132</v>
      </c>
      <c r="L55" s="823" t="str">
        <f t="shared" si="9"/>
        <v/>
      </c>
      <c r="M55" s="366" t="s">
        <v>1457</v>
      </c>
      <c r="N55" s="87"/>
      <c r="T55" s="397" t="s">
        <v>106</v>
      </c>
      <c r="U55" s="397" t="s">
        <v>1456</v>
      </c>
      <c r="V55" s="397" t="s">
        <v>1466</v>
      </c>
      <c r="W55" s="397" t="s">
        <v>435</v>
      </c>
      <c r="X55" s="397">
        <v>2231.7600000000002</v>
      </c>
      <c r="Y55" s="397"/>
      <c r="Z55" s="397">
        <v>0</v>
      </c>
      <c r="AA55" s="397"/>
      <c r="AB55" s="397">
        <v>3340.2</v>
      </c>
      <c r="AC55" s="397">
        <v>-99996</v>
      </c>
      <c r="AD55" s="397">
        <v>0</v>
      </c>
      <c r="AE55" s="397">
        <v>1227.47</v>
      </c>
      <c r="AF55" s="397">
        <v>0</v>
      </c>
      <c r="AG55" s="397">
        <v>0</v>
      </c>
      <c r="AH55" s="397">
        <v>1227.47</v>
      </c>
      <c r="AI55" s="397"/>
      <c r="AJ55" s="397"/>
      <c r="AK55" s="397"/>
      <c r="AL55" s="397"/>
      <c r="AM55" s="397"/>
    </row>
    <row r="56" spans="2:39" s="369" customFormat="1" ht="27.6" x14ac:dyDescent="0.3">
      <c r="B56" s="124" t="s">
        <v>107</v>
      </c>
      <c r="C56" s="930" t="s">
        <v>1467</v>
      </c>
      <c r="D56" s="1024"/>
      <c r="E56" s="829">
        <v>0.6</v>
      </c>
      <c r="F56" s="1024" t="s">
        <v>14</v>
      </c>
      <c r="G56" s="829" t="s">
        <v>14</v>
      </c>
      <c r="H56" s="823" t="str">
        <f t="shared" si="3"/>
        <v/>
      </c>
      <c r="I56" s="197">
        <f>E56</f>
        <v>0.6</v>
      </c>
      <c r="J56" s="823" t="str">
        <f t="shared" si="8"/>
        <v/>
      </c>
      <c r="K56" s="366" t="s">
        <v>132</v>
      </c>
      <c r="L56" s="823" t="str">
        <f t="shared" si="9"/>
        <v/>
      </c>
      <c r="M56" s="366" t="s">
        <v>1432</v>
      </c>
      <c r="N56" s="87"/>
      <c r="T56" s="397" t="s">
        <v>107</v>
      </c>
      <c r="U56" s="397" t="s">
        <v>1456</v>
      </c>
      <c r="V56" s="397" t="s">
        <v>1467</v>
      </c>
      <c r="W56" s="397" t="s">
        <v>435</v>
      </c>
      <c r="X56" s="397">
        <v>1412.8</v>
      </c>
      <c r="Y56" s="397"/>
      <c r="Z56" s="397">
        <v>0</v>
      </c>
      <c r="AA56" s="397"/>
      <c r="AB56" s="397">
        <v>3340.2</v>
      </c>
      <c r="AC56" s="397">
        <v>-99996</v>
      </c>
      <c r="AD56" s="397">
        <v>0</v>
      </c>
      <c r="AE56" s="397">
        <v>847.68</v>
      </c>
      <c r="AF56" s="397">
        <v>0</v>
      </c>
      <c r="AG56" s="397">
        <v>0</v>
      </c>
      <c r="AH56" s="397">
        <v>847.68</v>
      </c>
      <c r="AI56" s="397"/>
      <c r="AJ56" s="397"/>
      <c r="AK56" s="397"/>
      <c r="AL56" s="397"/>
      <c r="AM56" s="397"/>
    </row>
    <row r="57" spans="2:39" s="369" customFormat="1" ht="14.4" x14ac:dyDescent="0.3">
      <c r="B57" s="175" t="s">
        <v>108</v>
      </c>
      <c r="C57" s="150"/>
      <c r="D57" s="928" t="s">
        <v>14</v>
      </c>
      <c r="E57" s="830" t="s">
        <v>14</v>
      </c>
      <c r="F57" s="928" t="s">
        <v>14</v>
      </c>
      <c r="G57" s="830" t="s">
        <v>14</v>
      </c>
      <c r="H57" s="333"/>
      <c r="I57" s="273"/>
      <c r="J57" s="271"/>
      <c r="K57" s="271"/>
      <c r="L57" s="333"/>
      <c r="M57" s="273"/>
      <c r="N57" s="87"/>
      <c r="T57" s="397" t="s">
        <v>108</v>
      </c>
      <c r="U57" s="397" t="s">
        <v>337</v>
      </c>
      <c r="V57" s="397" t="s">
        <v>118</v>
      </c>
      <c r="W57" s="397" t="s">
        <v>435</v>
      </c>
      <c r="X57" s="397">
        <v>0</v>
      </c>
      <c r="Y57" s="397"/>
      <c r="Z57" s="397"/>
      <c r="AA57" s="397"/>
      <c r="AB57" s="397"/>
      <c r="AC57" s="397"/>
      <c r="AD57" s="397"/>
      <c r="AE57" s="397"/>
      <c r="AF57" s="397"/>
      <c r="AG57" s="397"/>
      <c r="AH57" s="397"/>
      <c r="AI57" s="397"/>
      <c r="AJ57" s="397"/>
      <c r="AK57" s="397"/>
      <c r="AL57" s="397"/>
      <c r="AM57" s="397"/>
    </row>
  </sheetData>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AQ57"/>
  <sheetViews>
    <sheetView zoomScale="85" zoomScaleNormal="85" workbookViewId="0">
      <selection activeCell="G6" sqref="G6"/>
    </sheetView>
  </sheetViews>
  <sheetFormatPr defaultColWidth="9.109375" defaultRowHeight="13.8" outlineLevelCol="1" x14ac:dyDescent="0.3"/>
  <cols>
    <col min="1" max="1" width="3.6640625" style="369" customWidth="1"/>
    <col min="2" max="2" width="22.109375" style="85" bestFit="1" customWidth="1"/>
    <col min="3" max="3" width="23.44140625" style="371" customWidth="1"/>
    <col min="4" max="4" width="2.6640625" style="378" customWidth="1"/>
    <col min="5" max="5" width="28.109375" style="378" bestFit="1" customWidth="1"/>
    <col min="6" max="6" width="2.6640625" style="378" customWidth="1"/>
    <col min="7" max="7" width="21.88671875" style="372" bestFit="1" customWidth="1"/>
    <col min="8" max="8" width="2.6640625" style="378" customWidth="1"/>
    <col min="9" max="9" width="20.6640625" style="372" customWidth="1"/>
    <col min="10" max="10" width="2.6640625" style="378" customWidth="1"/>
    <col min="11" max="11" width="19.109375" style="378" customWidth="1"/>
    <col min="12" max="12" width="2.6640625" style="378" customWidth="1"/>
    <col min="13" max="13" width="17.33203125" style="378" customWidth="1"/>
    <col min="14" max="14" width="2.6640625" style="378" customWidth="1"/>
    <col min="15" max="15" width="18.5546875" style="378" customWidth="1"/>
    <col min="16" max="16" width="2.6640625" style="378" customWidth="1"/>
    <col min="17" max="17" width="17.88671875" style="378" customWidth="1"/>
    <col min="18" max="18" width="2.6640625" style="378" customWidth="1"/>
    <col min="19" max="43" width="9.109375" style="378" customWidth="1" outlineLevel="1"/>
    <col min="44" max="16384" width="9.109375" style="378"/>
  </cols>
  <sheetData>
    <row r="1" spans="1:40" x14ac:dyDescent="0.3">
      <c r="A1" s="67"/>
      <c r="B1" s="67"/>
      <c r="C1" s="67"/>
      <c r="D1" s="67"/>
      <c r="E1" s="67"/>
      <c r="F1" s="67"/>
      <c r="G1" s="72"/>
      <c r="H1" s="67"/>
      <c r="I1" s="72"/>
      <c r="J1" s="67"/>
      <c r="K1" s="72"/>
      <c r="L1" s="67"/>
      <c r="M1" s="67"/>
      <c r="N1" s="67"/>
      <c r="O1" s="67"/>
      <c r="P1" s="67"/>
      <c r="Q1" s="67"/>
      <c r="R1" s="67"/>
    </row>
    <row r="2" spans="1:40" s="369" customFormat="1" x14ac:dyDescent="0.3">
      <c r="B2" s="567" t="s">
        <v>5</v>
      </c>
      <c r="C2" s="567"/>
      <c r="D2" s="574"/>
      <c r="E2" s="567" t="s">
        <v>6</v>
      </c>
      <c r="G2" s="66"/>
      <c r="I2" s="66"/>
      <c r="J2" s="567"/>
      <c r="K2" s="568" t="s">
        <v>1101</v>
      </c>
    </row>
    <row r="3" spans="1:40" s="369" customFormat="1" ht="14.4" x14ac:dyDescent="0.3">
      <c r="B3" s="369" t="s">
        <v>0</v>
      </c>
      <c r="C3" s="89" t="s">
        <v>1399</v>
      </c>
      <c r="E3" s="369" t="s">
        <v>8</v>
      </c>
      <c r="G3" s="578" t="str">
        <f>'Documentation Main Sheet'!I2</f>
        <v>r6055</v>
      </c>
      <c r="I3" s="405"/>
      <c r="J3" s="569"/>
      <c r="K3" s="369" t="s">
        <v>1102</v>
      </c>
    </row>
    <row r="4" spans="1:40" s="369" customFormat="1" x14ac:dyDescent="0.3">
      <c r="B4" s="369" t="s">
        <v>1</v>
      </c>
      <c r="C4" s="369" t="str">
        <f>C3&amp;".cibd19"</f>
        <v>030006S-OffMed-Run13.cibd19</v>
      </c>
      <c r="E4" s="369" t="s">
        <v>110</v>
      </c>
      <c r="G4" s="369" t="str">
        <f>'Documentation Main Sheet'!I3</f>
        <v>Release package</v>
      </c>
      <c r="I4" s="405"/>
      <c r="J4" s="570">
        <v>1</v>
      </c>
      <c r="K4" s="378" t="s">
        <v>1103</v>
      </c>
    </row>
    <row r="5" spans="1:40" s="369" customFormat="1" x14ac:dyDescent="0.3">
      <c r="B5" s="369" t="s">
        <v>54</v>
      </c>
      <c r="C5" s="369" t="s">
        <v>56</v>
      </c>
      <c r="E5" s="369" t="s">
        <v>7</v>
      </c>
      <c r="G5" s="369" t="str">
        <f>'Documentation Main Sheet'!I4</f>
        <v>CBECC-Com 209.1.0 release</v>
      </c>
      <c r="I5" s="405"/>
      <c r="J5" s="571">
        <v>1</v>
      </c>
      <c r="K5" s="378" t="s">
        <v>1103</v>
      </c>
      <c r="P5" s="62"/>
      <c r="Q5" s="62"/>
      <c r="R5" s="62"/>
    </row>
    <row r="6" spans="1:40" s="369" customFormat="1" x14ac:dyDescent="0.3">
      <c r="B6" s="369" t="s">
        <v>390</v>
      </c>
      <c r="C6" s="85" t="s">
        <v>395</v>
      </c>
      <c r="E6" s="369" t="s">
        <v>2</v>
      </c>
      <c r="G6" s="62">
        <v>43768</v>
      </c>
      <c r="I6" s="406"/>
      <c r="J6" s="572">
        <v>1</v>
      </c>
      <c r="K6" s="381" t="s">
        <v>1104</v>
      </c>
      <c r="L6" s="76"/>
      <c r="N6" s="76"/>
    </row>
    <row r="7" spans="1:40" s="369" customFormat="1" x14ac:dyDescent="0.3">
      <c r="B7" s="369" t="s">
        <v>432</v>
      </c>
      <c r="C7" s="85" t="s">
        <v>403</v>
      </c>
      <c r="E7" s="369" t="s">
        <v>3</v>
      </c>
      <c r="G7" s="369" t="s">
        <v>1544</v>
      </c>
      <c r="I7" s="66"/>
      <c r="J7" s="573">
        <v>1</v>
      </c>
      <c r="K7" s="378" t="s">
        <v>1105</v>
      </c>
      <c r="L7" s="76"/>
      <c r="N7" s="76"/>
    </row>
    <row r="8" spans="1:40" s="369" customFormat="1" x14ac:dyDescent="0.3">
      <c r="B8" s="369" t="s">
        <v>952</v>
      </c>
      <c r="C8" s="85" t="s">
        <v>953</v>
      </c>
      <c r="G8" s="381"/>
      <c r="I8" s="381"/>
      <c r="J8" s="796">
        <v>1</v>
      </c>
      <c r="K8" s="369" t="s">
        <v>1396</v>
      </c>
    </row>
    <row r="9" spans="1:40" s="369" customFormat="1" x14ac:dyDescent="0.3">
      <c r="G9" s="66"/>
      <c r="I9" s="66"/>
      <c r="K9" s="66"/>
    </row>
    <row r="10" spans="1:40" s="87" customFormat="1" x14ac:dyDescent="0.3">
      <c r="A10" s="288"/>
      <c r="B10" s="341" t="s">
        <v>37</v>
      </c>
      <c r="C10" s="288"/>
      <c r="D10" s="288"/>
      <c r="E10" s="288"/>
      <c r="F10" s="288"/>
      <c r="G10" s="288"/>
      <c r="H10" s="288"/>
      <c r="I10" s="288"/>
      <c r="J10" s="288"/>
      <c r="K10" s="288"/>
      <c r="L10" s="288"/>
      <c r="M10" s="288"/>
      <c r="N10" s="288"/>
      <c r="O10" s="288"/>
      <c r="P10" s="288"/>
      <c r="Q10" s="288"/>
    </row>
    <row r="11" spans="1:40" s="82" customFormat="1" ht="12.75" customHeight="1" x14ac:dyDescent="0.3">
      <c r="A11" s="70"/>
      <c r="B11" s="48" t="s">
        <v>114</v>
      </c>
      <c r="D11" s="84"/>
      <c r="F11" s="84"/>
      <c r="H11" s="84"/>
      <c r="J11" s="84"/>
      <c r="L11" s="84"/>
      <c r="N11" s="84"/>
      <c r="P11" s="84"/>
      <c r="R11" s="87"/>
      <c r="S11" s="945"/>
      <c r="T11" s="945"/>
      <c r="U11" s="945"/>
      <c r="V11" s="945"/>
      <c r="W11" s="946" t="s">
        <v>1458</v>
      </c>
      <c r="X11" s="397" t="s">
        <v>343</v>
      </c>
      <c r="Y11" s="397"/>
      <c r="Z11" s="397"/>
      <c r="AA11" s="397"/>
      <c r="AB11" s="397"/>
      <c r="AC11" s="397"/>
      <c r="AD11" s="397"/>
      <c r="AE11" s="397"/>
      <c r="AF11" s="397"/>
      <c r="AG11" s="397"/>
      <c r="AH11" s="397"/>
      <c r="AI11" s="397"/>
      <c r="AJ11" s="397"/>
      <c r="AK11" s="397"/>
      <c r="AL11" s="397"/>
      <c r="AM11" s="397"/>
      <c r="AN11" s="397"/>
    </row>
    <row r="12" spans="1:40" s="82" customFormat="1" ht="14.4" x14ac:dyDescent="0.3">
      <c r="B12" s="954" t="s">
        <v>212</v>
      </c>
      <c r="C12" s="955"/>
      <c r="D12" s="956"/>
      <c r="E12" s="955"/>
      <c r="F12" s="956"/>
      <c r="G12" s="955"/>
      <c r="H12" s="956"/>
      <c r="I12" s="955"/>
      <c r="J12" s="956"/>
      <c r="K12" s="955"/>
      <c r="L12" s="956"/>
      <c r="M12" s="955"/>
      <c r="N12" s="956"/>
      <c r="O12" s="955"/>
      <c r="P12" s="956"/>
      <c r="Q12" s="955"/>
      <c r="R12" s="87"/>
      <c r="X12" s="397" t="s">
        <v>212</v>
      </c>
      <c r="Y12" s="397"/>
      <c r="Z12" s="397"/>
      <c r="AA12" s="397"/>
      <c r="AB12" s="397"/>
      <c r="AC12" s="397" t="s">
        <v>324</v>
      </c>
      <c r="AD12" s="397"/>
      <c r="AE12" s="397"/>
      <c r="AF12" s="397"/>
      <c r="AG12" s="397"/>
      <c r="AH12" s="397"/>
      <c r="AI12" s="397"/>
      <c r="AJ12" s="397"/>
      <c r="AK12" s="397" t="s">
        <v>325</v>
      </c>
      <c r="AL12" s="397"/>
      <c r="AM12" s="397"/>
      <c r="AN12" s="397"/>
    </row>
    <row r="13" spans="1:40" s="77" customFormat="1" ht="38.25" customHeight="1" x14ac:dyDescent="0.3">
      <c r="B13" s="108" t="s">
        <v>138</v>
      </c>
      <c r="C13" s="116" t="s">
        <v>190</v>
      </c>
      <c r="D13" s="280"/>
      <c r="E13" s="168" t="s">
        <v>597</v>
      </c>
      <c r="F13" s="280"/>
      <c r="G13" s="110" t="s">
        <v>522</v>
      </c>
      <c r="H13" s="223"/>
      <c r="I13" s="168" t="s">
        <v>645</v>
      </c>
      <c r="J13" s="280"/>
      <c r="K13" s="110" t="s">
        <v>523</v>
      </c>
      <c r="L13" s="223"/>
      <c r="M13" s="168" t="s">
        <v>524</v>
      </c>
      <c r="N13" s="280"/>
      <c r="O13" s="110" t="s">
        <v>123</v>
      </c>
      <c r="P13" s="223"/>
      <c r="Q13" s="110" t="s">
        <v>161</v>
      </c>
      <c r="R13" s="81"/>
      <c r="X13" s="397" t="s">
        <v>203</v>
      </c>
      <c r="Y13" s="397" t="s">
        <v>291</v>
      </c>
      <c r="Z13" s="397" t="s">
        <v>190</v>
      </c>
      <c r="AA13" s="397" t="s">
        <v>920</v>
      </c>
      <c r="AB13" s="397" t="s">
        <v>330</v>
      </c>
      <c r="AC13" s="397" t="s">
        <v>1124</v>
      </c>
      <c r="AD13" s="397" t="s">
        <v>344</v>
      </c>
      <c r="AE13" s="397" t="s">
        <v>333</v>
      </c>
      <c r="AF13" s="397" t="s">
        <v>334</v>
      </c>
      <c r="AG13" s="397" t="s">
        <v>345</v>
      </c>
      <c r="AH13" s="397" t="s">
        <v>346</v>
      </c>
      <c r="AI13" s="397" t="s">
        <v>347</v>
      </c>
      <c r="AJ13" s="397" t="s">
        <v>348</v>
      </c>
      <c r="AK13" s="397" t="s">
        <v>349</v>
      </c>
      <c r="AL13" s="397" t="s">
        <v>333</v>
      </c>
      <c r="AM13" s="397" t="s">
        <v>334</v>
      </c>
      <c r="AN13" s="397" t="s">
        <v>350</v>
      </c>
    </row>
    <row r="14" spans="1:40" s="369" customFormat="1" ht="15" thickBot="1" x14ac:dyDescent="0.35">
      <c r="B14" s="139" t="s">
        <v>213</v>
      </c>
      <c r="C14" s="117"/>
      <c r="D14" s="139"/>
      <c r="E14" s="957" t="s">
        <v>970</v>
      </c>
      <c r="F14" s="139"/>
      <c r="G14" s="957" t="s">
        <v>970</v>
      </c>
      <c r="H14" s="118"/>
      <c r="I14" s="957" t="s">
        <v>970</v>
      </c>
      <c r="J14" s="139"/>
      <c r="K14" s="957" t="s">
        <v>970</v>
      </c>
      <c r="L14" s="118"/>
      <c r="M14" s="118" t="s">
        <v>149</v>
      </c>
      <c r="N14" s="139"/>
      <c r="O14" s="238" t="s">
        <v>150</v>
      </c>
      <c r="P14" s="118"/>
      <c r="Q14" s="238"/>
      <c r="R14" s="87"/>
      <c r="X14" s="397"/>
      <c r="Y14" s="397"/>
      <c r="Z14" s="397"/>
      <c r="AA14" s="397"/>
      <c r="AB14" s="397" t="s">
        <v>109</v>
      </c>
      <c r="AC14" s="397"/>
      <c r="AD14" s="397" t="s">
        <v>164</v>
      </c>
      <c r="AE14" s="397"/>
      <c r="AF14" s="397" t="s">
        <v>336</v>
      </c>
      <c r="AG14" s="397"/>
      <c r="AH14" s="397" t="s">
        <v>164</v>
      </c>
      <c r="AI14" s="397" t="s">
        <v>164</v>
      </c>
      <c r="AJ14" s="397" t="s">
        <v>351</v>
      </c>
      <c r="AK14" s="397" t="s">
        <v>164</v>
      </c>
      <c r="AL14" s="397"/>
      <c r="AM14" s="397" t="s">
        <v>336</v>
      </c>
      <c r="AN14" s="397" t="s">
        <v>351</v>
      </c>
    </row>
    <row r="15" spans="1:40" s="369" customFormat="1" ht="42" thickTop="1" x14ac:dyDescent="0.3">
      <c r="B15" s="124" t="s">
        <v>85</v>
      </c>
      <c r="C15" s="384" t="s">
        <v>1468</v>
      </c>
      <c r="D15" s="927"/>
      <c r="E15" s="829">
        <f>6336/10586.7</f>
        <v>0.5984867805831845</v>
      </c>
      <c r="F15" s="927" t="s">
        <v>14</v>
      </c>
      <c r="G15" s="283" t="s">
        <v>14</v>
      </c>
      <c r="H15" s="927"/>
      <c r="I15" s="283">
        <f>ROUND(12704/10586.7,2)</f>
        <v>1.2</v>
      </c>
      <c r="J15" s="927"/>
      <c r="K15" s="283">
        <f>ROUND(1088/10586.7,2)</f>
        <v>0.1</v>
      </c>
      <c r="L15" s="958" t="str">
        <f>IF(M15=AJ15,"X","")</f>
        <v/>
      </c>
      <c r="M15" s="953">
        <f>ROUND(SUM(E15,G15,I15,K15),2)</f>
        <v>1.9</v>
      </c>
      <c r="N15" s="959" t="str">
        <f>IF(O15=AE15,"X","")</f>
        <v/>
      </c>
      <c r="O15" s="197" t="s">
        <v>132</v>
      </c>
      <c r="P15" s="958" t="str">
        <f>IF(Q15=AC15,"X","")</f>
        <v/>
      </c>
      <c r="Q15" s="197" t="s">
        <v>1457</v>
      </c>
      <c r="R15" s="87"/>
      <c r="X15" s="397" t="s">
        <v>85</v>
      </c>
      <c r="Y15" s="397" t="s">
        <v>1456</v>
      </c>
      <c r="Z15" s="397" t="s">
        <v>1468</v>
      </c>
      <c r="AA15" s="397" t="s">
        <v>435</v>
      </c>
      <c r="AB15" s="397">
        <v>10586.7</v>
      </c>
      <c r="AC15" s="397"/>
      <c r="AD15" s="397">
        <v>20128</v>
      </c>
      <c r="AE15" s="397"/>
      <c r="AF15" s="397">
        <v>3340.2</v>
      </c>
      <c r="AG15" s="397">
        <v>-99996</v>
      </c>
      <c r="AH15" s="397">
        <v>0</v>
      </c>
      <c r="AI15" s="397">
        <v>20128</v>
      </c>
      <c r="AJ15" s="397"/>
      <c r="AK15" s="397"/>
      <c r="AL15" s="397"/>
      <c r="AM15" s="397"/>
      <c r="AN15" s="397"/>
    </row>
    <row r="16" spans="1:40" s="369" customFormat="1" ht="14.4" x14ac:dyDescent="0.3">
      <c r="B16" s="124" t="s">
        <v>87</v>
      </c>
      <c r="C16" s="960" t="s">
        <v>1466</v>
      </c>
      <c r="D16" s="1024"/>
      <c r="E16" s="829">
        <f>896*2/2231.8</f>
        <v>0.80293933148131547</v>
      </c>
      <c r="F16" s="1024"/>
      <c r="G16" s="283">
        <f>ROUND(224/2231.8,2)</f>
        <v>0.1</v>
      </c>
      <c r="H16" s="1024" t="s">
        <v>14</v>
      </c>
      <c r="I16" s="283" t="s">
        <v>14</v>
      </c>
      <c r="J16" s="1024" t="s">
        <v>14</v>
      </c>
      <c r="K16" s="283" t="s">
        <v>14</v>
      </c>
      <c r="L16" s="958" t="str">
        <f t="shared" ref="L16:L19" si="0">IF(M16=AJ16,"X","")</f>
        <v/>
      </c>
      <c r="M16" s="953">
        <f t="shared" ref="M16:M19" si="1">ROUND(SUM(E16,G16,I16,K16),2)</f>
        <v>0.9</v>
      </c>
      <c r="N16" s="962" t="str">
        <f t="shared" ref="N16:N19" si="2">IF(O16=AE16,"X","")</f>
        <v/>
      </c>
      <c r="O16" s="197" t="s">
        <v>132</v>
      </c>
      <c r="P16" s="958" t="str">
        <f t="shared" ref="P16:P19" si="3">IF(Q16=AC16,"X","")</f>
        <v/>
      </c>
      <c r="Q16" s="197" t="s">
        <v>1457</v>
      </c>
      <c r="R16" s="87"/>
      <c r="X16" s="397" t="s">
        <v>87</v>
      </c>
      <c r="Y16" s="397" t="s">
        <v>1456</v>
      </c>
      <c r="Z16" s="397" t="s">
        <v>1466</v>
      </c>
      <c r="AA16" s="397" t="s">
        <v>435</v>
      </c>
      <c r="AB16" s="397">
        <v>2231.7600000000002</v>
      </c>
      <c r="AC16" s="397"/>
      <c r="AD16" s="397">
        <v>2019</v>
      </c>
      <c r="AE16" s="397"/>
      <c r="AF16" s="397">
        <v>3340.2</v>
      </c>
      <c r="AG16" s="397">
        <v>-99996</v>
      </c>
      <c r="AH16" s="397">
        <v>0</v>
      </c>
      <c r="AI16" s="397">
        <v>2019</v>
      </c>
      <c r="AJ16" s="397"/>
      <c r="AK16" s="397"/>
      <c r="AL16" s="397"/>
      <c r="AM16" s="397"/>
      <c r="AN16" s="397"/>
    </row>
    <row r="17" spans="2:40" ht="14.4" x14ac:dyDescent="0.3">
      <c r="B17" s="124" t="s">
        <v>88</v>
      </c>
      <c r="C17" s="960" t="s">
        <v>1466</v>
      </c>
      <c r="D17" s="1024"/>
      <c r="E17" s="829">
        <f>576*2/1412.9</f>
        <v>0.81534432727015349</v>
      </c>
      <c r="F17" s="1024"/>
      <c r="G17" s="283">
        <f>ROUND(128/1412,2)</f>
        <v>0.09</v>
      </c>
      <c r="H17" s="1024" t="s">
        <v>14</v>
      </c>
      <c r="I17" s="283" t="s">
        <v>14</v>
      </c>
      <c r="J17" s="1024" t="s">
        <v>14</v>
      </c>
      <c r="K17" s="283" t="s">
        <v>14</v>
      </c>
      <c r="L17" s="958" t="str">
        <f t="shared" si="0"/>
        <v/>
      </c>
      <c r="M17" s="953">
        <f t="shared" si="1"/>
        <v>0.91</v>
      </c>
      <c r="N17" s="962" t="str">
        <f t="shared" si="2"/>
        <v/>
      </c>
      <c r="O17" s="197" t="s">
        <v>132</v>
      </c>
      <c r="P17" s="958" t="str">
        <f t="shared" si="3"/>
        <v/>
      </c>
      <c r="Q17" s="197" t="s">
        <v>1457</v>
      </c>
      <c r="R17" s="87"/>
      <c r="X17" s="397" t="s">
        <v>88</v>
      </c>
      <c r="Y17" s="397" t="s">
        <v>1456</v>
      </c>
      <c r="Z17" s="397" t="s">
        <v>1466</v>
      </c>
      <c r="AA17" s="397" t="s">
        <v>435</v>
      </c>
      <c r="AB17" s="397">
        <v>1412.9</v>
      </c>
      <c r="AC17" s="397"/>
      <c r="AD17" s="397">
        <v>1280</v>
      </c>
      <c r="AE17" s="397"/>
      <c r="AF17" s="397">
        <v>3340.2</v>
      </c>
      <c r="AG17" s="397">
        <v>-99996</v>
      </c>
      <c r="AH17" s="397">
        <v>0</v>
      </c>
      <c r="AI17" s="397">
        <v>1280</v>
      </c>
      <c r="AJ17" s="397"/>
      <c r="AK17" s="397"/>
      <c r="AL17" s="397"/>
      <c r="AM17" s="397"/>
      <c r="AN17" s="397"/>
    </row>
    <row r="18" spans="2:40" s="369" customFormat="1" ht="14.4" x14ac:dyDescent="0.3">
      <c r="B18" s="124" t="s">
        <v>89</v>
      </c>
      <c r="C18" s="960" t="s">
        <v>1466</v>
      </c>
      <c r="D18" s="1024"/>
      <c r="E18" s="829">
        <f>896*2/2231.8</f>
        <v>0.80293933148131547</v>
      </c>
      <c r="F18" s="1024"/>
      <c r="G18" s="283">
        <f>ROUND(224/2231.8,2)</f>
        <v>0.1</v>
      </c>
      <c r="H18" s="1024" t="s">
        <v>14</v>
      </c>
      <c r="I18" s="283" t="s">
        <v>14</v>
      </c>
      <c r="J18" s="1024" t="s">
        <v>14</v>
      </c>
      <c r="K18" s="283" t="s">
        <v>14</v>
      </c>
      <c r="L18" s="958" t="str">
        <f t="shared" si="0"/>
        <v/>
      </c>
      <c r="M18" s="953">
        <f t="shared" si="1"/>
        <v>0.9</v>
      </c>
      <c r="N18" s="962" t="str">
        <f t="shared" si="2"/>
        <v/>
      </c>
      <c r="O18" s="197" t="s">
        <v>132</v>
      </c>
      <c r="P18" s="958" t="str">
        <f t="shared" si="3"/>
        <v/>
      </c>
      <c r="Q18" s="197" t="s">
        <v>1457</v>
      </c>
      <c r="R18" s="87"/>
      <c r="X18" s="397" t="s">
        <v>89</v>
      </c>
      <c r="Y18" s="397" t="s">
        <v>1456</v>
      </c>
      <c r="Z18" s="397" t="s">
        <v>1466</v>
      </c>
      <c r="AA18" s="397" t="s">
        <v>435</v>
      </c>
      <c r="AB18" s="397">
        <v>2231.7600000000002</v>
      </c>
      <c r="AC18" s="397"/>
      <c r="AD18" s="397">
        <v>2019</v>
      </c>
      <c r="AE18" s="397"/>
      <c r="AF18" s="397">
        <v>3340.2</v>
      </c>
      <c r="AG18" s="397">
        <v>-99996</v>
      </c>
      <c r="AH18" s="397">
        <v>0</v>
      </c>
      <c r="AI18" s="397">
        <v>2019</v>
      </c>
      <c r="AJ18" s="397"/>
      <c r="AK18" s="397"/>
      <c r="AL18" s="397"/>
      <c r="AM18" s="397"/>
      <c r="AN18" s="397"/>
    </row>
    <row r="19" spans="2:40" s="369" customFormat="1" ht="27.6" x14ac:dyDescent="0.3">
      <c r="B19" s="124" t="s">
        <v>90</v>
      </c>
      <c r="C19" s="963" t="s">
        <v>1467</v>
      </c>
      <c r="D19" s="1024"/>
      <c r="E19" s="829">
        <v>0.8</v>
      </c>
      <c r="F19" s="1024" t="s">
        <v>14</v>
      </c>
      <c r="G19" s="283" t="s">
        <v>14</v>
      </c>
      <c r="H19" s="1024" t="s">
        <v>14</v>
      </c>
      <c r="I19" s="283" t="s">
        <v>14</v>
      </c>
      <c r="J19" s="1024" t="s">
        <v>14</v>
      </c>
      <c r="K19" s="283" t="s">
        <v>14</v>
      </c>
      <c r="L19" s="958" t="str">
        <f t="shared" si="0"/>
        <v/>
      </c>
      <c r="M19" s="953">
        <f t="shared" si="1"/>
        <v>0.8</v>
      </c>
      <c r="N19" s="962" t="str">
        <f t="shared" si="2"/>
        <v/>
      </c>
      <c r="O19" s="197" t="s">
        <v>132</v>
      </c>
      <c r="P19" s="958" t="str">
        <f t="shared" si="3"/>
        <v/>
      </c>
      <c r="Q19" s="197" t="s">
        <v>1432</v>
      </c>
      <c r="R19" s="87"/>
      <c r="X19" s="397" t="s">
        <v>90</v>
      </c>
      <c r="Y19" s="397" t="s">
        <v>1456</v>
      </c>
      <c r="Z19" s="397" t="s">
        <v>1467</v>
      </c>
      <c r="AA19" s="397" t="s">
        <v>435</v>
      </c>
      <c r="AB19" s="397">
        <v>1412.8</v>
      </c>
      <c r="AC19" s="397"/>
      <c r="AD19" s="397">
        <v>1130.24</v>
      </c>
      <c r="AE19" s="397"/>
      <c r="AF19" s="397">
        <v>3340.2</v>
      </c>
      <c r="AG19" s="397">
        <v>-99996</v>
      </c>
      <c r="AH19" s="397">
        <v>0</v>
      </c>
      <c r="AI19" s="397">
        <v>1130.24</v>
      </c>
      <c r="AJ19" s="397"/>
      <c r="AK19" s="397"/>
      <c r="AL19" s="397"/>
      <c r="AM19" s="397"/>
      <c r="AN19" s="397"/>
    </row>
    <row r="20" spans="2:40" s="369" customFormat="1" ht="14.4" x14ac:dyDescent="0.3">
      <c r="B20" s="124" t="s">
        <v>160</v>
      </c>
      <c r="C20" s="964"/>
      <c r="D20" s="1024" t="s">
        <v>14</v>
      </c>
      <c r="E20" s="829" t="s">
        <v>14</v>
      </c>
      <c r="F20" s="1024" t="s">
        <v>14</v>
      </c>
      <c r="G20" s="283" t="s">
        <v>14</v>
      </c>
      <c r="H20" s="1024" t="s">
        <v>14</v>
      </c>
      <c r="I20" s="283" t="s">
        <v>14</v>
      </c>
      <c r="J20" s="1024" t="s">
        <v>14</v>
      </c>
      <c r="K20" s="283" t="s">
        <v>14</v>
      </c>
      <c r="L20" s="328" t="s">
        <v>14</v>
      </c>
      <c r="M20" s="965" t="s">
        <v>14</v>
      </c>
      <c r="N20" s="328" t="s">
        <v>14</v>
      </c>
      <c r="O20" s="961" t="s">
        <v>14</v>
      </c>
      <c r="P20" s="328" t="s">
        <v>14</v>
      </c>
      <c r="Q20" s="329" t="s">
        <v>14</v>
      </c>
      <c r="R20" s="87"/>
      <c r="X20" s="397" t="s">
        <v>160</v>
      </c>
      <c r="Y20" s="397" t="s">
        <v>337</v>
      </c>
      <c r="Z20" s="397" t="s">
        <v>118</v>
      </c>
      <c r="AA20" s="397" t="s">
        <v>435</v>
      </c>
      <c r="AB20" s="397">
        <v>0</v>
      </c>
      <c r="AC20" s="397"/>
      <c r="AD20" s="397"/>
      <c r="AE20" s="397"/>
      <c r="AF20" s="397"/>
      <c r="AG20" s="397"/>
      <c r="AH20" s="397"/>
      <c r="AI20" s="397"/>
      <c r="AJ20" s="397"/>
      <c r="AK20" s="397"/>
      <c r="AL20" s="397"/>
      <c r="AM20" s="397"/>
      <c r="AN20" s="397"/>
    </row>
    <row r="21" spans="2:40" s="369" customFormat="1" ht="41.4" x14ac:dyDescent="0.3">
      <c r="B21" s="124" t="s">
        <v>97</v>
      </c>
      <c r="C21" s="384" t="s">
        <v>1468</v>
      </c>
      <c r="D21" s="1024"/>
      <c r="E21" s="829">
        <f>6336/10586.7</f>
        <v>0.5984867805831845</v>
      </c>
      <c r="F21" s="1024" t="s">
        <v>14</v>
      </c>
      <c r="G21" s="283" t="s">
        <v>14</v>
      </c>
      <c r="H21" s="1024"/>
      <c r="I21" s="283">
        <f>ROUND(12704/10586.7,2)</f>
        <v>1.2</v>
      </c>
      <c r="J21" s="1024"/>
      <c r="K21" s="283">
        <f>ROUND(1088/10586.7,2)</f>
        <v>0.1</v>
      </c>
      <c r="L21" s="958" t="str">
        <f t="shared" ref="L21:L25" si="4">IF(M21=AJ21,"X","")</f>
        <v/>
      </c>
      <c r="M21" s="953">
        <f>ROUND(SUM(E21,G21,I21,K21),2)</f>
        <v>1.9</v>
      </c>
      <c r="N21" s="962" t="str">
        <f t="shared" ref="N21:N25" si="5">IF(O21=AE21,"X","")</f>
        <v/>
      </c>
      <c r="O21" s="197" t="s">
        <v>132</v>
      </c>
      <c r="P21" s="958" t="str">
        <f t="shared" ref="P21:P25" si="6">IF(Q21=AC21,"X","")</f>
        <v/>
      </c>
      <c r="Q21" s="197" t="s">
        <v>1457</v>
      </c>
      <c r="R21" s="87"/>
      <c r="X21" s="397" t="s">
        <v>97</v>
      </c>
      <c r="Y21" s="397" t="s">
        <v>1456</v>
      </c>
      <c r="Z21" s="397" t="s">
        <v>1468</v>
      </c>
      <c r="AA21" s="397" t="s">
        <v>435</v>
      </c>
      <c r="AB21" s="397">
        <v>10586.7</v>
      </c>
      <c r="AC21" s="397"/>
      <c r="AD21" s="397">
        <v>20128</v>
      </c>
      <c r="AE21" s="397"/>
      <c r="AF21" s="397">
        <v>3340.2</v>
      </c>
      <c r="AG21" s="397">
        <v>-99996</v>
      </c>
      <c r="AH21" s="397">
        <v>0</v>
      </c>
      <c r="AI21" s="397">
        <v>20128</v>
      </c>
      <c r="AJ21" s="397"/>
      <c r="AK21" s="397"/>
      <c r="AL21" s="397"/>
      <c r="AM21" s="397"/>
      <c r="AN21" s="397"/>
    </row>
    <row r="22" spans="2:40" s="369" customFormat="1" ht="14.4" x14ac:dyDescent="0.3">
      <c r="B22" s="124" t="s">
        <v>99</v>
      </c>
      <c r="C22" s="960" t="s">
        <v>1466</v>
      </c>
      <c r="D22" s="1024"/>
      <c r="E22" s="829">
        <f>896*2/2231.8</f>
        <v>0.80293933148131547</v>
      </c>
      <c r="F22" s="1024"/>
      <c r="G22" s="283">
        <f>ROUND(224/2231.8,2)</f>
        <v>0.1</v>
      </c>
      <c r="H22" s="1024" t="s">
        <v>14</v>
      </c>
      <c r="I22" s="283" t="s">
        <v>14</v>
      </c>
      <c r="J22" s="1024" t="s">
        <v>14</v>
      </c>
      <c r="K22" s="283" t="s">
        <v>14</v>
      </c>
      <c r="L22" s="958" t="str">
        <f t="shared" si="4"/>
        <v/>
      </c>
      <c r="M22" s="953">
        <f t="shared" ref="M22:M25" si="7">ROUND(SUM(E22,G22,I22,K22),2)</f>
        <v>0.9</v>
      </c>
      <c r="N22" s="962" t="str">
        <f t="shared" si="5"/>
        <v/>
      </c>
      <c r="O22" s="197" t="s">
        <v>132</v>
      </c>
      <c r="P22" s="958" t="str">
        <f t="shared" si="6"/>
        <v/>
      </c>
      <c r="Q22" s="197" t="s">
        <v>1457</v>
      </c>
      <c r="R22" s="87"/>
      <c r="X22" s="397" t="s">
        <v>99</v>
      </c>
      <c r="Y22" s="397" t="s">
        <v>1456</v>
      </c>
      <c r="Z22" s="397" t="s">
        <v>1466</v>
      </c>
      <c r="AA22" s="397" t="s">
        <v>435</v>
      </c>
      <c r="AB22" s="397">
        <v>2231.7600000000002</v>
      </c>
      <c r="AC22" s="397"/>
      <c r="AD22" s="397">
        <v>2019</v>
      </c>
      <c r="AE22" s="397"/>
      <c r="AF22" s="397">
        <v>3340.2</v>
      </c>
      <c r="AG22" s="397">
        <v>-99996</v>
      </c>
      <c r="AH22" s="397">
        <v>0</v>
      </c>
      <c r="AI22" s="397">
        <v>2019</v>
      </c>
      <c r="AJ22" s="397"/>
      <c r="AK22" s="397"/>
      <c r="AL22" s="397"/>
      <c r="AM22" s="397"/>
      <c r="AN22" s="397"/>
    </row>
    <row r="23" spans="2:40" s="369" customFormat="1" ht="14.4" x14ac:dyDescent="0.3">
      <c r="B23" s="124" t="s">
        <v>100</v>
      </c>
      <c r="C23" s="960" t="s">
        <v>1466</v>
      </c>
      <c r="D23" s="1024"/>
      <c r="E23" s="829">
        <f>576*2/1412.9</f>
        <v>0.81534432727015349</v>
      </c>
      <c r="F23" s="1024"/>
      <c r="G23" s="283">
        <f>ROUND(128/1412,2)</f>
        <v>0.09</v>
      </c>
      <c r="H23" s="1024" t="s">
        <v>14</v>
      </c>
      <c r="I23" s="283" t="s">
        <v>14</v>
      </c>
      <c r="J23" s="1024" t="s">
        <v>14</v>
      </c>
      <c r="K23" s="283" t="s">
        <v>14</v>
      </c>
      <c r="L23" s="958" t="str">
        <f t="shared" si="4"/>
        <v/>
      </c>
      <c r="M23" s="953">
        <f t="shared" si="7"/>
        <v>0.91</v>
      </c>
      <c r="N23" s="962" t="str">
        <f t="shared" si="5"/>
        <v/>
      </c>
      <c r="O23" s="197" t="s">
        <v>132</v>
      </c>
      <c r="P23" s="958" t="str">
        <f t="shared" si="6"/>
        <v/>
      </c>
      <c r="Q23" s="197" t="s">
        <v>1457</v>
      </c>
      <c r="R23" s="87"/>
      <c r="X23" s="397" t="s">
        <v>100</v>
      </c>
      <c r="Y23" s="397" t="s">
        <v>1456</v>
      </c>
      <c r="Z23" s="397" t="s">
        <v>1466</v>
      </c>
      <c r="AA23" s="397" t="s">
        <v>435</v>
      </c>
      <c r="AB23" s="397">
        <v>1412.9</v>
      </c>
      <c r="AC23" s="397"/>
      <c r="AD23" s="397">
        <v>1280</v>
      </c>
      <c r="AE23" s="397"/>
      <c r="AF23" s="397">
        <v>3340.2</v>
      </c>
      <c r="AG23" s="397">
        <v>-99996</v>
      </c>
      <c r="AH23" s="397">
        <v>0</v>
      </c>
      <c r="AI23" s="397">
        <v>1280</v>
      </c>
      <c r="AJ23" s="397"/>
      <c r="AK23" s="397"/>
      <c r="AL23" s="397"/>
      <c r="AM23" s="397"/>
      <c r="AN23" s="397"/>
    </row>
    <row r="24" spans="2:40" s="369" customFormat="1" ht="14.4" x14ac:dyDescent="0.3">
      <c r="B24" s="124" t="s">
        <v>101</v>
      </c>
      <c r="C24" s="960" t="s">
        <v>1466</v>
      </c>
      <c r="D24" s="1024"/>
      <c r="E24" s="829">
        <f>896*2/2231.8</f>
        <v>0.80293933148131547</v>
      </c>
      <c r="F24" s="1024"/>
      <c r="G24" s="283">
        <f>ROUND(224/2231.8,2)</f>
        <v>0.1</v>
      </c>
      <c r="H24" s="1024" t="s">
        <v>14</v>
      </c>
      <c r="I24" s="283" t="s">
        <v>14</v>
      </c>
      <c r="J24" s="1024" t="s">
        <v>14</v>
      </c>
      <c r="K24" s="283" t="s">
        <v>14</v>
      </c>
      <c r="L24" s="958" t="str">
        <f t="shared" si="4"/>
        <v/>
      </c>
      <c r="M24" s="953">
        <f t="shared" si="7"/>
        <v>0.9</v>
      </c>
      <c r="N24" s="962" t="str">
        <f t="shared" si="5"/>
        <v/>
      </c>
      <c r="O24" s="197" t="s">
        <v>132</v>
      </c>
      <c r="P24" s="958" t="str">
        <f t="shared" si="6"/>
        <v/>
      </c>
      <c r="Q24" s="197" t="s">
        <v>1457</v>
      </c>
      <c r="R24" s="87"/>
      <c r="X24" s="397" t="s">
        <v>101</v>
      </c>
      <c r="Y24" s="397" t="s">
        <v>1456</v>
      </c>
      <c r="Z24" s="397" t="s">
        <v>1466</v>
      </c>
      <c r="AA24" s="397" t="s">
        <v>435</v>
      </c>
      <c r="AB24" s="397">
        <v>2231.7600000000002</v>
      </c>
      <c r="AC24" s="397"/>
      <c r="AD24" s="397">
        <v>2019</v>
      </c>
      <c r="AE24" s="397"/>
      <c r="AF24" s="397">
        <v>3340.2</v>
      </c>
      <c r="AG24" s="397">
        <v>-99996</v>
      </c>
      <c r="AH24" s="397">
        <v>0</v>
      </c>
      <c r="AI24" s="397">
        <v>2019</v>
      </c>
      <c r="AJ24" s="397"/>
      <c r="AK24" s="397"/>
      <c r="AL24" s="397"/>
      <c r="AM24" s="397"/>
      <c r="AN24" s="397"/>
    </row>
    <row r="25" spans="2:40" s="369" customFormat="1" ht="27.6" x14ac:dyDescent="0.3">
      <c r="B25" s="124" t="s">
        <v>102</v>
      </c>
      <c r="C25" s="963" t="s">
        <v>1467</v>
      </c>
      <c r="D25" s="1024"/>
      <c r="E25" s="829">
        <v>0.8</v>
      </c>
      <c r="F25" s="1024" t="s">
        <v>14</v>
      </c>
      <c r="G25" s="283" t="s">
        <v>14</v>
      </c>
      <c r="H25" s="1024" t="s">
        <v>14</v>
      </c>
      <c r="I25" s="283" t="s">
        <v>14</v>
      </c>
      <c r="J25" s="1024" t="s">
        <v>14</v>
      </c>
      <c r="K25" s="283" t="s">
        <v>14</v>
      </c>
      <c r="L25" s="958" t="str">
        <f t="shared" si="4"/>
        <v/>
      </c>
      <c r="M25" s="953">
        <f t="shared" si="7"/>
        <v>0.8</v>
      </c>
      <c r="N25" s="962" t="str">
        <f t="shared" si="5"/>
        <v/>
      </c>
      <c r="O25" s="197" t="s">
        <v>132</v>
      </c>
      <c r="P25" s="958" t="str">
        <f t="shared" si="6"/>
        <v/>
      </c>
      <c r="Q25" s="197" t="s">
        <v>1432</v>
      </c>
      <c r="R25" s="87"/>
      <c r="X25" s="397" t="s">
        <v>102</v>
      </c>
      <c r="Y25" s="397" t="s">
        <v>1456</v>
      </c>
      <c r="Z25" s="397" t="s">
        <v>1467</v>
      </c>
      <c r="AA25" s="397" t="s">
        <v>435</v>
      </c>
      <c r="AB25" s="397">
        <v>1412.8</v>
      </c>
      <c r="AC25" s="397"/>
      <c r="AD25" s="397">
        <v>1130.24</v>
      </c>
      <c r="AE25" s="397"/>
      <c r="AF25" s="397">
        <v>3340.2</v>
      </c>
      <c r="AG25" s="397">
        <v>-99996</v>
      </c>
      <c r="AH25" s="397">
        <v>0</v>
      </c>
      <c r="AI25" s="397">
        <v>1130.24</v>
      </c>
      <c r="AJ25" s="397"/>
      <c r="AK25" s="397"/>
      <c r="AL25" s="397"/>
      <c r="AM25" s="397"/>
      <c r="AN25" s="397"/>
    </row>
    <row r="26" spans="2:40" s="369" customFormat="1" ht="14.4" x14ac:dyDescent="0.3">
      <c r="B26" s="124" t="s">
        <v>98</v>
      </c>
      <c r="C26" s="384"/>
      <c r="D26" s="1024" t="s">
        <v>14</v>
      </c>
      <c r="E26" s="829" t="s">
        <v>14</v>
      </c>
      <c r="F26" s="1024" t="s">
        <v>14</v>
      </c>
      <c r="G26" s="283" t="s">
        <v>14</v>
      </c>
      <c r="H26" s="1024" t="s">
        <v>14</v>
      </c>
      <c r="I26" s="283" t="s">
        <v>14</v>
      </c>
      <c r="J26" s="1024" t="s">
        <v>14</v>
      </c>
      <c r="K26" s="283" t="s">
        <v>14</v>
      </c>
      <c r="L26" s="328" t="s">
        <v>14</v>
      </c>
      <c r="M26" s="965" t="s">
        <v>14</v>
      </c>
      <c r="N26" s="328" t="s">
        <v>14</v>
      </c>
      <c r="O26" s="961" t="s">
        <v>14</v>
      </c>
      <c r="P26" s="328" t="s">
        <v>14</v>
      </c>
      <c r="Q26" s="329" t="s">
        <v>14</v>
      </c>
      <c r="R26" s="87"/>
      <c r="X26" s="397" t="s">
        <v>98</v>
      </c>
      <c r="Y26" s="397" t="s">
        <v>337</v>
      </c>
      <c r="Z26" s="397" t="s">
        <v>118</v>
      </c>
      <c r="AA26" s="397" t="s">
        <v>435</v>
      </c>
      <c r="AB26" s="397">
        <v>0</v>
      </c>
      <c r="AC26" s="397"/>
      <c r="AD26" s="397"/>
      <c r="AE26" s="397"/>
      <c r="AF26" s="397"/>
      <c r="AG26" s="397"/>
      <c r="AH26" s="397"/>
      <c r="AI26" s="397"/>
      <c r="AJ26" s="397"/>
      <c r="AK26" s="397"/>
      <c r="AL26" s="397"/>
      <c r="AM26" s="397"/>
      <c r="AN26" s="397"/>
    </row>
    <row r="27" spans="2:40" s="369" customFormat="1" ht="41.4" x14ac:dyDescent="0.3">
      <c r="B27" s="124" t="s">
        <v>103</v>
      </c>
      <c r="C27" s="384" t="s">
        <v>1468</v>
      </c>
      <c r="D27" s="1024"/>
      <c r="E27" s="829">
        <f>6336/10586.7</f>
        <v>0.5984867805831845</v>
      </c>
      <c r="F27" s="1024" t="s">
        <v>14</v>
      </c>
      <c r="G27" s="283" t="s">
        <v>14</v>
      </c>
      <c r="H27" s="1024"/>
      <c r="I27" s="283">
        <f>ROUND(12704/10586.7,2)</f>
        <v>1.2</v>
      </c>
      <c r="J27" s="1024"/>
      <c r="K27" s="283">
        <f>ROUND(1088/10586.7,2)</f>
        <v>0.1</v>
      </c>
      <c r="L27" s="958" t="str">
        <f t="shared" ref="L27:L31" si="8">IF(M27=AJ27,"X","")</f>
        <v/>
      </c>
      <c r="M27" s="953">
        <f>ROUND(SUM(E27,G27,I27,K27),2)</f>
        <v>1.9</v>
      </c>
      <c r="N27" s="962" t="str">
        <f t="shared" ref="N27:N31" si="9">IF(O27=AE27,"X","")</f>
        <v/>
      </c>
      <c r="O27" s="197" t="s">
        <v>132</v>
      </c>
      <c r="P27" s="958" t="str">
        <f t="shared" ref="P27:P31" si="10">IF(Q27=AC27,"X","")</f>
        <v/>
      </c>
      <c r="Q27" s="197" t="s">
        <v>1457</v>
      </c>
      <c r="R27" s="87"/>
      <c r="X27" s="397" t="s">
        <v>103</v>
      </c>
      <c r="Y27" s="397" t="s">
        <v>1456</v>
      </c>
      <c r="Z27" s="397" t="s">
        <v>1468</v>
      </c>
      <c r="AA27" s="397" t="s">
        <v>435</v>
      </c>
      <c r="AB27" s="397">
        <v>10586.7</v>
      </c>
      <c r="AC27" s="397"/>
      <c r="AD27" s="397">
        <v>20128</v>
      </c>
      <c r="AE27" s="397"/>
      <c r="AF27" s="397">
        <v>3340.2</v>
      </c>
      <c r="AG27" s="397">
        <v>-99996</v>
      </c>
      <c r="AH27" s="397">
        <v>0</v>
      </c>
      <c r="AI27" s="397">
        <v>20128</v>
      </c>
      <c r="AJ27" s="397"/>
      <c r="AK27" s="397"/>
      <c r="AL27" s="397"/>
      <c r="AM27" s="397"/>
      <c r="AN27" s="397"/>
    </row>
    <row r="28" spans="2:40" s="369" customFormat="1" ht="14.4" x14ac:dyDescent="0.3">
      <c r="B28" s="124" t="s">
        <v>104</v>
      </c>
      <c r="C28" s="960" t="s">
        <v>1466</v>
      </c>
      <c r="D28" s="1024"/>
      <c r="E28" s="829">
        <f>896*2/2231.8</f>
        <v>0.80293933148131547</v>
      </c>
      <c r="F28" s="1024"/>
      <c r="G28" s="283">
        <f>ROUND(224/2231.8,2)</f>
        <v>0.1</v>
      </c>
      <c r="H28" s="1024" t="s">
        <v>14</v>
      </c>
      <c r="I28" s="283" t="s">
        <v>14</v>
      </c>
      <c r="J28" s="1024" t="s">
        <v>14</v>
      </c>
      <c r="K28" s="283" t="s">
        <v>14</v>
      </c>
      <c r="L28" s="958" t="str">
        <f t="shared" si="8"/>
        <v/>
      </c>
      <c r="M28" s="953">
        <f t="shared" ref="M28:M31" si="11">ROUND(SUM(E28,G28,I28,K28),2)</f>
        <v>0.9</v>
      </c>
      <c r="N28" s="962" t="str">
        <f t="shared" si="9"/>
        <v/>
      </c>
      <c r="O28" s="197" t="s">
        <v>132</v>
      </c>
      <c r="P28" s="958" t="str">
        <f t="shared" si="10"/>
        <v/>
      </c>
      <c r="Q28" s="197" t="s">
        <v>1457</v>
      </c>
      <c r="R28" s="87"/>
      <c r="X28" s="397" t="s">
        <v>104</v>
      </c>
      <c r="Y28" s="397" t="s">
        <v>1456</v>
      </c>
      <c r="Z28" s="397" t="s">
        <v>1466</v>
      </c>
      <c r="AA28" s="397" t="s">
        <v>435</v>
      </c>
      <c r="AB28" s="397">
        <v>2231.7600000000002</v>
      </c>
      <c r="AC28" s="397"/>
      <c r="AD28" s="397">
        <v>2019</v>
      </c>
      <c r="AE28" s="397"/>
      <c r="AF28" s="397">
        <v>3340.2</v>
      </c>
      <c r="AG28" s="397">
        <v>-99996</v>
      </c>
      <c r="AH28" s="397">
        <v>0</v>
      </c>
      <c r="AI28" s="397">
        <v>2019</v>
      </c>
      <c r="AJ28" s="397"/>
      <c r="AK28" s="397"/>
      <c r="AL28" s="397"/>
      <c r="AM28" s="397"/>
      <c r="AN28" s="397"/>
    </row>
    <row r="29" spans="2:40" s="369" customFormat="1" ht="14.4" x14ac:dyDescent="0.3">
      <c r="B29" s="124" t="s">
        <v>105</v>
      </c>
      <c r="C29" s="960" t="s">
        <v>1466</v>
      </c>
      <c r="D29" s="1024"/>
      <c r="E29" s="829">
        <f>576*2/1412.9</f>
        <v>0.81534432727015349</v>
      </c>
      <c r="F29" s="1024"/>
      <c r="G29" s="283">
        <f>ROUND(128/1412,2)</f>
        <v>0.09</v>
      </c>
      <c r="H29" s="1024" t="s">
        <v>14</v>
      </c>
      <c r="I29" s="283" t="s">
        <v>14</v>
      </c>
      <c r="J29" s="1024" t="s">
        <v>14</v>
      </c>
      <c r="K29" s="283" t="s">
        <v>14</v>
      </c>
      <c r="L29" s="958" t="str">
        <f t="shared" si="8"/>
        <v/>
      </c>
      <c r="M29" s="953">
        <f t="shared" si="11"/>
        <v>0.91</v>
      </c>
      <c r="N29" s="962" t="str">
        <f t="shared" si="9"/>
        <v/>
      </c>
      <c r="O29" s="197" t="s">
        <v>132</v>
      </c>
      <c r="P29" s="958" t="str">
        <f t="shared" si="10"/>
        <v/>
      </c>
      <c r="Q29" s="197" t="s">
        <v>1457</v>
      </c>
      <c r="R29" s="87"/>
      <c r="X29" s="397" t="s">
        <v>105</v>
      </c>
      <c r="Y29" s="397" t="s">
        <v>1456</v>
      </c>
      <c r="Z29" s="397" t="s">
        <v>1466</v>
      </c>
      <c r="AA29" s="397" t="s">
        <v>435</v>
      </c>
      <c r="AB29" s="397">
        <v>1412.9</v>
      </c>
      <c r="AC29" s="397"/>
      <c r="AD29" s="397">
        <v>1280</v>
      </c>
      <c r="AE29" s="397"/>
      <c r="AF29" s="397">
        <v>3340.2</v>
      </c>
      <c r="AG29" s="397">
        <v>-99996</v>
      </c>
      <c r="AH29" s="397">
        <v>0</v>
      </c>
      <c r="AI29" s="397">
        <v>1280</v>
      </c>
      <c r="AJ29" s="397"/>
      <c r="AK29" s="397"/>
      <c r="AL29" s="397"/>
      <c r="AM29" s="397"/>
      <c r="AN29" s="397"/>
    </row>
    <row r="30" spans="2:40" s="369" customFormat="1" ht="14.4" x14ac:dyDescent="0.3">
      <c r="B30" s="124" t="s">
        <v>106</v>
      </c>
      <c r="C30" s="960" t="s">
        <v>1466</v>
      </c>
      <c r="D30" s="1024"/>
      <c r="E30" s="829">
        <f>896*2/2231.8</f>
        <v>0.80293933148131547</v>
      </c>
      <c r="F30" s="1024"/>
      <c r="G30" s="283">
        <f>ROUND(224/2231.8,2)</f>
        <v>0.1</v>
      </c>
      <c r="H30" s="1024" t="s">
        <v>14</v>
      </c>
      <c r="I30" s="283" t="s">
        <v>14</v>
      </c>
      <c r="J30" s="1024" t="s">
        <v>14</v>
      </c>
      <c r="K30" s="283" t="s">
        <v>14</v>
      </c>
      <c r="L30" s="958" t="str">
        <f t="shared" si="8"/>
        <v/>
      </c>
      <c r="M30" s="953">
        <f t="shared" si="11"/>
        <v>0.9</v>
      </c>
      <c r="N30" s="962" t="str">
        <f t="shared" si="9"/>
        <v/>
      </c>
      <c r="O30" s="197" t="s">
        <v>132</v>
      </c>
      <c r="P30" s="958" t="str">
        <f t="shared" si="10"/>
        <v/>
      </c>
      <c r="Q30" s="197" t="s">
        <v>1457</v>
      </c>
      <c r="R30" s="87"/>
      <c r="X30" s="397" t="s">
        <v>106</v>
      </c>
      <c r="Y30" s="397" t="s">
        <v>1456</v>
      </c>
      <c r="Z30" s="397" t="s">
        <v>1466</v>
      </c>
      <c r="AA30" s="397" t="s">
        <v>435</v>
      </c>
      <c r="AB30" s="397">
        <v>2231.7600000000002</v>
      </c>
      <c r="AC30" s="397"/>
      <c r="AD30" s="397">
        <v>2019</v>
      </c>
      <c r="AE30" s="397"/>
      <c r="AF30" s="397">
        <v>3340.2</v>
      </c>
      <c r="AG30" s="397">
        <v>-99996</v>
      </c>
      <c r="AH30" s="397">
        <v>0</v>
      </c>
      <c r="AI30" s="397">
        <v>2019</v>
      </c>
      <c r="AJ30" s="397"/>
      <c r="AK30" s="397"/>
      <c r="AL30" s="397"/>
      <c r="AM30" s="397"/>
      <c r="AN30" s="397"/>
    </row>
    <row r="31" spans="2:40" s="369" customFormat="1" ht="27.6" x14ac:dyDescent="0.3">
      <c r="B31" s="124" t="s">
        <v>107</v>
      </c>
      <c r="C31" s="963" t="s">
        <v>1467</v>
      </c>
      <c r="D31" s="1024"/>
      <c r="E31" s="829">
        <v>0.8</v>
      </c>
      <c r="F31" s="1024" t="s">
        <v>14</v>
      </c>
      <c r="G31" s="283" t="s">
        <v>14</v>
      </c>
      <c r="H31" s="1024" t="s">
        <v>14</v>
      </c>
      <c r="I31" s="283" t="s">
        <v>14</v>
      </c>
      <c r="J31" s="1024" t="s">
        <v>14</v>
      </c>
      <c r="K31" s="283" t="s">
        <v>14</v>
      </c>
      <c r="L31" s="958" t="str">
        <f t="shared" si="8"/>
        <v/>
      </c>
      <c r="M31" s="953">
        <f t="shared" si="11"/>
        <v>0.8</v>
      </c>
      <c r="N31" s="962" t="str">
        <f t="shared" si="9"/>
        <v/>
      </c>
      <c r="O31" s="197" t="s">
        <v>132</v>
      </c>
      <c r="P31" s="958" t="str">
        <f t="shared" si="10"/>
        <v/>
      </c>
      <c r="Q31" s="197" t="s">
        <v>1432</v>
      </c>
      <c r="R31" s="87"/>
      <c r="X31" s="397" t="s">
        <v>107</v>
      </c>
      <c r="Y31" s="397" t="s">
        <v>1456</v>
      </c>
      <c r="Z31" s="397" t="s">
        <v>1467</v>
      </c>
      <c r="AA31" s="397" t="s">
        <v>435</v>
      </c>
      <c r="AB31" s="397">
        <v>1412.8</v>
      </c>
      <c r="AC31" s="397"/>
      <c r="AD31" s="397">
        <v>1130.24</v>
      </c>
      <c r="AE31" s="397"/>
      <c r="AF31" s="397">
        <v>3340.2</v>
      </c>
      <c r="AG31" s="397">
        <v>-99996</v>
      </c>
      <c r="AH31" s="397">
        <v>0</v>
      </c>
      <c r="AI31" s="397">
        <v>1130.24</v>
      </c>
      <c r="AJ31" s="397"/>
      <c r="AK31" s="397"/>
      <c r="AL31" s="397"/>
      <c r="AM31" s="397"/>
      <c r="AN31" s="397"/>
    </row>
    <row r="32" spans="2:40" s="369" customFormat="1" ht="14.4" x14ac:dyDescent="0.3">
      <c r="B32" s="175" t="s">
        <v>108</v>
      </c>
      <c r="C32" s="150"/>
      <c r="D32" s="928" t="s">
        <v>14</v>
      </c>
      <c r="E32" s="281" t="s">
        <v>14</v>
      </c>
      <c r="F32" s="928" t="s">
        <v>14</v>
      </c>
      <c r="G32" s="281" t="s">
        <v>14</v>
      </c>
      <c r="H32" s="928" t="s">
        <v>14</v>
      </c>
      <c r="I32" s="281" t="s">
        <v>14</v>
      </c>
      <c r="J32" s="928" t="s">
        <v>14</v>
      </c>
      <c r="K32" s="281" t="s">
        <v>14</v>
      </c>
      <c r="L32" s="195" t="s">
        <v>14</v>
      </c>
      <c r="M32" s="195" t="s">
        <v>14</v>
      </c>
      <c r="N32" s="326" t="s">
        <v>14</v>
      </c>
      <c r="O32" s="196" t="s">
        <v>14</v>
      </c>
      <c r="P32" s="330" t="s">
        <v>14</v>
      </c>
      <c r="Q32" s="331" t="s">
        <v>14</v>
      </c>
      <c r="R32" s="87"/>
      <c r="X32" s="397" t="s">
        <v>108</v>
      </c>
      <c r="Y32" s="397" t="s">
        <v>337</v>
      </c>
      <c r="Z32" s="397" t="s">
        <v>118</v>
      </c>
      <c r="AA32" s="397" t="s">
        <v>435</v>
      </c>
      <c r="AB32" s="397">
        <v>0</v>
      </c>
      <c r="AC32" s="397"/>
      <c r="AD32" s="397"/>
      <c r="AE32" s="397"/>
      <c r="AF32" s="397"/>
      <c r="AG32" s="397"/>
      <c r="AH32" s="397"/>
      <c r="AI32" s="397"/>
      <c r="AJ32" s="397"/>
      <c r="AK32" s="397"/>
      <c r="AL32" s="397"/>
      <c r="AM32" s="397"/>
      <c r="AN32" s="397"/>
    </row>
    <row r="33" spans="1:43" s="369" customFormat="1" x14ac:dyDescent="0.3">
      <c r="B33" s="77"/>
      <c r="C33" s="29"/>
      <c r="M33" s="370"/>
      <c r="O33" s="370"/>
      <c r="P33" s="87"/>
      <c r="Q33" s="87"/>
      <c r="R33" s="87"/>
    </row>
    <row r="34" spans="1:43" s="369" customFormat="1" x14ac:dyDescent="0.3">
      <c r="B34" s="85"/>
      <c r="C34" s="83"/>
      <c r="M34" s="75"/>
      <c r="O34" s="75"/>
      <c r="Q34" s="75"/>
      <c r="R34" s="75"/>
    </row>
    <row r="35" spans="1:43" s="86" customFormat="1" x14ac:dyDescent="0.3">
      <c r="A35" s="290"/>
      <c r="B35" s="342" t="s">
        <v>48</v>
      </c>
      <c r="C35" s="290"/>
      <c r="D35" s="290"/>
      <c r="E35" s="290"/>
      <c r="F35" s="290"/>
      <c r="G35" s="290"/>
      <c r="H35" s="290"/>
      <c r="I35" s="290"/>
      <c r="J35" s="290"/>
      <c r="K35" s="290"/>
      <c r="L35" s="290"/>
      <c r="M35" s="290"/>
      <c r="N35" s="290"/>
      <c r="O35" s="290"/>
      <c r="P35" s="290"/>
      <c r="Q35" s="290"/>
    </row>
    <row r="36" spans="1:43" s="82" customFormat="1" ht="14.4" x14ac:dyDescent="0.3">
      <c r="A36" s="71"/>
      <c r="B36" s="24" t="s">
        <v>114</v>
      </c>
      <c r="D36" s="84"/>
      <c r="F36" s="84"/>
      <c r="H36" s="84"/>
      <c r="J36" s="84"/>
      <c r="L36" s="84"/>
      <c r="N36" s="84"/>
      <c r="P36" s="84"/>
      <c r="R36" s="87"/>
      <c r="S36" s="947"/>
      <c r="T36" s="947"/>
      <c r="U36" s="947"/>
      <c r="V36" s="947"/>
      <c r="W36" s="948" t="s">
        <v>1458</v>
      </c>
      <c r="X36" s="397" t="s">
        <v>343</v>
      </c>
      <c r="Y36" s="397"/>
      <c r="Z36" s="397"/>
      <c r="AA36" s="397"/>
      <c r="AB36" s="397"/>
      <c r="AC36" s="397"/>
      <c r="AD36" s="397"/>
      <c r="AE36" s="397"/>
      <c r="AF36" s="397"/>
      <c r="AG36" s="397"/>
      <c r="AH36" s="397"/>
      <c r="AI36" s="397"/>
      <c r="AJ36" s="397"/>
      <c r="AK36" s="397"/>
      <c r="AL36" s="397"/>
      <c r="AM36" s="397"/>
      <c r="AN36" s="397"/>
      <c r="AO36" s="397"/>
      <c r="AP36" s="397"/>
      <c r="AQ36" s="397"/>
    </row>
    <row r="37" spans="1:43" s="82" customFormat="1" ht="14.4" x14ac:dyDescent="0.3">
      <c r="B37" s="954" t="s">
        <v>212</v>
      </c>
      <c r="C37" s="955"/>
      <c r="D37" s="956"/>
      <c r="E37" s="955"/>
      <c r="F37" s="956"/>
      <c r="G37" s="955"/>
      <c r="H37" s="956"/>
      <c r="I37" s="955"/>
      <c r="J37" s="956"/>
      <c r="K37" s="955"/>
      <c r="L37" s="956"/>
      <c r="M37" s="955"/>
      <c r="N37" s="956"/>
      <c r="O37" s="955"/>
      <c r="P37" s="956"/>
      <c r="Q37" s="955"/>
      <c r="R37" s="87"/>
      <c r="X37" s="397" t="s">
        <v>212</v>
      </c>
      <c r="Y37" s="397"/>
      <c r="Z37" s="397"/>
      <c r="AA37" s="397"/>
      <c r="AB37" s="397"/>
      <c r="AC37" s="397" t="s">
        <v>324</v>
      </c>
      <c r="AD37" s="397"/>
      <c r="AE37" s="397"/>
      <c r="AF37" s="397"/>
      <c r="AG37" s="397"/>
      <c r="AH37" s="397"/>
      <c r="AI37" s="397"/>
      <c r="AJ37" s="397"/>
      <c r="AK37" s="397"/>
      <c r="AL37" s="397"/>
      <c r="AM37" s="397"/>
      <c r="AN37" s="397" t="s">
        <v>325</v>
      </c>
      <c r="AO37" s="397"/>
      <c r="AP37" s="397"/>
      <c r="AQ37" s="397"/>
    </row>
    <row r="38" spans="1:43" s="77" customFormat="1" ht="38.25" customHeight="1" x14ac:dyDescent="0.3">
      <c r="B38" s="108" t="s">
        <v>138</v>
      </c>
      <c r="C38" s="116" t="s">
        <v>190</v>
      </c>
      <c r="D38" s="280"/>
      <c r="E38" s="110" t="s">
        <v>597</v>
      </c>
      <c r="F38" s="223"/>
      <c r="G38" s="168" t="s">
        <v>522</v>
      </c>
      <c r="H38" s="280"/>
      <c r="I38" s="110" t="s">
        <v>645</v>
      </c>
      <c r="J38" s="223"/>
      <c r="K38" s="168" t="s">
        <v>523</v>
      </c>
      <c r="L38" s="280"/>
      <c r="M38" s="110" t="s">
        <v>524</v>
      </c>
      <c r="N38" s="223"/>
      <c r="O38" s="168" t="s">
        <v>123</v>
      </c>
      <c r="P38" s="280"/>
      <c r="Q38" s="110" t="s">
        <v>161</v>
      </c>
      <c r="R38" s="81"/>
      <c r="X38" s="397" t="s">
        <v>203</v>
      </c>
      <c r="Y38" s="397" t="s">
        <v>291</v>
      </c>
      <c r="Z38" s="397" t="s">
        <v>190</v>
      </c>
      <c r="AA38" s="397" t="s">
        <v>920</v>
      </c>
      <c r="AB38" s="397" t="s">
        <v>330</v>
      </c>
      <c r="AC38" s="397" t="s">
        <v>1124</v>
      </c>
      <c r="AD38" s="397" t="s">
        <v>344</v>
      </c>
      <c r="AE38" s="397" t="s">
        <v>333</v>
      </c>
      <c r="AF38" s="397" t="s">
        <v>334</v>
      </c>
      <c r="AG38" s="397" t="s">
        <v>345</v>
      </c>
      <c r="AH38" s="397" t="s">
        <v>346</v>
      </c>
      <c r="AI38" s="397" t="s">
        <v>385</v>
      </c>
      <c r="AJ38" s="397" t="s">
        <v>386</v>
      </c>
      <c r="AK38" s="397" t="s">
        <v>387</v>
      </c>
      <c r="AL38" s="397" t="s">
        <v>347</v>
      </c>
      <c r="AM38" s="397" t="s">
        <v>348</v>
      </c>
      <c r="AN38" s="397" t="s">
        <v>349</v>
      </c>
      <c r="AO38" s="397" t="s">
        <v>333</v>
      </c>
      <c r="AP38" s="397" t="s">
        <v>334</v>
      </c>
      <c r="AQ38" s="397" t="s">
        <v>350</v>
      </c>
    </row>
    <row r="39" spans="1:43" s="369" customFormat="1" ht="15" thickBot="1" x14ac:dyDescent="0.35">
      <c r="B39" s="139" t="s">
        <v>213</v>
      </c>
      <c r="C39" s="117"/>
      <c r="D39" s="139"/>
      <c r="E39" s="957" t="s">
        <v>970</v>
      </c>
      <c r="F39" s="139"/>
      <c r="G39" s="957" t="s">
        <v>970</v>
      </c>
      <c r="H39" s="139"/>
      <c r="I39" s="957" t="s">
        <v>970</v>
      </c>
      <c r="J39" s="139"/>
      <c r="K39" s="957" t="s">
        <v>970</v>
      </c>
      <c r="L39" s="139"/>
      <c r="M39" s="238" t="s">
        <v>149</v>
      </c>
      <c r="N39" s="118"/>
      <c r="O39" s="118" t="s">
        <v>150</v>
      </c>
      <c r="P39" s="139"/>
      <c r="Q39" s="238"/>
      <c r="R39" s="87"/>
      <c r="X39" s="397"/>
      <c r="Y39" s="397"/>
      <c r="Z39" s="397"/>
      <c r="AA39" s="397"/>
      <c r="AB39" s="397" t="s">
        <v>109</v>
      </c>
      <c r="AC39" s="397"/>
      <c r="AD39" s="397" t="s">
        <v>164</v>
      </c>
      <c r="AE39" s="397"/>
      <c r="AF39" s="397" t="s">
        <v>336</v>
      </c>
      <c r="AG39" s="397"/>
      <c r="AH39" s="397" t="s">
        <v>164</v>
      </c>
      <c r="AI39" s="397" t="s">
        <v>164</v>
      </c>
      <c r="AJ39" s="397" t="s">
        <v>164</v>
      </c>
      <c r="AK39" s="397" t="s">
        <v>164</v>
      </c>
      <c r="AL39" s="397" t="s">
        <v>164</v>
      </c>
      <c r="AM39" s="397" t="s">
        <v>351</v>
      </c>
      <c r="AN39" s="397" t="s">
        <v>164</v>
      </c>
      <c r="AO39" s="397"/>
      <c r="AP39" s="397" t="s">
        <v>336</v>
      </c>
      <c r="AQ39" s="397" t="s">
        <v>351</v>
      </c>
    </row>
    <row r="40" spans="1:43" s="369" customFormat="1" ht="42" thickTop="1" x14ac:dyDescent="0.3">
      <c r="B40" s="124" t="s">
        <v>85</v>
      </c>
      <c r="C40" s="384" t="s">
        <v>1468</v>
      </c>
      <c r="D40" s="927"/>
      <c r="E40" s="829">
        <v>0.65</v>
      </c>
      <c r="F40" s="927" t="s">
        <v>14</v>
      </c>
      <c r="G40" s="283" t="s">
        <v>14</v>
      </c>
      <c r="H40" s="927"/>
      <c r="I40" s="283">
        <f>MIN(0.4,I15)</f>
        <v>0.4</v>
      </c>
      <c r="J40" s="927"/>
      <c r="K40" s="283">
        <f>MIN(0.35,K15)</f>
        <v>0.1</v>
      </c>
      <c r="L40" s="958" t="str">
        <f>IF(M40=AM40,"X","")</f>
        <v/>
      </c>
      <c r="M40" s="197">
        <f>E40+I40+K40</f>
        <v>1.1500000000000001</v>
      </c>
      <c r="N40" s="959" t="str">
        <f>IF(O40=AE40,"X","")</f>
        <v/>
      </c>
      <c r="O40" s="966" t="s">
        <v>132</v>
      </c>
      <c r="P40" s="967" t="str">
        <f>IF(Q40=AC40,"X","")</f>
        <v/>
      </c>
      <c r="Q40" s="451" t="s">
        <v>1457</v>
      </c>
      <c r="R40" s="87"/>
      <c r="X40" s="397" t="s">
        <v>85</v>
      </c>
      <c r="Y40" s="397" t="s">
        <v>1456</v>
      </c>
      <c r="Z40" s="397" t="s">
        <v>1468</v>
      </c>
      <c r="AA40" s="397" t="s">
        <v>435</v>
      </c>
      <c r="AB40" s="397">
        <v>10586.7</v>
      </c>
      <c r="AC40" s="397"/>
      <c r="AD40" s="397">
        <v>0</v>
      </c>
      <c r="AE40" s="397"/>
      <c r="AF40" s="397">
        <v>3340.2</v>
      </c>
      <c r="AG40" s="397">
        <v>-99996</v>
      </c>
      <c r="AH40" s="397">
        <v>0</v>
      </c>
      <c r="AI40" s="397">
        <v>6881.36</v>
      </c>
      <c r="AJ40" s="397">
        <v>0</v>
      </c>
      <c r="AK40" s="397">
        <v>5322.68</v>
      </c>
      <c r="AL40" s="397">
        <v>12204</v>
      </c>
      <c r="AM40" s="397"/>
      <c r="AN40" s="397"/>
      <c r="AO40" s="397"/>
      <c r="AP40" s="397"/>
      <c r="AQ40" s="397"/>
    </row>
    <row r="41" spans="1:43" s="369" customFormat="1" ht="14.4" x14ac:dyDescent="0.3">
      <c r="B41" s="124" t="s">
        <v>87</v>
      </c>
      <c r="C41" s="960" t="s">
        <v>1466</v>
      </c>
      <c r="D41" s="1024"/>
      <c r="E41" s="829">
        <v>0.55000000000000004</v>
      </c>
      <c r="F41" s="1024"/>
      <c r="G41" s="283">
        <f>MIN(0.2,G16)</f>
        <v>0.1</v>
      </c>
      <c r="H41" s="1024" t="s">
        <v>14</v>
      </c>
      <c r="I41" s="283" t="s">
        <v>14</v>
      </c>
      <c r="J41" s="1024" t="s">
        <v>14</v>
      </c>
      <c r="K41" s="283" t="s">
        <v>14</v>
      </c>
      <c r="L41" s="958" t="str">
        <f t="shared" ref="L41:L56" si="12">IF(M41=AM41,"X","")</f>
        <v/>
      </c>
      <c r="M41" s="197">
        <f>E41+G41</f>
        <v>0.65</v>
      </c>
      <c r="N41" s="962" t="str">
        <f t="shared" ref="N41:N44" si="13">IF(O41=AE41,"X","")</f>
        <v/>
      </c>
      <c r="O41" s="966" t="s">
        <v>132</v>
      </c>
      <c r="P41" s="967" t="str">
        <f t="shared" ref="P41:P44" si="14">IF(Q41=AC41,"X","")</f>
        <v/>
      </c>
      <c r="Q41" s="197" t="s">
        <v>1457</v>
      </c>
      <c r="R41" s="87"/>
      <c r="X41" s="397" t="s">
        <v>87</v>
      </c>
      <c r="Y41" s="397" t="s">
        <v>1456</v>
      </c>
      <c r="Z41" s="397" t="s">
        <v>1466</v>
      </c>
      <c r="AA41" s="397" t="s">
        <v>435</v>
      </c>
      <c r="AB41" s="397">
        <v>2231.7600000000002</v>
      </c>
      <c r="AC41" s="397"/>
      <c r="AD41" s="397">
        <v>0</v>
      </c>
      <c r="AE41" s="397"/>
      <c r="AF41" s="397">
        <v>3340.2</v>
      </c>
      <c r="AG41" s="397">
        <v>-99996</v>
      </c>
      <c r="AH41" s="397">
        <v>0</v>
      </c>
      <c r="AI41" s="397">
        <v>1227.47</v>
      </c>
      <c r="AJ41" s="397">
        <v>0</v>
      </c>
      <c r="AK41" s="397">
        <v>224</v>
      </c>
      <c r="AL41" s="397">
        <v>1451.47</v>
      </c>
      <c r="AM41" s="397"/>
      <c r="AN41" s="397"/>
      <c r="AO41" s="397"/>
      <c r="AP41" s="397"/>
      <c r="AQ41" s="397"/>
    </row>
    <row r="42" spans="1:43" ht="14.4" x14ac:dyDescent="0.3">
      <c r="B42" s="124" t="s">
        <v>88</v>
      </c>
      <c r="C42" s="960" t="s">
        <v>1466</v>
      </c>
      <c r="D42" s="1024"/>
      <c r="E42" s="829">
        <v>0.55000000000000004</v>
      </c>
      <c r="F42" s="1024"/>
      <c r="G42" s="283">
        <f t="shared" ref="G42:G43" si="15">MIN(0.2,G17)</f>
        <v>0.09</v>
      </c>
      <c r="H42" s="1024" t="s">
        <v>14</v>
      </c>
      <c r="I42" s="283" t="s">
        <v>14</v>
      </c>
      <c r="J42" s="1024" t="s">
        <v>14</v>
      </c>
      <c r="K42" s="283" t="s">
        <v>14</v>
      </c>
      <c r="L42" s="958" t="str">
        <f t="shared" si="12"/>
        <v/>
      </c>
      <c r="M42" s="197">
        <f>E42+G42</f>
        <v>0.64</v>
      </c>
      <c r="N42" s="962" t="str">
        <f t="shared" si="13"/>
        <v/>
      </c>
      <c r="O42" s="966" t="s">
        <v>132</v>
      </c>
      <c r="P42" s="967" t="str">
        <f t="shared" si="14"/>
        <v/>
      </c>
      <c r="Q42" s="197" t="s">
        <v>1457</v>
      </c>
      <c r="R42" s="87"/>
      <c r="X42" s="397" t="s">
        <v>88</v>
      </c>
      <c r="Y42" s="397" t="s">
        <v>1456</v>
      </c>
      <c r="Z42" s="397" t="s">
        <v>1466</v>
      </c>
      <c r="AA42" s="397" t="s">
        <v>435</v>
      </c>
      <c r="AB42" s="397">
        <v>1412.9</v>
      </c>
      <c r="AC42" s="397"/>
      <c r="AD42" s="397">
        <v>0</v>
      </c>
      <c r="AE42" s="397"/>
      <c r="AF42" s="397">
        <v>3340.2</v>
      </c>
      <c r="AG42" s="397">
        <v>-99996</v>
      </c>
      <c r="AH42" s="397">
        <v>0</v>
      </c>
      <c r="AI42" s="397">
        <v>777.09500000000003</v>
      </c>
      <c r="AJ42" s="397">
        <v>0</v>
      </c>
      <c r="AK42" s="397">
        <v>128</v>
      </c>
      <c r="AL42" s="397">
        <v>905.09500000000003</v>
      </c>
      <c r="AM42" s="397"/>
      <c r="AN42" s="397"/>
      <c r="AO42" s="397"/>
      <c r="AP42" s="397"/>
      <c r="AQ42" s="397"/>
    </row>
    <row r="43" spans="1:43" s="369" customFormat="1" ht="14.4" x14ac:dyDescent="0.3">
      <c r="B43" s="124" t="s">
        <v>89</v>
      </c>
      <c r="C43" s="960" t="s">
        <v>1466</v>
      </c>
      <c r="D43" s="1024"/>
      <c r="E43" s="829">
        <v>0.55000000000000004</v>
      </c>
      <c r="F43" s="1024"/>
      <c r="G43" s="283">
        <f t="shared" si="15"/>
        <v>0.1</v>
      </c>
      <c r="H43" s="1024" t="s">
        <v>14</v>
      </c>
      <c r="I43" s="283" t="s">
        <v>14</v>
      </c>
      <c r="J43" s="1024" t="s">
        <v>14</v>
      </c>
      <c r="K43" s="283" t="s">
        <v>14</v>
      </c>
      <c r="L43" s="958" t="str">
        <f t="shared" si="12"/>
        <v/>
      </c>
      <c r="M43" s="197">
        <f>E43+G43</f>
        <v>0.65</v>
      </c>
      <c r="N43" s="962" t="str">
        <f t="shared" si="13"/>
        <v/>
      </c>
      <c r="O43" s="966" t="s">
        <v>132</v>
      </c>
      <c r="P43" s="967" t="str">
        <f t="shared" si="14"/>
        <v/>
      </c>
      <c r="Q43" s="197" t="s">
        <v>1457</v>
      </c>
      <c r="R43" s="87"/>
      <c r="X43" s="397" t="s">
        <v>89</v>
      </c>
      <c r="Y43" s="397" t="s">
        <v>1456</v>
      </c>
      <c r="Z43" s="397" t="s">
        <v>1466</v>
      </c>
      <c r="AA43" s="397" t="s">
        <v>435</v>
      </c>
      <c r="AB43" s="397">
        <v>2231.7600000000002</v>
      </c>
      <c r="AC43" s="397"/>
      <c r="AD43" s="397">
        <v>0</v>
      </c>
      <c r="AE43" s="397"/>
      <c r="AF43" s="397">
        <v>3340.2</v>
      </c>
      <c r="AG43" s="397">
        <v>-99996</v>
      </c>
      <c r="AH43" s="397">
        <v>0</v>
      </c>
      <c r="AI43" s="397">
        <v>1227.47</v>
      </c>
      <c r="AJ43" s="397">
        <v>0</v>
      </c>
      <c r="AK43" s="397">
        <v>224</v>
      </c>
      <c r="AL43" s="397">
        <v>1451.47</v>
      </c>
      <c r="AM43" s="397"/>
      <c r="AN43" s="397"/>
      <c r="AO43" s="397"/>
      <c r="AP43" s="397"/>
      <c r="AQ43" s="397"/>
    </row>
    <row r="44" spans="1:43" s="369" customFormat="1" ht="27.6" x14ac:dyDescent="0.3">
      <c r="B44" s="124" t="s">
        <v>90</v>
      </c>
      <c r="C44" s="963" t="s">
        <v>1467</v>
      </c>
      <c r="D44" s="1024"/>
      <c r="E44" s="829">
        <v>0.6</v>
      </c>
      <c r="F44" s="1024" t="s">
        <v>14</v>
      </c>
      <c r="G44" s="283" t="s">
        <v>14</v>
      </c>
      <c r="H44" s="1024" t="s">
        <v>14</v>
      </c>
      <c r="I44" s="283" t="s">
        <v>14</v>
      </c>
      <c r="J44" s="1024" t="s">
        <v>14</v>
      </c>
      <c r="K44" s="283" t="s">
        <v>14</v>
      </c>
      <c r="L44" s="958" t="str">
        <f t="shared" si="12"/>
        <v/>
      </c>
      <c r="M44" s="197">
        <f>E44</f>
        <v>0.6</v>
      </c>
      <c r="N44" s="962" t="str">
        <f t="shared" si="13"/>
        <v/>
      </c>
      <c r="O44" s="966" t="s">
        <v>132</v>
      </c>
      <c r="P44" s="967" t="str">
        <f t="shared" si="14"/>
        <v/>
      </c>
      <c r="Q44" s="197" t="s">
        <v>1432</v>
      </c>
      <c r="R44" s="87"/>
      <c r="X44" s="397" t="s">
        <v>90</v>
      </c>
      <c r="Y44" s="397" t="s">
        <v>1456</v>
      </c>
      <c r="Z44" s="397" t="s">
        <v>1467</v>
      </c>
      <c r="AA44" s="397" t="s">
        <v>435</v>
      </c>
      <c r="AB44" s="397">
        <v>1412.8</v>
      </c>
      <c r="AC44" s="397"/>
      <c r="AD44" s="397">
        <v>0</v>
      </c>
      <c r="AE44" s="397"/>
      <c r="AF44" s="397">
        <v>3340.2</v>
      </c>
      <c r="AG44" s="397">
        <v>-99996</v>
      </c>
      <c r="AH44" s="397">
        <v>0</v>
      </c>
      <c r="AI44" s="397">
        <v>847.68</v>
      </c>
      <c r="AJ44" s="397">
        <v>0</v>
      </c>
      <c r="AK44" s="397">
        <v>0</v>
      </c>
      <c r="AL44" s="397">
        <v>847.68</v>
      </c>
      <c r="AM44" s="397"/>
      <c r="AN44" s="397"/>
      <c r="AO44" s="397"/>
      <c r="AP44" s="397"/>
      <c r="AQ44" s="397"/>
    </row>
    <row r="45" spans="1:43" s="369" customFormat="1" ht="14.4" x14ac:dyDescent="0.3">
      <c r="B45" s="124" t="s">
        <v>160</v>
      </c>
      <c r="C45" s="964"/>
      <c r="D45" s="1024" t="s">
        <v>14</v>
      </c>
      <c r="E45" s="829" t="s">
        <v>14</v>
      </c>
      <c r="F45" s="1024" t="s">
        <v>14</v>
      </c>
      <c r="G45" s="283" t="s">
        <v>14</v>
      </c>
      <c r="H45" s="1024" t="s">
        <v>14</v>
      </c>
      <c r="I45" s="283" t="s">
        <v>14</v>
      </c>
      <c r="J45" s="1024" t="s">
        <v>14</v>
      </c>
      <c r="K45" s="283" t="s">
        <v>14</v>
      </c>
      <c r="L45" s="328"/>
      <c r="M45" s="961" t="s">
        <v>14</v>
      </c>
      <c r="N45" s="328" t="s">
        <v>14</v>
      </c>
      <c r="O45" s="961" t="s">
        <v>14</v>
      </c>
      <c r="P45" s="328" t="s">
        <v>14</v>
      </c>
      <c r="Q45" s="329" t="s">
        <v>14</v>
      </c>
      <c r="R45" s="87"/>
      <c r="X45" s="397" t="s">
        <v>160</v>
      </c>
      <c r="Y45" s="397" t="s">
        <v>337</v>
      </c>
      <c r="Z45" s="397" t="s">
        <v>118</v>
      </c>
      <c r="AA45" s="397" t="s">
        <v>435</v>
      </c>
      <c r="AB45" s="397">
        <v>0</v>
      </c>
      <c r="AC45" s="397"/>
      <c r="AD45" s="397"/>
      <c r="AE45" s="397"/>
      <c r="AF45" s="397"/>
      <c r="AG45" s="397"/>
      <c r="AH45" s="397"/>
      <c r="AI45" s="397"/>
      <c r="AJ45" s="397"/>
      <c r="AK45" s="397"/>
      <c r="AL45" s="397"/>
      <c r="AM45" s="397"/>
      <c r="AN45" s="397"/>
      <c r="AO45" s="397"/>
      <c r="AP45" s="397"/>
      <c r="AQ45" s="397"/>
    </row>
    <row r="46" spans="1:43" s="369" customFormat="1" ht="41.4" x14ac:dyDescent="0.3">
      <c r="B46" s="124" t="s">
        <v>97</v>
      </c>
      <c r="C46" s="384" t="s">
        <v>1468</v>
      </c>
      <c r="D46" s="1024"/>
      <c r="E46" s="829">
        <v>0.65</v>
      </c>
      <c r="F46" s="1024" t="s">
        <v>14</v>
      </c>
      <c r="G46" s="283" t="s">
        <v>14</v>
      </c>
      <c r="H46" s="1024"/>
      <c r="I46" s="283">
        <f>MIN(0.4,I21)</f>
        <v>0.4</v>
      </c>
      <c r="J46" s="1024"/>
      <c r="K46" s="283">
        <f>MIN(0.35,K21)</f>
        <v>0.1</v>
      </c>
      <c r="L46" s="958" t="str">
        <f t="shared" si="12"/>
        <v/>
      </c>
      <c r="M46" s="197">
        <f>E46+I46+K46</f>
        <v>1.1500000000000001</v>
      </c>
      <c r="N46" s="962" t="str">
        <f t="shared" ref="N46:N50" si="16">IF(O46=AE46,"X","")</f>
        <v/>
      </c>
      <c r="O46" s="966" t="s">
        <v>132</v>
      </c>
      <c r="P46" s="967" t="str">
        <f t="shared" ref="P46:P50" si="17">IF(Q46=AC46,"X","")</f>
        <v/>
      </c>
      <c r="Q46" s="197" t="s">
        <v>1457</v>
      </c>
      <c r="R46" s="87"/>
      <c r="X46" s="397" t="s">
        <v>97</v>
      </c>
      <c r="Y46" s="397" t="s">
        <v>1456</v>
      </c>
      <c r="Z46" s="397" t="s">
        <v>1468</v>
      </c>
      <c r="AA46" s="397" t="s">
        <v>435</v>
      </c>
      <c r="AB46" s="397">
        <v>10586.7</v>
      </c>
      <c r="AC46" s="397"/>
      <c r="AD46" s="397">
        <v>0</v>
      </c>
      <c r="AE46" s="397"/>
      <c r="AF46" s="397">
        <v>3340.2</v>
      </c>
      <c r="AG46" s="397">
        <v>-99996</v>
      </c>
      <c r="AH46" s="397">
        <v>0</v>
      </c>
      <c r="AI46" s="397">
        <v>6881.36</v>
      </c>
      <c r="AJ46" s="397">
        <v>0</v>
      </c>
      <c r="AK46" s="397">
        <v>5322.68</v>
      </c>
      <c r="AL46" s="397">
        <v>12204</v>
      </c>
      <c r="AM46" s="397"/>
      <c r="AN46" s="397"/>
      <c r="AO46" s="397"/>
      <c r="AP46" s="397"/>
      <c r="AQ46" s="397"/>
    </row>
    <row r="47" spans="1:43" s="369" customFormat="1" ht="14.4" x14ac:dyDescent="0.3">
      <c r="B47" s="124" t="s">
        <v>99</v>
      </c>
      <c r="C47" s="960" t="s">
        <v>1466</v>
      </c>
      <c r="D47" s="1024"/>
      <c r="E47" s="829">
        <v>0.55000000000000004</v>
      </c>
      <c r="F47" s="1024"/>
      <c r="G47" s="283">
        <f>MIN(0.2,G22)</f>
        <v>0.1</v>
      </c>
      <c r="H47" s="1024" t="s">
        <v>14</v>
      </c>
      <c r="I47" s="283" t="s">
        <v>14</v>
      </c>
      <c r="J47" s="1024" t="s">
        <v>14</v>
      </c>
      <c r="K47" s="283" t="s">
        <v>14</v>
      </c>
      <c r="L47" s="958" t="str">
        <f t="shared" si="12"/>
        <v/>
      </c>
      <c r="M47" s="197">
        <f>E47+G47</f>
        <v>0.65</v>
      </c>
      <c r="N47" s="962" t="str">
        <f t="shared" si="16"/>
        <v/>
      </c>
      <c r="O47" s="966" t="s">
        <v>132</v>
      </c>
      <c r="P47" s="967" t="str">
        <f t="shared" si="17"/>
        <v/>
      </c>
      <c r="Q47" s="197" t="s">
        <v>1457</v>
      </c>
      <c r="R47" s="87"/>
      <c r="X47" s="397" t="s">
        <v>99</v>
      </c>
      <c r="Y47" s="397" t="s">
        <v>1456</v>
      </c>
      <c r="Z47" s="397" t="s">
        <v>1466</v>
      </c>
      <c r="AA47" s="397" t="s">
        <v>435</v>
      </c>
      <c r="AB47" s="397">
        <v>2231.7600000000002</v>
      </c>
      <c r="AC47" s="397"/>
      <c r="AD47" s="397">
        <v>0</v>
      </c>
      <c r="AE47" s="397"/>
      <c r="AF47" s="397">
        <v>3340.2</v>
      </c>
      <c r="AG47" s="397">
        <v>-99996</v>
      </c>
      <c r="AH47" s="397">
        <v>0</v>
      </c>
      <c r="AI47" s="397">
        <v>1227.47</v>
      </c>
      <c r="AJ47" s="397">
        <v>0</v>
      </c>
      <c r="AK47" s="397">
        <v>224</v>
      </c>
      <c r="AL47" s="397">
        <v>1451.47</v>
      </c>
      <c r="AM47" s="397"/>
      <c r="AN47" s="397"/>
      <c r="AO47" s="397"/>
      <c r="AP47" s="397"/>
      <c r="AQ47" s="397"/>
    </row>
    <row r="48" spans="1:43" s="369" customFormat="1" ht="14.4" x14ac:dyDescent="0.3">
      <c r="B48" s="124" t="s">
        <v>100</v>
      </c>
      <c r="C48" s="960" t="s">
        <v>1466</v>
      </c>
      <c r="D48" s="1024"/>
      <c r="E48" s="829">
        <v>0.55000000000000004</v>
      </c>
      <c r="F48" s="1024"/>
      <c r="G48" s="283">
        <f t="shared" ref="G48:G49" si="18">MIN(0.2,G23)</f>
        <v>0.09</v>
      </c>
      <c r="H48" s="1024" t="s">
        <v>14</v>
      </c>
      <c r="I48" s="283" t="s">
        <v>14</v>
      </c>
      <c r="J48" s="1024" t="s">
        <v>14</v>
      </c>
      <c r="K48" s="283" t="s">
        <v>14</v>
      </c>
      <c r="L48" s="958" t="str">
        <f t="shared" si="12"/>
        <v/>
      </c>
      <c r="M48" s="197">
        <f>E48+G48</f>
        <v>0.64</v>
      </c>
      <c r="N48" s="962" t="str">
        <f t="shared" si="16"/>
        <v/>
      </c>
      <c r="O48" s="966" t="s">
        <v>132</v>
      </c>
      <c r="P48" s="967" t="str">
        <f t="shared" si="17"/>
        <v/>
      </c>
      <c r="Q48" s="197" t="s">
        <v>1457</v>
      </c>
      <c r="R48" s="87"/>
      <c r="X48" s="397" t="s">
        <v>100</v>
      </c>
      <c r="Y48" s="397" t="s">
        <v>1456</v>
      </c>
      <c r="Z48" s="397" t="s">
        <v>1466</v>
      </c>
      <c r="AA48" s="397" t="s">
        <v>435</v>
      </c>
      <c r="AB48" s="397">
        <v>1412.9</v>
      </c>
      <c r="AC48" s="397"/>
      <c r="AD48" s="397">
        <v>0</v>
      </c>
      <c r="AE48" s="397"/>
      <c r="AF48" s="397">
        <v>3340.2</v>
      </c>
      <c r="AG48" s="397">
        <v>-99996</v>
      </c>
      <c r="AH48" s="397">
        <v>0</v>
      </c>
      <c r="AI48" s="397">
        <v>777.09500000000003</v>
      </c>
      <c r="AJ48" s="397">
        <v>0</v>
      </c>
      <c r="AK48" s="397">
        <v>128</v>
      </c>
      <c r="AL48" s="397">
        <v>905.09500000000003</v>
      </c>
      <c r="AM48" s="397"/>
      <c r="AN48" s="397"/>
      <c r="AO48" s="397"/>
      <c r="AP48" s="397"/>
      <c r="AQ48" s="397"/>
    </row>
    <row r="49" spans="2:43" s="369" customFormat="1" ht="14.4" x14ac:dyDescent="0.3">
      <c r="B49" s="124" t="s">
        <v>101</v>
      </c>
      <c r="C49" s="960" t="s">
        <v>1466</v>
      </c>
      <c r="D49" s="1024"/>
      <c r="E49" s="829">
        <v>0.55000000000000004</v>
      </c>
      <c r="F49" s="1024"/>
      <c r="G49" s="283">
        <f t="shared" si="18"/>
        <v>0.1</v>
      </c>
      <c r="H49" s="1024" t="s">
        <v>14</v>
      </c>
      <c r="I49" s="283" t="s">
        <v>14</v>
      </c>
      <c r="J49" s="1024" t="s">
        <v>14</v>
      </c>
      <c r="K49" s="283" t="s">
        <v>14</v>
      </c>
      <c r="L49" s="958" t="str">
        <f t="shared" si="12"/>
        <v/>
      </c>
      <c r="M49" s="197">
        <f>E49+G49</f>
        <v>0.65</v>
      </c>
      <c r="N49" s="962" t="str">
        <f t="shared" si="16"/>
        <v/>
      </c>
      <c r="O49" s="966" t="s">
        <v>132</v>
      </c>
      <c r="P49" s="967" t="str">
        <f t="shared" si="17"/>
        <v/>
      </c>
      <c r="Q49" s="197" t="s">
        <v>1457</v>
      </c>
      <c r="R49" s="87"/>
      <c r="X49" s="397" t="s">
        <v>101</v>
      </c>
      <c r="Y49" s="397" t="s">
        <v>1456</v>
      </c>
      <c r="Z49" s="397" t="s">
        <v>1466</v>
      </c>
      <c r="AA49" s="397" t="s">
        <v>435</v>
      </c>
      <c r="AB49" s="397">
        <v>2231.7600000000002</v>
      </c>
      <c r="AC49" s="397"/>
      <c r="AD49" s="397">
        <v>0</v>
      </c>
      <c r="AE49" s="397"/>
      <c r="AF49" s="397">
        <v>3340.2</v>
      </c>
      <c r="AG49" s="397">
        <v>-99996</v>
      </c>
      <c r="AH49" s="397">
        <v>0</v>
      </c>
      <c r="AI49" s="397">
        <v>1227.47</v>
      </c>
      <c r="AJ49" s="397">
        <v>0</v>
      </c>
      <c r="AK49" s="397">
        <v>224</v>
      </c>
      <c r="AL49" s="397">
        <v>1451.47</v>
      </c>
      <c r="AM49" s="397"/>
      <c r="AN49" s="397"/>
      <c r="AO49" s="397"/>
      <c r="AP49" s="397"/>
      <c r="AQ49" s="397"/>
    </row>
    <row r="50" spans="2:43" s="369" customFormat="1" ht="27.6" x14ac:dyDescent="0.3">
      <c r="B50" s="124" t="s">
        <v>102</v>
      </c>
      <c r="C50" s="963" t="s">
        <v>1467</v>
      </c>
      <c r="D50" s="1024"/>
      <c r="E50" s="829">
        <v>0.6</v>
      </c>
      <c r="F50" s="1024" t="s">
        <v>14</v>
      </c>
      <c r="G50" s="283" t="s">
        <v>14</v>
      </c>
      <c r="H50" s="1024" t="s">
        <v>14</v>
      </c>
      <c r="I50" s="283" t="s">
        <v>14</v>
      </c>
      <c r="J50" s="1024" t="s">
        <v>14</v>
      </c>
      <c r="K50" s="283" t="s">
        <v>14</v>
      </c>
      <c r="L50" s="958" t="str">
        <f t="shared" si="12"/>
        <v/>
      </c>
      <c r="M50" s="197">
        <f>E50</f>
        <v>0.6</v>
      </c>
      <c r="N50" s="962" t="str">
        <f t="shared" si="16"/>
        <v/>
      </c>
      <c r="O50" s="966" t="s">
        <v>132</v>
      </c>
      <c r="P50" s="967" t="str">
        <f t="shared" si="17"/>
        <v/>
      </c>
      <c r="Q50" s="197" t="s">
        <v>1432</v>
      </c>
      <c r="R50" s="87"/>
      <c r="X50" s="397" t="s">
        <v>102</v>
      </c>
      <c r="Y50" s="397" t="s">
        <v>1456</v>
      </c>
      <c r="Z50" s="397" t="s">
        <v>1467</v>
      </c>
      <c r="AA50" s="397" t="s">
        <v>435</v>
      </c>
      <c r="AB50" s="397">
        <v>1412.8</v>
      </c>
      <c r="AC50" s="397"/>
      <c r="AD50" s="397">
        <v>0</v>
      </c>
      <c r="AE50" s="397"/>
      <c r="AF50" s="397">
        <v>3340.2</v>
      </c>
      <c r="AG50" s="397">
        <v>-99996</v>
      </c>
      <c r="AH50" s="397">
        <v>0</v>
      </c>
      <c r="AI50" s="397">
        <v>847.68</v>
      </c>
      <c r="AJ50" s="397">
        <v>0</v>
      </c>
      <c r="AK50" s="397">
        <v>0</v>
      </c>
      <c r="AL50" s="397">
        <v>847.68</v>
      </c>
      <c r="AM50" s="397"/>
      <c r="AN50" s="397"/>
      <c r="AO50" s="397"/>
      <c r="AP50" s="397"/>
      <c r="AQ50" s="397"/>
    </row>
    <row r="51" spans="2:43" s="369" customFormat="1" ht="14.4" x14ac:dyDescent="0.3">
      <c r="B51" s="124" t="s">
        <v>98</v>
      </c>
      <c r="C51" s="384"/>
      <c r="D51" s="1024" t="s">
        <v>14</v>
      </c>
      <c r="E51" s="829" t="s">
        <v>14</v>
      </c>
      <c r="F51" s="1024" t="s">
        <v>14</v>
      </c>
      <c r="G51" s="283" t="s">
        <v>14</v>
      </c>
      <c r="H51" s="1024" t="s">
        <v>14</v>
      </c>
      <c r="I51" s="283" t="s">
        <v>14</v>
      </c>
      <c r="J51" s="1024" t="s">
        <v>14</v>
      </c>
      <c r="K51" s="283" t="s">
        <v>14</v>
      </c>
      <c r="L51" s="328"/>
      <c r="M51" s="961" t="s">
        <v>14</v>
      </c>
      <c r="N51" s="328" t="s">
        <v>14</v>
      </c>
      <c r="O51" s="961" t="s">
        <v>14</v>
      </c>
      <c r="P51" s="328" t="s">
        <v>14</v>
      </c>
      <c r="Q51" s="329" t="s">
        <v>14</v>
      </c>
      <c r="R51" s="87"/>
      <c r="X51" s="397" t="s">
        <v>98</v>
      </c>
      <c r="Y51" s="397" t="s">
        <v>337</v>
      </c>
      <c r="Z51" s="397" t="s">
        <v>118</v>
      </c>
      <c r="AA51" s="397" t="s">
        <v>435</v>
      </c>
      <c r="AB51" s="397">
        <v>0</v>
      </c>
      <c r="AC51" s="397"/>
      <c r="AD51" s="397"/>
      <c r="AE51" s="397"/>
      <c r="AF51" s="397"/>
      <c r="AG51" s="397"/>
      <c r="AH51" s="397"/>
      <c r="AI51" s="397"/>
      <c r="AJ51" s="397"/>
      <c r="AK51" s="397"/>
      <c r="AL51" s="397"/>
      <c r="AM51" s="397"/>
      <c r="AN51" s="397"/>
      <c r="AO51" s="397"/>
      <c r="AP51" s="397"/>
      <c r="AQ51" s="397"/>
    </row>
    <row r="52" spans="2:43" s="369" customFormat="1" ht="41.4" x14ac:dyDescent="0.3">
      <c r="B52" s="124" t="s">
        <v>103</v>
      </c>
      <c r="C52" s="384" t="s">
        <v>1468</v>
      </c>
      <c r="D52" s="1024"/>
      <c r="E52" s="829">
        <v>0.65</v>
      </c>
      <c r="F52" s="1024" t="s">
        <v>14</v>
      </c>
      <c r="G52" s="283" t="s">
        <v>14</v>
      </c>
      <c r="H52" s="1024"/>
      <c r="I52" s="283">
        <f>MIN(0.4,I27)</f>
        <v>0.4</v>
      </c>
      <c r="J52" s="1024"/>
      <c r="K52" s="283">
        <f>MIN(0.35,K27)</f>
        <v>0.1</v>
      </c>
      <c r="L52" s="958" t="str">
        <f t="shared" si="12"/>
        <v/>
      </c>
      <c r="M52" s="197">
        <f>E52+I52+K52</f>
        <v>1.1500000000000001</v>
      </c>
      <c r="N52" s="962" t="str">
        <f t="shared" ref="N52:N56" si="19">IF(O52=AE52,"X","")</f>
        <v/>
      </c>
      <c r="O52" s="966" t="s">
        <v>132</v>
      </c>
      <c r="P52" s="967" t="str">
        <f t="shared" ref="P52:P56" si="20">IF(Q52=AC52,"X","")</f>
        <v/>
      </c>
      <c r="Q52" s="197" t="s">
        <v>1457</v>
      </c>
      <c r="R52" s="87"/>
      <c r="X52" s="397" t="s">
        <v>103</v>
      </c>
      <c r="Y52" s="397" t="s">
        <v>1456</v>
      </c>
      <c r="Z52" s="397" t="s">
        <v>1468</v>
      </c>
      <c r="AA52" s="397" t="s">
        <v>435</v>
      </c>
      <c r="AB52" s="397">
        <v>10586.7</v>
      </c>
      <c r="AC52" s="397"/>
      <c r="AD52" s="397">
        <v>0</v>
      </c>
      <c r="AE52" s="397"/>
      <c r="AF52" s="397">
        <v>3340.2</v>
      </c>
      <c r="AG52" s="397">
        <v>-99996</v>
      </c>
      <c r="AH52" s="397">
        <v>0</v>
      </c>
      <c r="AI52" s="397">
        <v>6881.36</v>
      </c>
      <c r="AJ52" s="397">
        <v>0</v>
      </c>
      <c r="AK52" s="397">
        <v>5322.68</v>
      </c>
      <c r="AL52" s="397">
        <v>12204</v>
      </c>
      <c r="AM52" s="397"/>
      <c r="AN52" s="397"/>
      <c r="AO52" s="397"/>
      <c r="AP52" s="397"/>
      <c r="AQ52" s="397"/>
    </row>
    <row r="53" spans="2:43" s="369" customFormat="1" ht="14.4" x14ac:dyDescent="0.3">
      <c r="B53" s="124" t="s">
        <v>104</v>
      </c>
      <c r="C53" s="960" t="s">
        <v>1466</v>
      </c>
      <c r="D53" s="1024"/>
      <c r="E53" s="829">
        <v>0.55000000000000004</v>
      </c>
      <c r="F53" s="1024"/>
      <c r="G53" s="283">
        <f>MIN(0.2,G28)</f>
        <v>0.1</v>
      </c>
      <c r="H53" s="1024" t="s">
        <v>14</v>
      </c>
      <c r="I53" s="283" t="s">
        <v>14</v>
      </c>
      <c r="J53" s="1024" t="s">
        <v>14</v>
      </c>
      <c r="K53" s="283" t="s">
        <v>14</v>
      </c>
      <c r="L53" s="958" t="str">
        <f t="shared" si="12"/>
        <v/>
      </c>
      <c r="M53" s="197">
        <f>E53+G53</f>
        <v>0.65</v>
      </c>
      <c r="N53" s="962" t="str">
        <f t="shared" si="19"/>
        <v/>
      </c>
      <c r="O53" s="966" t="s">
        <v>132</v>
      </c>
      <c r="P53" s="967" t="str">
        <f t="shared" si="20"/>
        <v/>
      </c>
      <c r="Q53" s="197" t="s">
        <v>1457</v>
      </c>
      <c r="R53" s="87"/>
      <c r="X53" s="397" t="s">
        <v>104</v>
      </c>
      <c r="Y53" s="397" t="s">
        <v>1456</v>
      </c>
      <c r="Z53" s="397" t="s">
        <v>1466</v>
      </c>
      <c r="AA53" s="397" t="s">
        <v>435</v>
      </c>
      <c r="AB53" s="397">
        <v>2231.7600000000002</v>
      </c>
      <c r="AC53" s="397"/>
      <c r="AD53" s="397">
        <v>0</v>
      </c>
      <c r="AE53" s="397"/>
      <c r="AF53" s="397">
        <v>3340.2</v>
      </c>
      <c r="AG53" s="397">
        <v>-99996</v>
      </c>
      <c r="AH53" s="397">
        <v>0</v>
      </c>
      <c r="AI53" s="397">
        <v>1227.47</v>
      </c>
      <c r="AJ53" s="397">
        <v>0</v>
      </c>
      <c r="AK53" s="397">
        <v>224</v>
      </c>
      <c r="AL53" s="397">
        <v>1451.47</v>
      </c>
      <c r="AM53" s="397"/>
      <c r="AN53" s="397"/>
      <c r="AO53" s="397"/>
      <c r="AP53" s="397"/>
      <c r="AQ53" s="397"/>
    </row>
    <row r="54" spans="2:43" s="369" customFormat="1" ht="14.4" x14ac:dyDescent="0.3">
      <c r="B54" s="124" t="s">
        <v>105</v>
      </c>
      <c r="C54" s="960" t="s">
        <v>1466</v>
      </c>
      <c r="D54" s="1024"/>
      <c r="E54" s="829">
        <v>0.55000000000000004</v>
      </c>
      <c r="F54" s="1024"/>
      <c r="G54" s="283">
        <f t="shared" ref="G54:G55" si="21">MIN(0.2,G29)</f>
        <v>0.09</v>
      </c>
      <c r="H54" s="1024" t="s">
        <v>14</v>
      </c>
      <c r="I54" s="283" t="s">
        <v>14</v>
      </c>
      <c r="J54" s="1024" t="s">
        <v>14</v>
      </c>
      <c r="K54" s="283" t="s">
        <v>14</v>
      </c>
      <c r="L54" s="958" t="str">
        <f t="shared" si="12"/>
        <v/>
      </c>
      <c r="M54" s="197">
        <f>E54+G54</f>
        <v>0.64</v>
      </c>
      <c r="N54" s="962" t="str">
        <f t="shared" si="19"/>
        <v/>
      </c>
      <c r="O54" s="966" t="s">
        <v>132</v>
      </c>
      <c r="P54" s="967" t="str">
        <f t="shared" si="20"/>
        <v/>
      </c>
      <c r="Q54" s="197" t="s">
        <v>1457</v>
      </c>
      <c r="R54" s="87"/>
      <c r="X54" s="397" t="s">
        <v>105</v>
      </c>
      <c r="Y54" s="397" t="s">
        <v>1456</v>
      </c>
      <c r="Z54" s="397" t="s">
        <v>1466</v>
      </c>
      <c r="AA54" s="397" t="s">
        <v>435</v>
      </c>
      <c r="AB54" s="397">
        <v>1412.9</v>
      </c>
      <c r="AC54" s="397"/>
      <c r="AD54" s="397">
        <v>0</v>
      </c>
      <c r="AE54" s="397"/>
      <c r="AF54" s="397">
        <v>3340.2</v>
      </c>
      <c r="AG54" s="397">
        <v>-99996</v>
      </c>
      <c r="AH54" s="397">
        <v>0</v>
      </c>
      <c r="AI54" s="397">
        <v>777.09500000000003</v>
      </c>
      <c r="AJ54" s="397">
        <v>0</v>
      </c>
      <c r="AK54" s="397">
        <v>128</v>
      </c>
      <c r="AL54" s="397">
        <v>905.09500000000003</v>
      </c>
      <c r="AM54" s="397"/>
      <c r="AN54" s="397"/>
      <c r="AO54" s="397"/>
      <c r="AP54" s="397"/>
      <c r="AQ54" s="397"/>
    </row>
    <row r="55" spans="2:43" s="369" customFormat="1" ht="14.4" x14ac:dyDescent="0.3">
      <c r="B55" s="124" t="s">
        <v>106</v>
      </c>
      <c r="C55" s="960" t="s">
        <v>1466</v>
      </c>
      <c r="D55" s="1024"/>
      <c r="E55" s="829">
        <v>0.55000000000000004</v>
      </c>
      <c r="F55" s="1024"/>
      <c r="G55" s="283">
        <f t="shared" si="21"/>
        <v>0.1</v>
      </c>
      <c r="H55" s="1024" t="s">
        <v>14</v>
      </c>
      <c r="I55" s="283" t="s">
        <v>14</v>
      </c>
      <c r="J55" s="1024" t="s">
        <v>14</v>
      </c>
      <c r="K55" s="283" t="s">
        <v>14</v>
      </c>
      <c r="L55" s="958" t="str">
        <f t="shared" si="12"/>
        <v/>
      </c>
      <c r="M55" s="197">
        <f>E55+G55</f>
        <v>0.65</v>
      </c>
      <c r="N55" s="962" t="str">
        <f t="shared" si="19"/>
        <v/>
      </c>
      <c r="O55" s="966" t="s">
        <v>132</v>
      </c>
      <c r="P55" s="967" t="str">
        <f t="shared" si="20"/>
        <v/>
      </c>
      <c r="Q55" s="197" t="s">
        <v>1457</v>
      </c>
      <c r="R55" s="87"/>
      <c r="X55" s="397" t="s">
        <v>106</v>
      </c>
      <c r="Y55" s="397" t="s">
        <v>1456</v>
      </c>
      <c r="Z55" s="397" t="s">
        <v>1466</v>
      </c>
      <c r="AA55" s="397" t="s">
        <v>435</v>
      </c>
      <c r="AB55" s="397">
        <v>2231.7600000000002</v>
      </c>
      <c r="AC55" s="397"/>
      <c r="AD55" s="397">
        <v>0</v>
      </c>
      <c r="AE55" s="397"/>
      <c r="AF55" s="397">
        <v>3340.2</v>
      </c>
      <c r="AG55" s="397">
        <v>-99996</v>
      </c>
      <c r="AH55" s="397">
        <v>0</v>
      </c>
      <c r="AI55" s="397">
        <v>1227.47</v>
      </c>
      <c r="AJ55" s="397">
        <v>0</v>
      </c>
      <c r="AK55" s="397">
        <v>224</v>
      </c>
      <c r="AL55" s="397">
        <v>1451.47</v>
      </c>
      <c r="AM55" s="397"/>
      <c r="AN55" s="397"/>
      <c r="AO55" s="397"/>
      <c r="AP55" s="397"/>
      <c r="AQ55" s="397"/>
    </row>
    <row r="56" spans="2:43" s="369" customFormat="1" ht="27.6" x14ac:dyDescent="0.3">
      <c r="B56" s="124" t="s">
        <v>107</v>
      </c>
      <c r="C56" s="963" t="s">
        <v>1467</v>
      </c>
      <c r="D56" s="1024"/>
      <c r="E56" s="829">
        <v>0.6</v>
      </c>
      <c r="F56" s="1024" t="s">
        <v>14</v>
      </c>
      <c r="G56" s="283" t="s">
        <v>14</v>
      </c>
      <c r="H56" s="1024" t="s">
        <v>14</v>
      </c>
      <c r="I56" s="283" t="s">
        <v>14</v>
      </c>
      <c r="J56" s="1024" t="s">
        <v>14</v>
      </c>
      <c r="K56" s="283" t="s">
        <v>14</v>
      </c>
      <c r="L56" s="958" t="str">
        <f t="shared" si="12"/>
        <v/>
      </c>
      <c r="M56" s="197">
        <f>E56</f>
        <v>0.6</v>
      </c>
      <c r="N56" s="962" t="str">
        <f t="shared" si="19"/>
        <v/>
      </c>
      <c r="O56" s="966" t="s">
        <v>132</v>
      </c>
      <c r="P56" s="967" t="str">
        <f t="shared" si="20"/>
        <v/>
      </c>
      <c r="Q56" s="197" t="s">
        <v>1432</v>
      </c>
      <c r="R56" s="87"/>
      <c r="X56" s="397" t="s">
        <v>107</v>
      </c>
      <c r="Y56" s="397" t="s">
        <v>1456</v>
      </c>
      <c r="Z56" s="397" t="s">
        <v>1467</v>
      </c>
      <c r="AA56" s="397" t="s">
        <v>435</v>
      </c>
      <c r="AB56" s="397">
        <v>1412.8</v>
      </c>
      <c r="AC56" s="397"/>
      <c r="AD56" s="397">
        <v>0</v>
      </c>
      <c r="AE56" s="397"/>
      <c r="AF56" s="397">
        <v>3340.2</v>
      </c>
      <c r="AG56" s="397">
        <v>-99996</v>
      </c>
      <c r="AH56" s="397">
        <v>0</v>
      </c>
      <c r="AI56" s="397">
        <v>847.68</v>
      </c>
      <c r="AJ56" s="397">
        <v>0</v>
      </c>
      <c r="AK56" s="397">
        <v>0</v>
      </c>
      <c r="AL56" s="397">
        <v>847.68</v>
      </c>
      <c r="AM56" s="397"/>
      <c r="AN56" s="397"/>
      <c r="AO56" s="397"/>
      <c r="AP56" s="397"/>
      <c r="AQ56" s="397"/>
    </row>
    <row r="57" spans="2:43" s="369" customFormat="1" x14ac:dyDescent="0.3">
      <c r="B57" s="175" t="s">
        <v>108</v>
      </c>
      <c r="C57" s="150"/>
      <c r="D57" s="928" t="s">
        <v>14</v>
      </c>
      <c r="E57" s="281" t="s">
        <v>14</v>
      </c>
      <c r="F57" s="928" t="s">
        <v>14</v>
      </c>
      <c r="G57" s="281" t="s">
        <v>14</v>
      </c>
      <c r="H57" s="928" t="s">
        <v>14</v>
      </c>
      <c r="I57" s="281" t="s">
        <v>14</v>
      </c>
      <c r="J57" s="928" t="s">
        <v>14</v>
      </c>
      <c r="K57" s="281" t="s">
        <v>14</v>
      </c>
      <c r="L57" s="968" t="s">
        <v>14</v>
      </c>
      <c r="M57" s="245" t="s">
        <v>14</v>
      </c>
      <c r="N57" s="330" t="s">
        <v>14</v>
      </c>
      <c r="O57" s="245" t="s">
        <v>14</v>
      </c>
      <c r="P57" s="330" t="s">
        <v>14</v>
      </c>
      <c r="Q57" s="331" t="s">
        <v>14</v>
      </c>
      <c r="R57" s="87"/>
      <c r="X57" s="369" t="s">
        <v>108</v>
      </c>
      <c r="Y57" s="369" t="s">
        <v>337</v>
      </c>
      <c r="Z57" s="369" t="s">
        <v>118</v>
      </c>
      <c r="AA57" s="369" t="s">
        <v>435</v>
      </c>
      <c r="AB57" s="369">
        <v>0</v>
      </c>
    </row>
  </sheetData>
  <conditionalFormatting sqref="F15 F26:F27 F32">
    <cfRule type="uniqueValues" dxfId="3" priority="4"/>
  </conditionalFormatting>
  <conditionalFormatting sqref="F20:F21">
    <cfRule type="uniqueValues" dxfId="2" priority="3"/>
  </conditionalFormatting>
  <conditionalFormatting sqref="F40 F51:F52 F57">
    <cfRule type="uniqueValues" dxfId="1" priority="2"/>
  </conditionalFormatting>
  <conditionalFormatting sqref="F45:F46">
    <cfRule type="uniqueValues" dxfId="0" priority="1"/>
  </conditionalFormatting>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Q31"/>
  <sheetViews>
    <sheetView zoomScale="85" zoomScaleNormal="85" workbookViewId="0">
      <selection activeCell="B1" sqref="B1"/>
    </sheetView>
  </sheetViews>
  <sheetFormatPr defaultColWidth="9.109375" defaultRowHeight="13.8" x14ac:dyDescent="0.3"/>
  <cols>
    <col min="1" max="1" width="3.6640625" style="369" customWidth="1"/>
    <col min="2" max="2" width="22.109375" style="85" bestFit="1" customWidth="1"/>
    <col min="3" max="3" width="23.44140625" style="371" customWidth="1"/>
    <col min="4" max="4" width="2.6640625" style="378" customWidth="1"/>
    <col min="5" max="5" width="28.109375" style="378" bestFit="1" customWidth="1"/>
    <col min="6" max="6" width="2.6640625" style="378" customWidth="1"/>
    <col min="7" max="7" width="20.109375" style="372" customWidth="1"/>
    <col min="8" max="8" width="2.6640625" style="378" customWidth="1"/>
    <col min="9" max="9" width="23.33203125" style="372" bestFit="1" customWidth="1"/>
    <col min="10" max="10" width="2.6640625" style="378" customWidth="1"/>
    <col min="11" max="11" width="20.109375" style="372" customWidth="1"/>
    <col min="12" max="12" width="2.6640625" style="378" customWidth="1"/>
    <col min="13" max="13" width="20.109375" style="372" customWidth="1"/>
    <col min="14" max="14" width="2.6640625" style="378" customWidth="1"/>
    <col min="15" max="15" width="20.6640625" style="372" customWidth="1"/>
    <col min="16" max="16" width="2.6640625" style="371" customWidth="1"/>
    <col min="17" max="16384" width="9.109375" style="378"/>
  </cols>
  <sheetData>
    <row r="1" spans="1:16" x14ac:dyDescent="0.3">
      <c r="A1" s="67"/>
      <c r="B1" s="67"/>
      <c r="C1" s="67"/>
      <c r="D1" s="67"/>
      <c r="E1" s="67"/>
      <c r="F1" s="67"/>
      <c r="G1" s="72"/>
      <c r="H1" s="67"/>
      <c r="I1" s="72"/>
      <c r="J1" s="67"/>
      <c r="K1" s="72"/>
      <c r="L1" s="67"/>
      <c r="M1" s="72"/>
      <c r="N1" s="67"/>
      <c r="O1" s="72"/>
      <c r="P1" s="67"/>
    </row>
    <row r="2" spans="1:16" s="369" customFormat="1" x14ac:dyDescent="0.3">
      <c r="B2" s="567" t="s">
        <v>5</v>
      </c>
      <c r="C2" s="567"/>
      <c r="D2" s="574"/>
      <c r="E2" s="567" t="s">
        <v>6</v>
      </c>
      <c r="G2" s="66"/>
      <c r="I2" s="66"/>
      <c r="J2" s="567"/>
      <c r="K2" s="568" t="s">
        <v>1101</v>
      </c>
      <c r="M2" s="66"/>
      <c r="O2" s="66"/>
    </row>
    <row r="3" spans="1:16" s="369" customFormat="1" x14ac:dyDescent="0.3">
      <c r="B3" s="369" t="s">
        <v>0</v>
      </c>
      <c r="C3" s="61" t="s">
        <v>915</v>
      </c>
      <c r="E3" s="369" t="s">
        <v>8</v>
      </c>
      <c r="G3" s="65" t="str">
        <f>'Documentation Main Sheet'!I2</f>
        <v>r6055</v>
      </c>
      <c r="I3" s="405"/>
      <c r="J3" s="136"/>
      <c r="K3" s="369" t="s">
        <v>1106</v>
      </c>
      <c r="M3" s="66"/>
      <c r="O3" s="66"/>
    </row>
    <row r="4" spans="1:16" s="369" customFormat="1" x14ac:dyDescent="0.3">
      <c r="B4" s="369" t="s">
        <v>1</v>
      </c>
      <c r="C4" s="369" t="str">
        <f>C3&amp;".cibd19"</f>
        <v>020006S-OffSml-Run14.cibd19</v>
      </c>
      <c r="E4" s="369" t="s">
        <v>110</v>
      </c>
      <c r="G4" s="369" t="str">
        <f>'Documentation Main Sheet'!I3</f>
        <v>Release package</v>
      </c>
      <c r="I4" s="405"/>
      <c r="J4" s="569"/>
      <c r="K4" s="369" t="s">
        <v>1102</v>
      </c>
      <c r="M4" s="66"/>
      <c r="O4" s="66"/>
    </row>
    <row r="5" spans="1:16" s="369" customFormat="1" x14ac:dyDescent="0.3">
      <c r="B5" s="369" t="s">
        <v>54</v>
      </c>
      <c r="C5" s="369" t="s">
        <v>56</v>
      </c>
      <c r="E5" s="369" t="s">
        <v>7</v>
      </c>
      <c r="G5" s="369" t="str">
        <f>'Documentation Main Sheet'!I4</f>
        <v>CBECC-Com 209.1.0 release</v>
      </c>
      <c r="I5" s="405"/>
      <c r="J5" s="571">
        <v>1</v>
      </c>
      <c r="K5" s="378" t="s">
        <v>1103</v>
      </c>
      <c r="M5" s="66"/>
      <c r="O5" s="66"/>
    </row>
    <row r="6" spans="1:16" s="369" customFormat="1" x14ac:dyDescent="0.3">
      <c r="B6" s="369" t="s">
        <v>390</v>
      </c>
      <c r="C6" s="85" t="s">
        <v>392</v>
      </c>
      <c r="E6" s="369" t="s">
        <v>2</v>
      </c>
      <c r="G6" s="62">
        <v>43768</v>
      </c>
      <c r="I6" s="406"/>
      <c r="J6" s="582">
        <v>1</v>
      </c>
      <c r="K6" s="381" t="s">
        <v>1104</v>
      </c>
      <c r="M6" s="66"/>
      <c r="O6" s="66"/>
    </row>
    <row r="7" spans="1:16" s="369" customFormat="1" x14ac:dyDescent="0.3">
      <c r="B7" s="369" t="s">
        <v>432</v>
      </c>
      <c r="C7" s="85" t="s">
        <v>403</v>
      </c>
      <c r="E7" s="369" t="s">
        <v>3</v>
      </c>
      <c r="G7" s="369" t="s">
        <v>1544</v>
      </c>
      <c r="I7" s="405"/>
      <c r="J7" s="583">
        <v>1</v>
      </c>
      <c r="K7" s="378" t="s">
        <v>1105</v>
      </c>
      <c r="M7" s="66"/>
      <c r="O7" s="66"/>
    </row>
    <row r="8" spans="1:16" s="369" customFormat="1" x14ac:dyDescent="0.3">
      <c r="B8" s="369" t="s">
        <v>952</v>
      </c>
      <c r="C8" s="85" t="s">
        <v>953</v>
      </c>
      <c r="H8" s="378"/>
      <c r="I8" s="66"/>
      <c r="J8" s="796">
        <v>1</v>
      </c>
      <c r="K8" s="369" t="s">
        <v>1396</v>
      </c>
      <c r="M8" s="66"/>
      <c r="O8" s="381"/>
    </row>
    <row r="9" spans="1:16" s="369" customFormat="1" x14ac:dyDescent="0.3">
      <c r="G9" s="66"/>
      <c r="I9" s="66"/>
      <c r="K9" s="66"/>
      <c r="M9" s="66"/>
      <c r="O9" s="66"/>
    </row>
    <row r="10" spans="1:16" s="87" customFormat="1" x14ac:dyDescent="0.3">
      <c r="A10" s="288"/>
      <c r="B10" s="341" t="s">
        <v>37</v>
      </c>
      <c r="C10" s="288"/>
      <c r="D10" s="288"/>
      <c r="E10" s="288"/>
      <c r="F10" s="288"/>
      <c r="G10" s="288"/>
      <c r="H10" s="288"/>
      <c r="I10" s="288"/>
      <c r="J10" s="288"/>
      <c r="K10" s="288"/>
      <c r="L10" s="288"/>
      <c r="M10" s="288"/>
      <c r="N10" s="288"/>
      <c r="O10" s="288"/>
      <c r="P10" s="369"/>
    </row>
    <row r="11" spans="1:16" s="82" customFormat="1" x14ac:dyDescent="0.3">
      <c r="A11" s="70"/>
      <c r="B11" s="48" t="s">
        <v>114</v>
      </c>
      <c r="D11" s="84"/>
      <c r="F11" s="84"/>
      <c r="H11" s="84"/>
      <c r="J11" s="84"/>
      <c r="L11" s="84"/>
      <c r="N11" s="84"/>
      <c r="P11" s="369"/>
    </row>
    <row r="12" spans="1:16" s="82" customFormat="1" x14ac:dyDescent="0.3">
      <c r="B12" s="77" t="s">
        <v>212</v>
      </c>
      <c r="D12" s="84"/>
      <c r="F12" s="84"/>
      <c r="H12" s="84"/>
      <c r="J12" s="84"/>
      <c r="L12" s="84"/>
      <c r="N12" s="84"/>
      <c r="P12" s="86"/>
    </row>
    <row r="13" spans="1:16" s="77" customFormat="1" ht="41.4" x14ac:dyDescent="0.3">
      <c r="B13" s="108" t="s">
        <v>138</v>
      </c>
      <c r="C13" s="116" t="s">
        <v>190</v>
      </c>
      <c r="D13" s="280"/>
      <c r="E13" s="110" t="s">
        <v>599</v>
      </c>
      <c r="F13" s="223"/>
      <c r="G13" s="168" t="s">
        <v>252</v>
      </c>
      <c r="H13" s="280"/>
      <c r="I13" s="110" t="s">
        <v>255</v>
      </c>
      <c r="J13" s="223"/>
      <c r="K13" s="168" t="s">
        <v>165</v>
      </c>
      <c r="L13" s="280"/>
      <c r="M13" s="110" t="s">
        <v>600</v>
      </c>
      <c r="N13" s="275"/>
      <c r="O13" s="110" t="s">
        <v>257</v>
      </c>
      <c r="P13" s="79"/>
    </row>
    <row r="14" spans="1:16" s="369" customFormat="1" ht="14.4" thickBot="1" x14ac:dyDescent="0.35">
      <c r="B14" s="100" t="s">
        <v>213</v>
      </c>
      <c r="C14" s="215" t="s">
        <v>247</v>
      </c>
      <c r="D14" s="100"/>
      <c r="E14" s="101" t="s">
        <v>248</v>
      </c>
      <c r="F14" s="215"/>
      <c r="G14" s="215" t="s">
        <v>251</v>
      </c>
      <c r="H14" s="100"/>
      <c r="I14" s="101" t="s">
        <v>253</v>
      </c>
      <c r="J14" s="215"/>
      <c r="K14" s="215" t="s">
        <v>249</v>
      </c>
      <c r="L14" s="100"/>
      <c r="M14" s="101" t="s">
        <v>250</v>
      </c>
      <c r="N14" s="335"/>
      <c r="O14" s="102" t="s">
        <v>254</v>
      </c>
      <c r="P14" s="75"/>
    </row>
    <row r="15" spans="1:16" s="369" customFormat="1" ht="28.2" thickTop="1" x14ac:dyDescent="0.3">
      <c r="B15" s="124" t="s">
        <v>243</v>
      </c>
      <c r="C15" s="66" t="s">
        <v>1467</v>
      </c>
      <c r="D15" s="581"/>
      <c r="E15" s="283">
        <v>1152</v>
      </c>
      <c r="F15" s="824"/>
      <c r="G15" s="97">
        <v>1094.4000000000001</v>
      </c>
      <c r="H15" s="134"/>
      <c r="I15" s="197" t="s">
        <v>256</v>
      </c>
      <c r="J15" s="141"/>
      <c r="K15" s="378">
        <v>0.05</v>
      </c>
      <c r="L15" s="134"/>
      <c r="M15" s="198">
        <v>0.9</v>
      </c>
      <c r="N15" s="141"/>
      <c r="O15" s="197" t="s">
        <v>130</v>
      </c>
      <c r="P15" s="370"/>
    </row>
    <row r="16" spans="1:16" s="369" customFormat="1" ht="27.6" x14ac:dyDescent="0.3">
      <c r="B16" s="124" t="s">
        <v>244</v>
      </c>
      <c r="C16" s="66" t="s">
        <v>1467</v>
      </c>
      <c r="D16" s="339"/>
      <c r="E16" s="283">
        <v>640</v>
      </c>
      <c r="F16" s="337"/>
      <c r="G16" s="825">
        <v>608</v>
      </c>
      <c r="H16" s="136"/>
      <c r="I16" s="197" t="s">
        <v>256</v>
      </c>
      <c r="J16" s="176"/>
      <c r="K16" s="378">
        <v>0.05</v>
      </c>
      <c r="L16" s="136"/>
      <c r="M16" s="198">
        <v>0.84</v>
      </c>
      <c r="N16" s="176"/>
      <c r="O16" s="197" t="s">
        <v>130</v>
      </c>
      <c r="P16" s="68"/>
    </row>
    <row r="17" spans="1:17" ht="27.6" x14ac:dyDescent="0.3">
      <c r="B17" s="124" t="s">
        <v>245</v>
      </c>
      <c r="C17" s="66" t="s">
        <v>1467</v>
      </c>
      <c r="D17" s="339"/>
      <c r="E17" s="283">
        <v>1152</v>
      </c>
      <c r="F17" s="337"/>
      <c r="G17" s="825">
        <v>1094.4000000000001</v>
      </c>
      <c r="H17" s="136"/>
      <c r="I17" s="197" t="s">
        <v>256</v>
      </c>
      <c r="J17" s="176"/>
      <c r="K17" s="378">
        <v>0.05</v>
      </c>
      <c r="L17" s="136"/>
      <c r="M17" s="198">
        <v>0.9</v>
      </c>
      <c r="N17" s="176"/>
      <c r="O17" s="197" t="s">
        <v>130</v>
      </c>
      <c r="P17" s="370"/>
      <c r="Q17" s="369"/>
    </row>
    <row r="18" spans="1:17" s="369" customFormat="1" ht="27.6" x14ac:dyDescent="0.3">
      <c r="B18" s="124" t="s">
        <v>246</v>
      </c>
      <c r="C18" s="66" t="s">
        <v>1467</v>
      </c>
      <c r="D18" s="339"/>
      <c r="E18" s="283">
        <v>640</v>
      </c>
      <c r="F18" s="337"/>
      <c r="G18" s="825">
        <v>608</v>
      </c>
      <c r="H18" s="136"/>
      <c r="I18" s="197" t="s">
        <v>256</v>
      </c>
      <c r="J18" s="176"/>
      <c r="K18" s="378">
        <v>0.05</v>
      </c>
      <c r="L18" s="136"/>
      <c r="M18" s="198">
        <v>0.84</v>
      </c>
      <c r="N18" s="176"/>
      <c r="O18" s="197" t="s">
        <v>130</v>
      </c>
      <c r="P18" s="370"/>
    </row>
    <row r="19" spans="1:17" s="369" customFormat="1" ht="27.6" x14ac:dyDescent="0.3">
      <c r="B19" s="175" t="s">
        <v>85</v>
      </c>
      <c r="C19" s="185" t="s">
        <v>1467</v>
      </c>
      <c r="D19" s="340"/>
      <c r="E19" s="281">
        <v>1408</v>
      </c>
      <c r="F19" s="338"/>
      <c r="G19" s="826">
        <v>1337.6</v>
      </c>
      <c r="H19" s="153"/>
      <c r="I19" s="199" t="s">
        <v>256</v>
      </c>
      <c r="J19" s="169"/>
      <c r="K19" s="158">
        <v>0.05</v>
      </c>
      <c r="L19" s="153"/>
      <c r="M19" s="235">
        <v>0.83</v>
      </c>
      <c r="N19" s="169"/>
      <c r="O19" s="199" t="s">
        <v>130</v>
      </c>
      <c r="P19" s="370"/>
    </row>
    <row r="20" spans="1:17" s="369" customFormat="1" x14ac:dyDescent="0.3">
      <c r="C20" s="29"/>
      <c r="P20" s="75"/>
    </row>
    <row r="21" spans="1:17" s="369" customFormat="1" x14ac:dyDescent="0.3">
      <c r="B21" s="85"/>
      <c r="C21" s="83"/>
      <c r="P21" s="75"/>
    </row>
    <row r="22" spans="1:17" s="86" customFormat="1" x14ac:dyDescent="0.3">
      <c r="A22" s="290"/>
      <c r="B22" s="342" t="s">
        <v>48</v>
      </c>
      <c r="C22" s="290"/>
      <c r="D22" s="290"/>
      <c r="E22" s="290"/>
      <c r="F22" s="290"/>
      <c r="G22" s="290"/>
      <c r="H22" s="290"/>
      <c r="I22" s="290"/>
      <c r="J22" s="290"/>
      <c r="K22" s="290"/>
      <c r="L22" s="290"/>
      <c r="M22" s="290"/>
      <c r="N22" s="290"/>
      <c r="O22" s="290"/>
    </row>
    <row r="23" spans="1:17" s="82" customFormat="1" x14ac:dyDescent="0.3">
      <c r="A23" s="71"/>
      <c r="B23" s="49" t="s">
        <v>114</v>
      </c>
      <c r="D23" s="84"/>
      <c r="F23" s="84"/>
      <c r="H23" s="84"/>
      <c r="J23" s="84"/>
      <c r="L23" s="84"/>
      <c r="N23" s="84"/>
      <c r="P23" s="86"/>
    </row>
    <row r="24" spans="1:17" s="82" customFormat="1" x14ac:dyDescent="0.3">
      <c r="B24" s="77" t="s">
        <v>212</v>
      </c>
      <c r="D24" s="84"/>
      <c r="F24" s="84"/>
      <c r="H24" s="84"/>
      <c r="J24" s="84"/>
      <c r="L24" s="84"/>
      <c r="N24" s="84"/>
      <c r="P24" s="86"/>
    </row>
    <row r="25" spans="1:17" s="77" customFormat="1" ht="41.4" x14ac:dyDescent="0.3">
      <c r="B25" s="108" t="s">
        <v>138</v>
      </c>
      <c r="C25" s="116" t="s">
        <v>190</v>
      </c>
      <c r="D25" s="280"/>
      <c r="E25" s="110" t="s">
        <v>599</v>
      </c>
      <c r="F25" s="223"/>
      <c r="G25" s="168" t="s">
        <v>252</v>
      </c>
      <c r="H25" s="280"/>
      <c r="I25" s="110" t="s">
        <v>255</v>
      </c>
      <c r="J25" s="223"/>
      <c r="K25" s="168" t="s">
        <v>165</v>
      </c>
      <c r="L25" s="280"/>
      <c r="M25" s="110" t="s">
        <v>600</v>
      </c>
      <c r="N25" s="275"/>
      <c r="O25" s="110" t="s">
        <v>257</v>
      </c>
      <c r="P25" s="79"/>
    </row>
    <row r="26" spans="1:17" s="369" customFormat="1" ht="14.4" thickBot="1" x14ac:dyDescent="0.35">
      <c r="B26" s="100" t="s">
        <v>213</v>
      </c>
      <c r="C26" s="215" t="s">
        <v>247</v>
      </c>
      <c r="D26" s="100"/>
      <c r="E26" s="101" t="s">
        <v>248</v>
      </c>
      <c r="F26" s="215"/>
      <c r="G26" s="215" t="s">
        <v>251</v>
      </c>
      <c r="H26" s="100"/>
      <c r="I26" s="101" t="s">
        <v>253</v>
      </c>
      <c r="J26" s="215"/>
      <c r="K26" s="215" t="s">
        <v>249</v>
      </c>
      <c r="L26" s="100"/>
      <c r="M26" s="101" t="s">
        <v>250</v>
      </c>
      <c r="N26" s="335"/>
      <c r="O26" s="102" t="s">
        <v>254</v>
      </c>
      <c r="P26" s="75"/>
    </row>
    <row r="27" spans="1:17" s="369" customFormat="1" ht="28.2" thickTop="1" x14ac:dyDescent="0.3">
      <c r="B27" s="124" t="s">
        <v>243</v>
      </c>
      <c r="C27" s="66" t="s">
        <v>1467</v>
      </c>
      <c r="D27" s="332" t="s">
        <v>14</v>
      </c>
      <c r="E27" s="266" t="s">
        <v>14</v>
      </c>
      <c r="F27" s="69" t="s">
        <v>14</v>
      </c>
      <c r="G27" s="69" t="s">
        <v>14</v>
      </c>
      <c r="H27" s="332" t="s">
        <v>14</v>
      </c>
      <c r="I27" s="266" t="s">
        <v>14</v>
      </c>
      <c r="J27" s="69" t="s">
        <v>14</v>
      </c>
      <c r="K27" s="69" t="s">
        <v>14</v>
      </c>
      <c r="L27" s="136"/>
      <c r="M27" s="366">
        <v>0.6</v>
      </c>
      <c r="N27" s="136"/>
      <c r="O27" s="197" t="s">
        <v>130</v>
      </c>
      <c r="P27" s="68"/>
    </row>
    <row r="28" spans="1:17" ht="27.6" x14ac:dyDescent="0.3">
      <c r="B28" s="124" t="s">
        <v>244</v>
      </c>
      <c r="C28" s="66" t="s">
        <v>1467</v>
      </c>
      <c r="D28" s="332" t="s">
        <v>14</v>
      </c>
      <c r="E28" s="266" t="s">
        <v>14</v>
      </c>
      <c r="F28" s="69" t="s">
        <v>14</v>
      </c>
      <c r="G28" s="69" t="s">
        <v>14</v>
      </c>
      <c r="H28" s="332" t="s">
        <v>14</v>
      </c>
      <c r="I28" s="266" t="s">
        <v>14</v>
      </c>
      <c r="J28" s="69" t="s">
        <v>14</v>
      </c>
      <c r="K28" s="69" t="s">
        <v>14</v>
      </c>
      <c r="L28" s="136"/>
      <c r="M28" s="366">
        <v>0.6</v>
      </c>
      <c r="N28" s="136"/>
      <c r="O28" s="197" t="s">
        <v>130</v>
      </c>
      <c r="P28" s="370"/>
    </row>
    <row r="29" spans="1:17" s="369" customFormat="1" ht="27.6" x14ac:dyDescent="0.3">
      <c r="B29" s="124" t="s">
        <v>245</v>
      </c>
      <c r="C29" s="66" t="s">
        <v>1467</v>
      </c>
      <c r="D29" s="332" t="s">
        <v>14</v>
      </c>
      <c r="E29" s="266" t="s">
        <v>14</v>
      </c>
      <c r="F29" s="69" t="s">
        <v>14</v>
      </c>
      <c r="G29" s="69" t="s">
        <v>14</v>
      </c>
      <c r="H29" s="332" t="s">
        <v>14</v>
      </c>
      <c r="I29" s="266" t="s">
        <v>14</v>
      </c>
      <c r="J29" s="69" t="s">
        <v>14</v>
      </c>
      <c r="K29" s="69" t="s">
        <v>14</v>
      </c>
      <c r="L29" s="136"/>
      <c r="M29" s="366">
        <v>0.6</v>
      </c>
      <c r="N29" s="136"/>
      <c r="O29" s="197" t="s">
        <v>130</v>
      </c>
      <c r="P29" s="370"/>
    </row>
    <row r="30" spans="1:17" s="369" customFormat="1" ht="27.6" x14ac:dyDescent="0.3">
      <c r="B30" s="124" t="s">
        <v>246</v>
      </c>
      <c r="C30" s="66" t="s">
        <v>1467</v>
      </c>
      <c r="D30" s="332" t="s">
        <v>14</v>
      </c>
      <c r="E30" s="266" t="s">
        <v>14</v>
      </c>
      <c r="F30" s="69" t="s">
        <v>14</v>
      </c>
      <c r="G30" s="69" t="s">
        <v>14</v>
      </c>
      <c r="H30" s="332" t="s">
        <v>14</v>
      </c>
      <c r="I30" s="266" t="s">
        <v>14</v>
      </c>
      <c r="J30" s="69" t="s">
        <v>14</v>
      </c>
      <c r="K30" s="69" t="s">
        <v>14</v>
      </c>
      <c r="L30" s="136"/>
      <c r="M30" s="366">
        <v>0.6</v>
      </c>
      <c r="N30" s="136"/>
      <c r="O30" s="197" t="s">
        <v>130</v>
      </c>
      <c r="P30" s="370"/>
    </row>
    <row r="31" spans="1:17" s="369" customFormat="1" ht="27.6" x14ac:dyDescent="0.3">
      <c r="B31" s="175" t="s">
        <v>85</v>
      </c>
      <c r="C31" s="185" t="s">
        <v>1467</v>
      </c>
      <c r="D31" s="333" t="s">
        <v>14</v>
      </c>
      <c r="E31" s="273" t="s">
        <v>14</v>
      </c>
      <c r="F31" s="271" t="s">
        <v>14</v>
      </c>
      <c r="G31" s="271" t="s">
        <v>14</v>
      </c>
      <c r="H31" s="333" t="s">
        <v>14</v>
      </c>
      <c r="I31" s="273" t="s">
        <v>14</v>
      </c>
      <c r="J31" s="271" t="s">
        <v>14</v>
      </c>
      <c r="K31" s="271" t="s">
        <v>14</v>
      </c>
      <c r="L31" s="153"/>
      <c r="M31" s="402">
        <v>0.6</v>
      </c>
      <c r="N31" s="153"/>
      <c r="O31" s="199" t="s">
        <v>130</v>
      </c>
      <c r="P31" s="370"/>
    </row>
  </sheetData>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G139"/>
  <sheetViews>
    <sheetView zoomScale="70" zoomScaleNormal="70" workbookViewId="0">
      <selection activeCell="Q101" sqref="Q101"/>
    </sheetView>
  </sheetViews>
  <sheetFormatPr defaultColWidth="9.109375" defaultRowHeight="13.8" x14ac:dyDescent="0.3"/>
  <cols>
    <col min="1" max="1" width="3.6640625" style="964" customWidth="1"/>
    <col min="2" max="2" width="25" style="384" customWidth="1"/>
    <col min="3" max="3" width="30.88671875" style="994" customWidth="1"/>
    <col min="4" max="4" width="14.6640625" style="994" customWidth="1"/>
    <col min="5" max="5" width="2.6640625" style="966" customWidth="1"/>
    <col min="6" max="6" width="28.109375" style="966" bestFit="1" customWidth="1"/>
    <col min="7" max="7" width="2.6640625" style="966" customWidth="1"/>
    <col min="8" max="8" width="20.6640625" style="966" bestFit="1" customWidth="1"/>
    <col min="9" max="9" width="2.6640625" style="966" customWidth="1"/>
    <col min="10" max="10" width="24.109375" style="966" bestFit="1" customWidth="1"/>
    <col min="11" max="11" width="2.6640625" style="966" customWidth="1"/>
    <col min="12" max="12" width="37.33203125" style="1010" bestFit="1" customWidth="1"/>
    <col min="13" max="13" width="2.6640625" style="966" customWidth="1"/>
    <col min="14" max="14" width="24.33203125" style="1010" bestFit="1" customWidth="1"/>
    <col min="15" max="15" width="2.6640625" style="966" customWidth="1"/>
    <col min="16" max="16" width="27.109375" style="1010" customWidth="1"/>
    <col min="17" max="17" width="2.6640625" style="966" customWidth="1"/>
    <col min="18" max="18" width="20.6640625" style="1010" customWidth="1"/>
    <col min="19" max="19" width="2.6640625" style="966" customWidth="1"/>
    <col min="20" max="20" width="20.6640625" style="1010" customWidth="1"/>
    <col min="21" max="21" width="16.88671875" style="966" customWidth="1"/>
    <col min="22" max="22" width="14.88671875" style="966" customWidth="1"/>
    <col min="23" max="16384" width="9.109375" style="966"/>
  </cols>
  <sheetData>
    <row r="1" spans="1:21" x14ac:dyDescent="0.3">
      <c r="A1" s="975"/>
      <c r="B1" s="975"/>
      <c r="C1" s="975"/>
      <c r="D1" s="975"/>
      <c r="E1" s="975"/>
      <c r="F1" s="975"/>
      <c r="G1" s="975"/>
      <c r="H1" s="975"/>
      <c r="I1" s="975"/>
      <c r="J1" s="975"/>
      <c r="K1" s="975"/>
      <c r="L1" s="975"/>
      <c r="M1" s="976"/>
      <c r="N1" s="975"/>
      <c r="O1" s="976"/>
      <c r="P1" s="975"/>
      <c r="Q1" s="976"/>
      <c r="R1" s="975"/>
      <c r="S1" s="976"/>
      <c r="T1" s="975"/>
      <c r="U1" s="976"/>
    </row>
    <row r="2" spans="1:21" s="964" customFormat="1" x14ac:dyDescent="0.3">
      <c r="B2" s="977" t="s">
        <v>5</v>
      </c>
      <c r="C2" s="977"/>
      <c r="D2" s="977"/>
      <c r="E2" s="978"/>
      <c r="F2" s="977" t="s">
        <v>6</v>
      </c>
      <c r="G2" s="979"/>
      <c r="I2" s="979"/>
      <c r="J2" s="975"/>
      <c r="K2" s="977"/>
      <c r="L2" s="980" t="s">
        <v>1101</v>
      </c>
      <c r="N2" s="981"/>
      <c r="P2" s="981"/>
      <c r="R2" s="981"/>
      <c r="T2" s="981"/>
    </row>
    <row r="3" spans="1:21" s="964" customFormat="1" x14ac:dyDescent="0.3">
      <c r="B3" s="964" t="s">
        <v>0</v>
      </c>
      <c r="C3" s="982" t="s">
        <v>916</v>
      </c>
      <c r="D3" s="977"/>
      <c r="F3" s="964" t="s">
        <v>8</v>
      </c>
      <c r="H3" s="982" t="str">
        <f>'Documentation Main Sheet'!I2</f>
        <v>r6055</v>
      </c>
      <c r="J3" s="975"/>
      <c r="K3" s="962"/>
      <c r="L3" s="964" t="s">
        <v>1106</v>
      </c>
      <c r="N3" s="983"/>
      <c r="P3" s="981"/>
      <c r="R3" s="981"/>
      <c r="T3" s="981"/>
    </row>
    <row r="4" spans="1:21" s="964" customFormat="1" x14ac:dyDescent="0.3">
      <c r="B4" s="964" t="s">
        <v>1</v>
      </c>
      <c r="C4" s="964" t="str">
        <f>C3&amp;".cibd19"</f>
        <v>020006S-OffSml-Run18.cibd19</v>
      </c>
      <c r="F4" s="964" t="s">
        <v>110</v>
      </c>
      <c r="H4" s="964" t="str">
        <f>'Documentation Main Sheet'!I3</f>
        <v>Release package</v>
      </c>
      <c r="J4" s="975"/>
      <c r="K4" s="984"/>
      <c r="L4" s="964" t="s">
        <v>1102</v>
      </c>
      <c r="N4" s="981"/>
      <c r="P4" s="981"/>
      <c r="R4" s="981"/>
      <c r="T4" s="981"/>
    </row>
    <row r="5" spans="1:21" s="964" customFormat="1" x14ac:dyDescent="0.3">
      <c r="B5" s="964" t="s">
        <v>54</v>
      </c>
      <c r="C5" s="964" t="s">
        <v>56</v>
      </c>
      <c r="F5" s="964" t="s">
        <v>7</v>
      </c>
      <c r="H5" s="964" t="str">
        <f>'Documentation Main Sheet'!I4</f>
        <v>CBECC-Com 209.1.0 release</v>
      </c>
      <c r="J5" s="975"/>
      <c r="K5" s="571">
        <v>1</v>
      </c>
      <c r="L5" s="966" t="s">
        <v>1103</v>
      </c>
      <c r="N5" s="981"/>
      <c r="P5" s="981"/>
      <c r="R5" s="981"/>
      <c r="T5" s="981"/>
    </row>
    <row r="6" spans="1:21" s="964" customFormat="1" x14ac:dyDescent="0.3">
      <c r="B6" s="964" t="s">
        <v>390</v>
      </c>
      <c r="C6" s="384" t="s">
        <v>392</v>
      </c>
      <c r="D6" s="384"/>
      <c r="F6" s="964" t="s">
        <v>2</v>
      </c>
      <c r="H6" s="985">
        <f>'Documentation Main Sheet'!I5</f>
        <v>43754</v>
      </c>
      <c r="J6" s="985"/>
      <c r="K6" s="986">
        <v>1</v>
      </c>
      <c r="L6" s="987" t="s">
        <v>1104</v>
      </c>
      <c r="N6" s="985"/>
      <c r="P6" s="985"/>
      <c r="R6" s="985"/>
      <c r="T6" s="985"/>
    </row>
    <row r="7" spans="1:21" s="964" customFormat="1" x14ac:dyDescent="0.3">
      <c r="B7" s="964" t="s">
        <v>432</v>
      </c>
      <c r="C7" s="384" t="s">
        <v>410</v>
      </c>
      <c r="D7" s="384"/>
      <c r="F7" s="964" t="s">
        <v>3</v>
      </c>
      <c r="H7" s="964" t="str">
        <f>'Documentation Main Sheet'!I6</f>
        <v>Jireh Peng</v>
      </c>
      <c r="K7" s="583">
        <v>1</v>
      </c>
      <c r="L7" s="966" t="s">
        <v>1105</v>
      </c>
    </row>
    <row r="8" spans="1:21" s="964" customFormat="1" x14ac:dyDescent="0.3">
      <c r="B8" s="964" t="s">
        <v>952</v>
      </c>
      <c r="C8" s="384" t="s">
        <v>953</v>
      </c>
      <c r="D8" s="384"/>
      <c r="K8" s="988">
        <v>1</v>
      </c>
      <c r="L8" s="964" t="s">
        <v>1396</v>
      </c>
      <c r="N8" s="987"/>
      <c r="P8" s="987"/>
      <c r="R8" s="987"/>
      <c r="T8" s="987"/>
    </row>
    <row r="9" spans="1:21" s="964" customFormat="1" x14ac:dyDescent="0.3">
      <c r="L9" s="981"/>
      <c r="N9" s="981"/>
      <c r="P9" s="981"/>
      <c r="R9" s="981"/>
      <c r="T9" s="981"/>
    </row>
    <row r="10" spans="1:21" s="989" customFormat="1" x14ac:dyDescent="0.3">
      <c r="A10" s="288"/>
      <c r="B10" s="341" t="s">
        <v>37</v>
      </c>
      <c r="C10" s="288"/>
      <c r="D10" s="288"/>
      <c r="E10" s="288"/>
      <c r="F10" s="288"/>
      <c r="G10" s="288"/>
      <c r="H10" s="288"/>
      <c r="I10" s="288"/>
      <c r="J10" s="288"/>
      <c r="K10" s="288"/>
      <c r="L10" s="288"/>
      <c r="M10" s="288"/>
      <c r="N10" s="288"/>
      <c r="O10" s="288"/>
      <c r="P10" s="288"/>
      <c r="Q10" s="288"/>
      <c r="R10" s="288"/>
      <c r="S10" s="288"/>
      <c r="T10" s="288"/>
    </row>
    <row r="11" spans="1:21" s="362" customFormat="1" x14ac:dyDescent="0.3">
      <c r="A11" s="990"/>
      <c r="B11" s="991" t="s">
        <v>517</v>
      </c>
      <c r="C11" s="992"/>
      <c r="D11" s="992"/>
      <c r="F11" s="964"/>
      <c r="G11" s="964"/>
      <c r="H11" s="964"/>
      <c r="I11" s="964"/>
      <c r="J11" s="964"/>
      <c r="K11" s="964"/>
      <c r="L11" s="964"/>
      <c r="M11" s="981"/>
      <c r="N11" s="964"/>
      <c r="O11" s="981"/>
      <c r="P11" s="964"/>
      <c r="Q11" s="981"/>
      <c r="R11" s="964"/>
      <c r="S11" s="981"/>
      <c r="T11" s="964"/>
    </row>
    <row r="12" spans="1:21" s="993" customFormat="1" ht="41.4" x14ac:dyDescent="0.3">
      <c r="B12" s="189" t="s">
        <v>605</v>
      </c>
      <c r="C12" s="113" t="s">
        <v>518</v>
      </c>
      <c r="D12" s="112" t="s">
        <v>433</v>
      </c>
      <c r="E12" s="125"/>
      <c r="F12" s="110" t="s">
        <v>137</v>
      </c>
      <c r="G12" s="125"/>
      <c r="H12" s="110" t="s">
        <v>1442</v>
      </c>
      <c r="I12" s="113"/>
      <c r="J12" s="168" t="s">
        <v>186</v>
      </c>
      <c r="K12" s="125"/>
      <c r="L12" s="142" t="s">
        <v>510</v>
      </c>
      <c r="M12" s="125"/>
      <c r="N12" s="142" t="s">
        <v>604</v>
      </c>
      <c r="O12" s="125"/>
      <c r="P12" s="142" t="s">
        <v>1443</v>
      </c>
      <c r="Q12" s="964"/>
      <c r="R12" s="964"/>
      <c r="S12" s="964"/>
      <c r="T12" s="964"/>
    </row>
    <row r="13" spans="1:21" s="955" customFormat="1" ht="14.4" thickBot="1" x14ac:dyDescent="0.35">
      <c r="B13" s="173" t="s">
        <v>259</v>
      </c>
      <c r="C13" s="171" t="s">
        <v>258</v>
      </c>
      <c r="D13" s="501"/>
      <c r="E13" s="178"/>
      <c r="F13" s="174" t="s">
        <v>260</v>
      </c>
      <c r="G13" s="178"/>
      <c r="H13" s="174" t="s">
        <v>1444</v>
      </c>
      <c r="I13" s="172"/>
      <c r="J13" s="171" t="s">
        <v>261</v>
      </c>
      <c r="K13" s="133"/>
      <c r="L13" s="174" t="s">
        <v>646</v>
      </c>
      <c r="M13" s="133"/>
      <c r="N13" s="174" t="s">
        <v>647</v>
      </c>
      <c r="O13" s="133"/>
      <c r="P13" s="174" t="s">
        <v>1387</v>
      </c>
    </row>
    <row r="14" spans="1:21" s="964" customFormat="1" ht="14.4" thickTop="1" x14ac:dyDescent="0.3">
      <c r="B14" s="124" t="s">
        <v>169</v>
      </c>
      <c r="C14" s="994" t="s">
        <v>1412</v>
      </c>
      <c r="D14" s="966" t="s">
        <v>435</v>
      </c>
      <c r="E14" s="962" t="s">
        <v>1464</v>
      </c>
      <c r="F14" s="367" t="s">
        <v>1414</v>
      </c>
      <c r="G14" s="962" t="s">
        <v>1464</v>
      </c>
      <c r="H14" s="367" t="s">
        <v>1445</v>
      </c>
      <c r="I14" s="962" t="s">
        <v>1464</v>
      </c>
      <c r="J14" s="384" t="s">
        <v>187</v>
      </c>
      <c r="K14" s="962" t="s">
        <v>1464</v>
      </c>
      <c r="L14" s="206">
        <v>55</v>
      </c>
      <c r="M14" s="962" t="s">
        <v>1464</v>
      </c>
      <c r="N14" s="206">
        <v>95</v>
      </c>
      <c r="O14" s="962" t="s">
        <v>1464</v>
      </c>
      <c r="P14" s="206" t="s">
        <v>300</v>
      </c>
    </row>
    <row r="15" spans="1:21" x14ac:dyDescent="0.3">
      <c r="A15" s="966"/>
      <c r="B15" s="124" t="s">
        <v>170</v>
      </c>
      <c r="C15" s="994" t="s">
        <v>1413</v>
      </c>
      <c r="D15" s="966" t="s">
        <v>435</v>
      </c>
      <c r="E15" s="962" t="s">
        <v>1464</v>
      </c>
      <c r="F15" s="367" t="s">
        <v>1415</v>
      </c>
      <c r="G15" s="962" t="s">
        <v>1464</v>
      </c>
      <c r="H15" s="367" t="s">
        <v>167</v>
      </c>
      <c r="I15" s="962" t="s">
        <v>1464</v>
      </c>
      <c r="J15" s="384" t="s">
        <v>187</v>
      </c>
      <c r="K15" s="962" t="s">
        <v>1464</v>
      </c>
      <c r="L15" s="206">
        <v>55</v>
      </c>
      <c r="M15" s="962" t="s">
        <v>1464</v>
      </c>
      <c r="N15" s="206">
        <v>95</v>
      </c>
      <c r="O15" s="962" t="s">
        <v>1464</v>
      </c>
      <c r="P15" s="206" t="s">
        <v>300</v>
      </c>
      <c r="Q15" s="964"/>
      <c r="R15" s="964"/>
      <c r="S15" s="964"/>
      <c r="T15" s="964"/>
    </row>
    <row r="16" spans="1:21" s="964" customFormat="1" x14ac:dyDescent="0.3">
      <c r="B16" s="175" t="s">
        <v>172</v>
      </c>
      <c r="C16" s="150" t="s">
        <v>1446</v>
      </c>
      <c r="D16" s="199" t="s">
        <v>435</v>
      </c>
      <c r="E16" s="974" t="s">
        <v>1464</v>
      </c>
      <c r="F16" s="166" t="s">
        <v>237</v>
      </c>
      <c r="G16" s="974" t="s">
        <v>1464</v>
      </c>
      <c r="H16" s="166" t="s">
        <v>237</v>
      </c>
      <c r="I16" s="974" t="s">
        <v>1464</v>
      </c>
      <c r="J16" s="150" t="s">
        <v>187</v>
      </c>
      <c r="K16" s="995" t="s">
        <v>14</v>
      </c>
      <c r="L16" s="412" t="s">
        <v>14</v>
      </c>
      <c r="M16" s="974" t="s">
        <v>1464</v>
      </c>
      <c r="N16" s="209">
        <v>95</v>
      </c>
      <c r="O16" s="974" t="s">
        <v>1464</v>
      </c>
      <c r="P16" s="209" t="s">
        <v>300</v>
      </c>
    </row>
    <row r="17" spans="1:26" s="964" customFormat="1" x14ac:dyDescent="0.3">
      <c r="B17" s="954"/>
      <c r="C17" s="996"/>
      <c r="D17" s="996"/>
    </row>
    <row r="18" spans="1:26" s="964" customFormat="1" x14ac:dyDescent="0.3">
      <c r="B18" s="954"/>
      <c r="C18" s="954"/>
      <c r="D18" s="954"/>
      <c r="E18" s="979"/>
      <c r="F18" s="979"/>
      <c r="G18" s="979"/>
      <c r="H18" s="979"/>
      <c r="I18" s="979"/>
      <c r="J18" s="979"/>
      <c r="K18" s="979"/>
      <c r="L18" s="954"/>
    </row>
    <row r="19" spans="1:26" s="621" customFormat="1" ht="41.4" x14ac:dyDescent="0.3">
      <c r="A19" s="997"/>
      <c r="B19" s="125" t="s">
        <v>500</v>
      </c>
      <c r="C19" s="113" t="s">
        <v>804</v>
      </c>
      <c r="D19" s="112" t="s">
        <v>433</v>
      </c>
      <c r="E19" s="298"/>
      <c r="F19" s="113" t="s">
        <v>137</v>
      </c>
      <c r="G19" s="298"/>
      <c r="H19" s="113" t="s">
        <v>1442</v>
      </c>
      <c r="I19" s="298"/>
      <c r="J19" s="142" t="s">
        <v>186</v>
      </c>
      <c r="K19" s="113"/>
      <c r="L19" s="969" t="s">
        <v>1469</v>
      </c>
      <c r="M19" s="125"/>
      <c r="N19" s="142" t="s">
        <v>510</v>
      </c>
      <c r="O19" s="113"/>
      <c r="P19" s="113" t="s">
        <v>509</v>
      </c>
      <c r="Q19" s="298"/>
      <c r="R19" s="142" t="s">
        <v>1443</v>
      </c>
      <c r="S19" s="125"/>
      <c r="T19" s="142" t="s">
        <v>486</v>
      </c>
      <c r="U19" s="125"/>
      <c r="V19" s="142" t="s">
        <v>534</v>
      </c>
      <c r="W19" s="997"/>
      <c r="X19" s="634"/>
      <c r="Y19" s="997"/>
      <c r="Z19" s="634"/>
    </row>
    <row r="20" spans="1:26" s="621" customFormat="1" ht="15" thickBot="1" x14ac:dyDescent="0.35">
      <c r="A20" s="997"/>
      <c r="B20" s="173" t="s">
        <v>912</v>
      </c>
      <c r="C20" s="171"/>
      <c r="D20" s="648"/>
      <c r="E20" s="650"/>
      <c r="F20" s="171" t="s">
        <v>1416</v>
      </c>
      <c r="G20" s="650"/>
      <c r="H20" s="171" t="s">
        <v>1447</v>
      </c>
      <c r="I20" s="631"/>
      <c r="J20" s="174" t="s">
        <v>1417</v>
      </c>
      <c r="K20" s="171"/>
      <c r="L20" s="970" t="s">
        <v>1470</v>
      </c>
      <c r="M20" s="173"/>
      <c r="N20" s="174" t="s">
        <v>1418</v>
      </c>
      <c r="O20" s="171"/>
      <c r="P20" s="171" t="s">
        <v>1419</v>
      </c>
      <c r="Q20" s="173"/>
      <c r="R20" s="174" t="s">
        <v>1388</v>
      </c>
      <c r="S20" s="934"/>
      <c r="T20" s="935"/>
      <c r="U20" s="934"/>
      <c r="V20" s="935"/>
      <c r="W20" s="997"/>
      <c r="X20" s="634"/>
      <c r="Y20" s="997"/>
      <c r="Z20" s="634"/>
    </row>
    <row r="21" spans="1:26" s="621" customFormat="1" ht="15" thickTop="1" x14ac:dyDescent="0.3">
      <c r="A21" s="997"/>
      <c r="B21" s="936" t="s">
        <v>168</v>
      </c>
      <c r="C21" s="937" t="s">
        <v>1420</v>
      </c>
      <c r="D21" s="938" t="s">
        <v>435</v>
      </c>
      <c r="E21" s="971" t="s">
        <v>1464</v>
      </c>
      <c r="F21" s="938" t="s">
        <v>1415</v>
      </c>
      <c r="G21" s="971" t="s">
        <v>1464</v>
      </c>
      <c r="H21" s="938" t="s">
        <v>1433</v>
      </c>
      <c r="I21" s="971"/>
      <c r="J21" s="938" t="s">
        <v>1471</v>
      </c>
      <c r="K21" s="971"/>
      <c r="L21" s="951" t="s">
        <v>187</v>
      </c>
      <c r="M21" s="971" t="s">
        <v>1464</v>
      </c>
      <c r="N21" s="939">
        <v>55</v>
      </c>
      <c r="O21" s="971" t="s">
        <v>1464</v>
      </c>
      <c r="P21" s="939">
        <v>95</v>
      </c>
      <c r="Q21" s="971" t="s">
        <v>1464</v>
      </c>
      <c r="R21" s="938" t="s">
        <v>300</v>
      </c>
      <c r="S21" s="921" t="s">
        <v>14</v>
      </c>
      <c r="T21" s="940" t="s">
        <v>14</v>
      </c>
      <c r="U21" s="921" t="s">
        <v>14</v>
      </c>
      <c r="V21" s="940" t="s">
        <v>14</v>
      </c>
      <c r="W21" s="997"/>
      <c r="X21" s="634"/>
      <c r="Y21" s="997"/>
      <c r="Z21" s="634"/>
    </row>
    <row r="22" spans="1:26" x14ac:dyDescent="0.3">
      <c r="A22" s="966"/>
      <c r="B22" s="124" t="s">
        <v>171</v>
      </c>
      <c r="C22" s="994" t="s">
        <v>1448</v>
      </c>
      <c r="D22" s="966" t="s">
        <v>435</v>
      </c>
      <c r="E22" s="962" t="s">
        <v>1464</v>
      </c>
      <c r="F22" s="367" t="s">
        <v>1449</v>
      </c>
      <c r="G22" s="962" t="s">
        <v>1464</v>
      </c>
      <c r="H22" s="367" t="s">
        <v>1433</v>
      </c>
      <c r="I22" s="962"/>
      <c r="J22" s="384" t="s">
        <v>1471</v>
      </c>
      <c r="K22" s="962"/>
      <c r="L22" s="972" t="s">
        <v>187</v>
      </c>
      <c r="M22" s="962" t="s">
        <v>1464</v>
      </c>
      <c r="N22" s="206">
        <v>55</v>
      </c>
      <c r="O22" s="962" t="s">
        <v>1464</v>
      </c>
      <c r="P22" s="206">
        <v>125</v>
      </c>
      <c r="Q22" s="962" t="s">
        <v>1464</v>
      </c>
      <c r="R22" s="206" t="s">
        <v>300</v>
      </c>
      <c r="S22" s="964"/>
      <c r="T22" s="964"/>
      <c r="U22" s="998"/>
      <c r="V22" s="999"/>
    </row>
    <row r="23" spans="1:26" x14ac:dyDescent="0.3">
      <c r="A23" s="966"/>
      <c r="B23" s="124" t="s">
        <v>171</v>
      </c>
      <c r="C23" s="994" t="s">
        <v>1472</v>
      </c>
      <c r="D23" s="966" t="s">
        <v>435</v>
      </c>
      <c r="E23" s="973" t="s">
        <v>1464</v>
      </c>
      <c r="F23" s="367" t="s">
        <v>167</v>
      </c>
      <c r="G23" s="973" t="s">
        <v>1464</v>
      </c>
      <c r="H23" s="367" t="s">
        <v>1433</v>
      </c>
      <c r="I23" s="973"/>
      <c r="J23" s="384" t="s">
        <v>1471</v>
      </c>
      <c r="K23" s="973"/>
      <c r="L23" s="972" t="s">
        <v>187</v>
      </c>
      <c r="M23" s="973" t="s">
        <v>1464</v>
      </c>
      <c r="N23" s="206">
        <v>55</v>
      </c>
      <c r="O23" s="973" t="s">
        <v>1464</v>
      </c>
      <c r="P23" s="206">
        <v>95</v>
      </c>
      <c r="Q23" s="973" t="s">
        <v>1464</v>
      </c>
      <c r="R23" s="206" t="s">
        <v>300</v>
      </c>
      <c r="S23" s="964" t="s">
        <v>14</v>
      </c>
      <c r="T23" s="964" t="s">
        <v>14</v>
      </c>
      <c r="U23" s="123" t="s">
        <v>14</v>
      </c>
      <c r="V23" s="206" t="s">
        <v>14</v>
      </c>
    </row>
    <row r="24" spans="1:26" s="964" customFormat="1" x14ac:dyDescent="0.3">
      <c r="B24" s="175" t="s">
        <v>172</v>
      </c>
      <c r="C24" s="150" t="s">
        <v>1473</v>
      </c>
      <c r="D24" s="199" t="s">
        <v>435</v>
      </c>
      <c r="E24" s="974" t="s">
        <v>1464</v>
      </c>
      <c r="F24" s="166" t="s">
        <v>167</v>
      </c>
      <c r="G24" s="974" t="s">
        <v>1464</v>
      </c>
      <c r="H24" s="166" t="s">
        <v>1433</v>
      </c>
      <c r="I24" s="974"/>
      <c r="J24" s="150" t="s">
        <v>1471</v>
      </c>
      <c r="K24" s="974"/>
      <c r="L24" s="952" t="s">
        <v>187</v>
      </c>
      <c r="M24" s="995" t="s">
        <v>14</v>
      </c>
      <c r="N24" s="412" t="s">
        <v>14</v>
      </c>
      <c r="O24" s="974" t="s">
        <v>1464</v>
      </c>
      <c r="P24" s="209">
        <v>95</v>
      </c>
      <c r="Q24" s="974" t="s">
        <v>1464</v>
      </c>
      <c r="R24" s="209" t="s">
        <v>300</v>
      </c>
      <c r="S24" s="995" t="s">
        <v>14</v>
      </c>
      <c r="T24" s="412" t="s">
        <v>14</v>
      </c>
      <c r="U24" s="995" t="s">
        <v>14</v>
      </c>
      <c r="V24" s="412" t="s">
        <v>14</v>
      </c>
    </row>
    <row r="25" spans="1:26" s="621" customFormat="1" ht="14.4" x14ac:dyDescent="0.3">
      <c r="A25" s="997"/>
      <c r="B25" s="1000"/>
      <c r="C25" s="975"/>
      <c r="D25" s="997"/>
      <c r="E25" s="975"/>
      <c r="F25" s="997"/>
      <c r="G25" s="997"/>
      <c r="H25" s="997"/>
      <c r="I25" s="975"/>
      <c r="J25" s="997"/>
      <c r="K25" s="975"/>
      <c r="L25" s="997"/>
      <c r="M25" s="997"/>
      <c r="N25" s="997"/>
      <c r="O25" s="997"/>
      <c r="P25" s="997"/>
      <c r="Q25" s="997"/>
      <c r="R25" s="997"/>
      <c r="S25" s="997"/>
      <c r="T25" s="997"/>
      <c r="U25" s="997"/>
      <c r="V25" s="634"/>
      <c r="W25" s="997"/>
      <c r="X25" s="634"/>
    </row>
    <row r="26" spans="1:26" s="621" customFormat="1" ht="14.4" x14ac:dyDescent="0.3">
      <c r="A26" s="997"/>
      <c r="B26" s="1000"/>
      <c r="C26" s="975"/>
      <c r="D26" s="997"/>
      <c r="E26" s="975"/>
      <c r="F26" s="997"/>
      <c r="G26" s="975"/>
      <c r="H26" s="997"/>
      <c r="I26" s="975"/>
      <c r="J26" s="975"/>
      <c r="K26" s="997"/>
      <c r="L26" s="997"/>
      <c r="M26" s="997"/>
      <c r="N26" s="997"/>
      <c r="O26" s="997"/>
      <c r="P26" s="997"/>
      <c r="Q26" s="997"/>
      <c r="R26" s="997"/>
      <c r="S26" s="997"/>
      <c r="T26" s="997"/>
      <c r="U26" s="997"/>
      <c r="V26" s="634"/>
      <c r="W26" s="997"/>
      <c r="X26" s="634"/>
    </row>
    <row r="27" spans="1:26" s="964" customFormat="1" ht="27.6" x14ac:dyDescent="0.3">
      <c r="B27" s="125" t="s">
        <v>1474</v>
      </c>
      <c r="C27" s="113" t="s">
        <v>502</v>
      </c>
      <c r="D27" s="113"/>
      <c r="E27" s="189"/>
      <c r="F27" s="110" t="s">
        <v>137</v>
      </c>
      <c r="G27" s="168"/>
      <c r="H27" s="168" t="s">
        <v>503</v>
      </c>
      <c r="I27" s="189"/>
      <c r="J27" s="110" t="s">
        <v>204</v>
      </c>
      <c r="K27" s="168"/>
      <c r="L27" s="110" t="s">
        <v>1053</v>
      </c>
      <c r="M27" s="1001"/>
      <c r="N27" s="110" t="s">
        <v>1054</v>
      </c>
      <c r="O27" s="1002"/>
      <c r="P27" s="110" t="s">
        <v>1055</v>
      </c>
    </row>
    <row r="28" spans="1:26" s="964" customFormat="1" ht="14.4" thickBot="1" x14ac:dyDescent="0.35">
      <c r="B28" s="173" t="s">
        <v>280</v>
      </c>
      <c r="C28" s="171" t="s">
        <v>262</v>
      </c>
      <c r="D28" s="171"/>
      <c r="E28" s="178"/>
      <c r="F28" s="174" t="s">
        <v>264</v>
      </c>
      <c r="G28" s="172"/>
      <c r="H28" s="171" t="s">
        <v>933</v>
      </c>
      <c r="I28" s="178"/>
      <c r="J28" s="174" t="s">
        <v>263</v>
      </c>
      <c r="K28" s="171"/>
      <c r="L28" s="343" t="s">
        <v>629</v>
      </c>
      <c r="M28" s="173"/>
      <c r="N28" s="325" t="s">
        <v>630</v>
      </c>
      <c r="O28" s="171"/>
      <c r="P28" s="344" t="s">
        <v>631</v>
      </c>
    </row>
    <row r="29" spans="1:26" s="964" customFormat="1" ht="12.75" customHeight="1" thickTop="1" x14ac:dyDescent="0.3">
      <c r="B29" s="122" t="s">
        <v>1420</v>
      </c>
      <c r="C29" s="384" t="s">
        <v>192</v>
      </c>
      <c r="D29" s="384"/>
      <c r="E29" s="967" t="s">
        <v>1464</v>
      </c>
      <c r="F29" s="187" t="s">
        <v>173</v>
      </c>
      <c r="G29" s="967" t="s">
        <v>1464</v>
      </c>
      <c r="H29" s="994">
        <v>12</v>
      </c>
      <c r="I29" s="921" t="s">
        <v>14</v>
      </c>
      <c r="J29" s="940" t="s">
        <v>14</v>
      </c>
      <c r="K29" s="962" t="s">
        <v>1464</v>
      </c>
      <c r="L29" s="994" t="s">
        <v>1421</v>
      </c>
      <c r="M29" s="962" t="s">
        <v>1464</v>
      </c>
      <c r="N29" s="367" t="s">
        <v>1422</v>
      </c>
      <c r="O29" s="967" t="s">
        <v>1464</v>
      </c>
      <c r="P29" s="146" t="s">
        <v>281</v>
      </c>
    </row>
    <row r="30" spans="1:26" s="964" customFormat="1" ht="12.75" customHeight="1" x14ac:dyDescent="0.3">
      <c r="B30" s="122" t="s">
        <v>1412</v>
      </c>
      <c r="C30" s="384" t="s">
        <v>193</v>
      </c>
      <c r="D30" s="384"/>
      <c r="E30" s="962" t="s">
        <v>1464</v>
      </c>
      <c r="F30" s="187" t="s">
        <v>173</v>
      </c>
      <c r="G30" s="962" t="s">
        <v>1464</v>
      </c>
      <c r="H30" s="994">
        <v>12</v>
      </c>
      <c r="I30" s="921" t="s">
        <v>14</v>
      </c>
      <c r="J30" s="940" t="s">
        <v>14</v>
      </c>
      <c r="K30" s="962" t="s">
        <v>1464</v>
      </c>
      <c r="L30" s="994" t="s">
        <v>454</v>
      </c>
      <c r="M30" s="962" t="s">
        <v>1464</v>
      </c>
      <c r="N30" s="367" t="s">
        <v>302</v>
      </c>
      <c r="O30" s="962" t="s">
        <v>1464</v>
      </c>
      <c r="P30" s="146" t="s">
        <v>281</v>
      </c>
    </row>
    <row r="31" spans="1:26" s="964" customFormat="1" ht="12.75" customHeight="1" x14ac:dyDescent="0.3">
      <c r="B31" s="122" t="s">
        <v>1413</v>
      </c>
      <c r="C31" s="384" t="s">
        <v>194</v>
      </c>
      <c r="D31" s="384"/>
      <c r="E31" s="962" t="s">
        <v>1464</v>
      </c>
      <c r="F31" s="187" t="s">
        <v>173</v>
      </c>
      <c r="G31" s="962" t="s">
        <v>1464</v>
      </c>
      <c r="H31" s="994">
        <v>12</v>
      </c>
      <c r="I31" s="921" t="s">
        <v>14</v>
      </c>
      <c r="J31" s="940" t="s">
        <v>14</v>
      </c>
      <c r="K31" s="962" t="s">
        <v>1464</v>
      </c>
      <c r="L31" s="994" t="s">
        <v>1421</v>
      </c>
      <c r="M31" s="962" t="s">
        <v>1464</v>
      </c>
      <c r="N31" s="367" t="s">
        <v>1422</v>
      </c>
      <c r="O31" s="962" t="s">
        <v>1464</v>
      </c>
      <c r="P31" s="146" t="s">
        <v>281</v>
      </c>
    </row>
    <row r="32" spans="1:26" s="964" customFormat="1" ht="12.75" customHeight="1" x14ac:dyDescent="0.3">
      <c r="B32" s="122" t="s">
        <v>1472</v>
      </c>
      <c r="C32" s="994" t="s">
        <v>1475</v>
      </c>
      <c r="D32" s="634"/>
      <c r="E32" s="962" t="s">
        <v>1464</v>
      </c>
      <c r="F32" s="187" t="s">
        <v>173</v>
      </c>
      <c r="G32" s="962" t="s">
        <v>1464</v>
      </c>
      <c r="H32" s="994">
        <v>10.8</v>
      </c>
      <c r="I32" s="921" t="s">
        <v>14</v>
      </c>
      <c r="J32" s="940" t="s">
        <v>14</v>
      </c>
      <c r="K32" s="962" t="s">
        <v>1464</v>
      </c>
      <c r="L32" s="994" t="s">
        <v>1450</v>
      </c>
      <c r="M32" s="962" t="s">
        <v>1464</v>
      </c>
      <c r="N32" s="367" t="s">
        <v>302</v>
      </c>
      <c r="O32" s="962" t="s">
        <v>1464</v>
      </c>
      <c r="P32" s="146" t="s">
        <v>281</v>
      </c>
    </row>
    <row r="33" spans="2:18" s="964" customFormat="1" ht="12.75" customHeight="1" x14ac:dyDescent="0.3">
      <c r="B33" s="122" t="s">
        <v>1473</v>
      </c>
      <c r="C33" s="994" t="s">
        <v>1476</v>
      </c>
      <c r="D33" s="634"/>
      <c r="E33" s="973"/>
      <c r="F33" s="187" t="s">
        <v>173</v>
      </c>
      <c r="G33" s="973"/>
      <c r="H33" s="994">
        <v>10.8</v>
      </c>
      <c r="I33" s="1003"/>
      <c r="J33" s="940"/>
      <c r="K33" s="973"/>
      <c r="L33" s="994" t="s">
        <v>1450</v>
      </c>
      <c r="M33" s="973"/>
      <c r="N33" s="367" t="s">
        <v>302</v>
      </c>
      <c r="O33" s="973"/>
      <c r="P33" s="146" t="s">
        <v>281</v>
      </c>
    </row>
    <row r="34" spans="2:18" s="964" customFormat="1" ht="12.75" customHeight="1" x14ac:dyDescent="0.3">
      <c r="B34" s="284" t="s">
        <v>1448</v>
      </c>
      <c r="C34" s="160" t="s">
        <v>1477</v>
      </c>
      <c r="D34" s="1004"/>
      <c r="E34" s="974" t="s">
        <v>1464</v>
      </c>
      <c r="F34" s="188" t="s">
        <v>173</v>
      </c>
      <c r="G34" s="974" t="s">
        <v>14</v>
      </c>
      <c r="H34" s="160" t="s">
        <v>14</v>
      </c>
      <c r="I34" s="949" t="s">
        <v>14</v>
      </c>
      <c r="J34" s="950" t="s">
        <v>14</v>
      </c>
      <c r="K34" s="974" t="s">
        <v>1464</v>
      </c>
      <c r="L34" s="160" t="s">
        <v>454</v>
      </c>
      <c r="M34" s="974" t="s">
        <v>1464</v>
      </c>
      <c r="N34" s="166" t="s">
        <v>302</v>
      </c>
      <c r="O34" s="974" t="s">
        <v>1464</v>
      </c>
      <c r="P34" s="155" t="s">
        <v>281</v>
      </c>
    </row>
    <row r="35" spans="2:18" s="964" customFormat="1" x14ac:dyDescent="0.3">
      <c r="B35" s="954"/>
      <c r="C35" s="996"/>
      <c r="D35" s="996"/>
      <c r="K35" s="996"/>
    </row>
    <row r="36" spans="2:18" s="964" customFormat="1" x14ac:dyDescent="0.3">
      <c r="B36" s="954"/>
      <c r="C36" s="954"/>
      <c r="D36" s="954"/>
      <c r="E36" s="979"/>
      <c r="F36" s="979"/>
      <c r="G36" s="979"/>
      <c r="H36" s="979"/>
      <c r="I36" s="979"/>
      <c r="J36" s="979"/>
      <c r="K36" s="996"/>
    </row>
    <row r="37" spans="2:18" s="964" customFormat="1" ht="27.6" x14ac:dyDescent="0.3">
      <c r="B37" s="125" t="s">
        <v>1474</v>
      </c>
      <c r="C37" s="113" t="s">
        <v>504</v>
      </c>
      <c r="D37" s="113"/>
      <c r="E37" s="189"/>
      <c r="F37" s="110" t="s">
        <v>137</v>
      </c>
      <c r="G37" s="168"/>
      <c r="H37" s="168" t="s">
        <v>1423</v>
      </c>
      <c r="I37" s="168"/>
      <c r="J37" s="168" t="s">
        <v>603</v>
      </c>
      <c r="K37" s="189"/>
      <c r="L37" s="110" t="s">
        <v>204</v>
      </c>
      <c r="M37" s="168"/>
      <c r="N37" s="110" t="s">
        <v>1424</v>
      </c>
      <c r="O37" s="168"/>
      <c r="P37" s="110" t="s">
        <v>1056</v>
      </c>
    </row>
    <row r="38" spans="2:18" s="964" customFormat="1" ht="14.4" thickBot="1" x14ac:dyDescent="0.35">
      <c r="B38" s="173" t="s">
        <v>282</v>
      </c>
      <c r="C38" s="171" t="s">
        <v>265</v>
      </c>
      <c r="D38" s="171"/>
      <c r="E38" s="178"/>
      <c r="F38" s="174" t="s">
        <v>266</v>
      </c>
      <c r="G38" s="171"/>
      <c r="H38" s="171"/>
      <c r="I38" s="172"/>
      <c r="J38" s="171" t="s">
        <v>267</v>
      </c>
      <c r="K38" s="178"/>
      <c r="L38" s="174"/>
      <c r="M38" s="171"/>
      <c r="N38" s="171" t="s">
        <v>1425</v>
      </c>
      <c r="O38" s="117"/>
      <c r="P38" s="174" t="s">
        <v>283</v>
      </c>
    </row>
    <row r="39" spans="2:18" s="964" customFormat="1" ht="14.4" thickTop="1" x14ac:dyDescent="0.3">
      <c r="B39" s="122" t="s">
        <v>1420</v>
      </c>
      <c r="C39" s="384" t="s">
        <v>197</v>
      </c>
      <c r="D39" s="384"/>
      <c r="E39" s="967" t="s">
        <v>1464</v>
      </c>
      <c r="F39" s="367" t="s">
        <v>1449</v>
      </c>
      <c r="G39" s="921" t="s">
        <v>14</v>
      </c>
      <c r="H39" s="940" t="s">
        <v>14</v>
      </c>
      <c r="I39" s="967"/>
      <c r="J39" s="1005">
        <f>0.0051427*(81)+0.3989</f>
        <v>0.81545869999999998</v>
      </c>
      <c r="K39" s="921" t="s">
        <v>14</v>
      </c>
      <c r="L39" s="940" t="s">
        <v>14</v>
      </c>
      <c r="M39" s="921" t="s">
        <v>14</v>
      </c>
      <c r="N39" s="940" t="s">
        <v>14</v>
      </c>
      <c r="O39" s="967" t="s">
        <v>1464</v>
      </c>
      <c r="P39" s="146" t="s">
        <v>284</v>
      </c>
    </row>
    <row r="40" spans="2:18" s="964" customFormat="1" x14ac:dyDescent="0.3">
      <c r="B40" s="122" t="s">
        <v>1412</v>
      </c>
      <c r="C40" s="384" t="s">
        <v>198</v>
      </c>
      <c r="D40" s="384"/>
      <c r="E40" s="962" t="s">
        <v>1464</v>
      </c>
      <c r="F40" s="367" t="s">
        <v>1426</v>
      </c>
      <c r="G40" s="962" t="s">
        <v>1464</v>
      </c>
      <c r="H40" s="197">
        <v>3.5</v>
      </c>
      <c r="I40" s="921" t="s">
        <v>14</v>
      </c>
      <c r="J40" s="940" t="s">
        <v>14</v>
      </c>
      <c r="K40" s="921" t="s">
        <v>14</v>
      </c>
      <c r="L40" s="940" t="s">
        <v>14</v>
      </c>
      <c r="M40" s="962" t="s">
        <v>1464</v>
      </c>
      <c r="N40" s="367" t="s">
        <v>1427</v>
      </c>
      <c r="O40" s="921" t="s">
        <v>14</v>
      </c>
      <c r="P40" s="940" t="s">
        <v>14</v>
      </c>
    </row>
    <row r="41" spans="2:18" s="964" customFormat="1" x14ac:dyDescent="0.3">
      <c r="B41" s="122" t="s">
        <v>1413</v>
      </c>
      <c r="C41" s="384" t="s">
        <v>199</v>
      </c>
      <c r="D41" s="384"/>
      <c r="E41" s="962" t="s">
        <v>1464</v>
      </c>
      <c r="F41" s="367" t="s">
        <v>1449</v>
      </c>
      <c r="G41" s="921" t="s">
        <v>14</v>
      </c>
      <c r="H41" s="940" t="s">
        <v>14</v>
      </c>
      <c r="I41" s="962"/>
      <c r="J41" s="1005">
        <f>0.0051427*(81)+0.3989</f>
        <v>0.81545869999999998</v>
      </c>
      <c r="K41" s="921" t="s">
        <v>14</v>
      </c>
      <c r="L41" s="940" t="s">
        <v>14</v>
      </c>
      <c r="M41" s="921" t="s">
        <v>14</v>
      </c>
      <c r="N41" s="940" t="s">
        <v>14</v>
      </c>
      <c r="O41" s="962" t="s">
        <v>1464</v>
      </c>
      <c r="P41" s="146" t="s">
        <v>284</v>
      </c>
    </row>
    <row r="42" spans="2:18" s="964" customFormat="1" x14ac:dyDescent="0.3">
      <c r="B42" s="124" t="s">
        <v>1448</v>
      </c>
      <c r="C42" s="384" t="s">
        <v>200</v>
      </c>
      <c r="D42" s="384"/>
      <c r="E42" s="962" t="s">
        <v>1464</v>
      </c>
      <c r="F42" s="367" t="s">
        <v>1449</v>
      </c>
      <c r="G42" s="921" t="s">
        <v>14</v>
      </c>
      <c r="H42" s="940" t="s">
        <v>14</v>
      </c>
      <c r="I42" s="962"/>
      <c r="J42" s="1005">
        <f>0.0051427*(67)+0.3989</f>
        <v>0.74346089999999998</v>
      </c>
      <c r="K42" s="921" t="s">
        <v>14</v>
      </c>
      <c r="L42" s="940" t="s">
        <v>14</v>
      </c>
      <c r="M42" s="921" t="s">
        <v>14</v>
      </c>
      <c r="N42" s="940" t="s">
        <v>14</v>
      </c>
      <c r="O42" s="962" t="s">
        <v>1464</v>
      </c>
      <c r="P42" s="146" t="s">
        <v>284</v>
      </c>
    </row>
    <row r="43" spans="2:18" s="964" customFormat="1" x14ac:dyDescent="0.3">
      <c r="B43" s="124" t="s">
        <v>1446</v>
      </c>
      <c r="C43" s="384" t="s">
        <v>201</v>
      </c>
      <c r="D43" s="384"/>
      <c r="E43" s="962" t="s">
        <v>1464</v>
      </c>
      <c r="F43" s="367" t="s">
        <v>1449</v>
      </c>
      <c r="G43" s="921" t="s">
        <v>14</v>
      </c>
      <c r="H43" s="940" t="s">
        <v>14</v>
      </c>
      <c r="I43" s="962"/>
      <c r="J43" s="1005">
        <f>0.0051427*(80)+0.3989</f>
        <v>0.81031600000000004</v>
      </c>
      <c r="K43" s="921" t="s">
        <v>14</v>
      </c>
      <c r="L43" s="940" t="s">
        <v>14</v>
      </c>
      <c r="M43" s="921" t="s">
        <v>14</v>
      </c>
      <c r="N43" s="940" t="s">
        <v>14</v>
      </c>
      <c r="O43" s="962" t="s">
        <v>1464</v>
      </c>
      <c r="P43" s="146" t="s">
        <v>284</v>
      </c>
    </row>
    <row r="44" spans="2:18" s="964" customFormat="1" x14ac:dyDescent="0.3">
      <c r="B44" s="124" t="s">
        <v>1472</v>
      </c>
      <c r="C44" s="384" t="s">
        <v>1478</v>
      </c>
      <c r="D44" s="384"/>
      <c r="E44" s="973"/>
      <c r="F44" s="367" t="s">
        <v>1451</v>
      </c>
      <c r="G44" s="1006"/>
      <c r="H44" s="940"/>
      <c r="I44" s="1007"/>
      <c r="J44" s="1008"/>
      <c r="K44" s="1003"/>
      <c r="L44" s="940"/>
      <c r="M44" s="1003"/>
      <c r="N44" s="940"/>
      <c r="O44" s="1007"/>
      <c r="P44" s="1009"/>
    </row>
    <row r="45" spans="2:18" s="964" customFormat="1" ht="12.75" customHeight="1" x14ac:dyDescent="0.3">
      <c r="B45" s="284" t="s">
        <v>1473</v>
      </c>
      <c r="C45" s="160" t="s">
        <v>1479</v>
      </c>
      <c r="D45" s="1004"/>
      <c r="E45" s="974" t="s">
        <v>1464</v>
      </c>
      <c r="F45" s="188" t="s">
        <v>1451</v>
      </c>
      <c r="G45" s="906" t="s">
        <v>14</v>
      </c>
      <c r="H45" s="950" t="s">
        <v>14</v>
      </c>
      <c r="I45" s="949" t="s">
        <v>14</v>
      </c>
      <c r="J45" s="950" t="s">
        <v>14</v>
      </c>
      <c r="K45" s="949" t="s">
        <v>14</v>
      </c>
      <c r="L45" s="950" t="s">
        <v>14</v>
      </c>
      <c r="M45" s="949" t="s">
        <v>14</v>
      </c>
      <c r="N45" s="950" t="s">
        <v>14</v>
      </c>
      <c r="O45" s="949" t="s">
        <v>14</v>
      </c>
      <c r="P45" s="950" t="s">
        <v>14</v>
      </c>
    </row>
    <row r="46" spans="2:18" s="964" customFormat="1" x14ac:dyDescent="0.3">
      <c r="B46" s="954"/>
      <c r="C46" s="996"/>
      <c r="D46" s="996"/>
      <c r="K46" s="996"/>
    </row>
    <row r="47" spans="2:18" s="964" customFormat="1" x14ac:dyDescent="0.3">
      <c r="B47" s="954"/>
      <c r="C47" s="954"/>
      <c r="D47" s="954"/>
      <c r="E47" s="979"/>
      <c r="F47" s="979"/>
      <c r="G47" s="979"/>
      <c r="H47" s="979"/>
      <c r="I47" s="979"/>
      <c r="J47" s="979"/>
      <c r="K47" s="979"/>
      <c r="L47" s="979"/>
      <c r="M47" s="979"/>
      <c r="N47" s="979"/>
      <c r="O47" s="979"/>
      <c r="P47" s="979"/>
    </row>
    <row r="48" spans="2:18" s="964" customFormat="1" ht="27.6" x14ac:dyDescent="0.3">
      <c r="B48" s="125" t="s">
        <v>518</v>
      </c>
      <c r="C48" s="113" t="s">
        <v>506</v>
      </c>
      <c r="D48" s="113"/>
      <c r="E48" s="125"/>
      <c r="F48" s="110" t="s">
        <v>184</v>
      </c>
      <c r="G48" s="113"/>
      <c r="H48" s="168" t="s">
        <v>277</v>
      </c>
      <c r="I48" s="125"/>
      <c r="J48" s="110" t="s">
        <v>183</v>
      </c>
      <c r="K48" s="168"/>
      <c r="L48" s="113" t="s">
        <v>205</v>
      </c>
      <c r="M48" s="189"/>
      <c r="N48" s="110" t="s">
        <v>507</v>
      </c>
      <c r="O48" s="168"/>
      <c r="P48" s="168" t="s">
        <v>206</v>
      </c>
      <c r="Q48" s="189"/>
      <c r="R48" s="110" t="s">
        <v>182</v>
      </c>
    </row>
    <row r="49" spans="1:20" s="964" customFormat="1" ht="14.4" thickBot="1" x14ac:dyDescent="0.35">
      <c r="B49" s="173" t="s">
        <v>282</v>
      </c>
      <c r="C49" s="171" t="s">
        <v>269</v>
      </c>
      <c r="D49" s="171"/>
      <c r="E49" s="178"/>
      <c r="F49" s="174" t="s">
        <v>270</v>
      </c>
      <c r="G49" s="172"/>
      <c r="H49" s="171" t="s">
        <v>271</v>
      </c>
      <c r="I49" s="178"/>
      <c r="J49" s="174" t="s">
        <v>272</v>
      </c>
      <c r="K49" s="172"/>
      <c r="L49" s="171" t="s">
        <v>1480</v>
      </c>
      <c r="M49" s="178"/>
      <c r="N49" s="174" t="s">
        <v>274</v>
      </c>
      <c r="O49" s="172"/>
      <c r="P49" s="171" t="s">
        <v>275</v>
      </c>
      <c r="Q49" s="178"/>
      <c r="R49" s="174" t="s">
        <v>276</v>
      </c>
    </row>
    <row r="50" spans="1:20" s="964" customFormat="1" ht="14.4" thickTop="1" x14ac:dyDescent="0.3">
      <c r="B50" s="122" t="s">
        <v>1420</v>
      </c>
      <c r="C50" s="384" t="s">
        <v>177</v>
      </c>
      <c r="D50" s="384"/>
      <c r="E50" s="967" t="s">
        <v>1464</v>
      </c>
      <c r="F50" s="146" t="s">
        <v>485</v>
      </c>
      <c r="G50" s="967" t="s">
        <v>1464</v>
      </c>
      <c r="H50" s="384" t="s">
        <v>278</v>
      </c>
      <c r="I50" s="967" t="s">
        <v>1464</v>
      </c>
      <c r="J50" s="198">
        <v>1.6</v>
      </c>
      <c r="K50" s="921" t="s">
        <v>14</v>
      </c>
      <c r="L50" s="940" t="s">
        <v>14</v>
      </c>
      <c r="M50" s="921" t="s">
        <v>14</v>
      </c>
      <c r="N50" s="283" t="s">
        <v>14</v>
      </c>
      <c r="O50" s="920" t="s">
        <v>14</v>
      </c>
      <c r="P50" s="940">
        <v>2</v>
      </c>
      <c r="Q50" s="920" t="s">
        <v>14</v>
      </c>
      <c r="R50" s="283">
        <v>0.86499999999999999</v>
      </c>
    </row>
    <row r="51" spans="1:20" s="964" customFormat="1" x14ac:dyDescent="0.3">
      <c r="B51" s="122" t="s">
        <v>1412</v>
      </c>
      <c r="C51" s="384" t="s">
        <v>178</v>
      </c>
      <c r="D51" s="384"/>
      <c r="E51" s="962" t="s">
        <v>1464</v>
      </c>
      <c r="F51" s="146" t="s">
        <v>485</v>
      </c>
      <c r="G51" s="962" t="s">
        <v>1464</v>
      </c>
      <c r="H51" s="384" t="s">
        <v>278</v>
      </c>
      <c r="I51" s="962" t="s">
        <v>1464</v>
      </c>
      <c r="J51" s="198">
        <v>1.1200000000000001</v>
      </c>
      <c r="K51" s="921" t="s">
        <v>14</v>
      </c>
      <c r="L51" s="940" t="s">
        <v>14</v>
      </c>
      <c r="M51" s="921" t="s">
        <v>14</v>
      </c>
      <c r="N51" s="283" t="s">
        <v>14</v>
      </c>
      <c r="O51" s="921" t="s">
        <v>14</v>
      </c>
      <c r="P51" s="940">
        <v>1.5</v>
      </c>
      <c r="Q51" s="921" t="s">
        <v>14</v>
      </c>
      <c r="R51" s="283">
        <v>0.85499999999999998</v>
      </c>
    </row>
    <row r="52" spans="1:20" s="964" customFormat="1" x14ac:dyDescent="0.3">
      <c r="B52" s="122" t="s">
        <v>1413</v>
      </c>
      <c r="C52" s="384" t="s">
        <v>179</v>
      </c>
      <c r="D52" s="384"/>
      <c r="E52" s="962" t="s">
        <v>1464</v>
      </c>
      <c r="F52" s="146" t="s">
        <v>485</v>
      </c>
      <c r="G52" s="962" t="s">
        <v>1464</v>
      </c>
      <c r="H52" s="384" t="s">
        <v>278</v>
      </c>
      <c r="I52" s="962" t="s">
        <v>1464</v>
      </c>
      <c r="J52" s="198">
        <v>0.8</v>
      </c>
      <c r="K52" s="921" t="s">
        <v>14</v>
      </c>
      <c r="L52" s="940" t="s">
        <v>14</v>
      </c>
      <c r="M52" s="921" t="s">
        <v>14</v>
      </c>
      <c r="N52" s="283" t="s">
        <v>14</v>
      </c>
      <c r="O52" s="921" t="s">
        <v>14</v>
      </c>
      <c r="P52" s="940">
        <v>1</v>
      </c>
      <c r="Q52" s="921" t="s">
        <v>14</v>
      </c>
      <c r="R52" s="283">
        <v>0.85499999999999998</v>
      </c>
    </row>
    <row r="53" spans="1:20" s="964" customFormat="1" x14ac:dyDescent="0.3">
      <c r="B53" s="124" t="s">
        <v>1446</v>
      </c>
      <c r="C53" s="384" t="s">
        <v>181</v>
      </c>
      <c r="D53" s="384"/>
      <c r="E53" s="962" t="s">
        <v>1464</v>
      </c>
      <c r="F53" s="146" t="s">
        <v>485</v>
      </c>
      <c r="G53" s="962" t="s">
        <v>1464</v>
      </c>
      <c r="H53" s="384" t="s">
        <v>278</v>
      </c>
      <c r="I53" s="962" t="s">
        <v>1464</v>
      </c>
      <c r="J53" s="198">
        <v>0.8</v>
      </c>
      <c r="K53" s="921" t="s">
        <v>14</v>
      </c>
      <c r="L53" s="940" t="s">
        <v>14</v>
      </c>
      <c r="M53" s="921" t="s">
        <v>14</v>
      </c>
      <c r="N53" s="283" t="s">
        <v>14</v>
      </c>
      <c r="O53" s="921" t="s">
        <v>14</v>
      </c>
      <c r="P53" s="940">
        <v>1</v>
      </c>
      <c r="Q53" s="921" t="s">
        <v>14</v>
      </c>
      <c r="R53" s="283">
        <v>0.85499999999999998</v>
      </c>
    </row>
    <row r="54" spans="1:20" s="964" customFormat="1" x14ac:dyDescent="0.3">
      <c r="B54" s="124" t="s">
        <v>1472</v>
      </c>
      <c r="C54" s="384" t="s">
        <v>1481</v>
      </c>
      <c r="D54" s="384"/>
      <c r="E54" s="962" t="s">
        <v>1464</v>
      </c>
      <c r="F54" s="146" t="s">
        <v>485</v>
      </c>
      <c r="G54" s="962" t="s">
        <v>1464</v>
      </c>
      <c r="H54" s="384" t="s">
        <v>278</v>
      </c>
      <c r="I54" s="921" t="s">
        <v>14</v>
      </c>
      <c r="J54" s="940">
        <v>1.9197999999999998E-6</v>
      </c>
      <c r="K54" s="921" t="s">
        <v>14</v>
      </c>
      <c r="L54" s="940" t="s">
        <v>14</v>
      </c>
      <c r="M54" s="921" t="s">
        <v>14</v>
      </c>
      <c r="N54" s="283" t="s">
        <v>14</v>
      </c>
      <c r="O54" s="921" t="s">
        <v>14</v>
      </c>
      <c r="P54" s="940">
        <v>8.3000000000000004E-2</v>
      </c>
      <c r="Q54" s="921" t="s">
        <v>14</v>
      </c>
      <c r="R54" s="283">
        <v>0.85499999999999998</v>
      </c>
    </row>
    <row r="55" spans="1:20" s="964" customFormat="1" x14ac:dyDescent="0.3">
      <c r="B55" s="124" t="s">
        <v>1473</v>
      </c>
      <c r="C55" s="384" t="s">
        <v>1482</v>
      </c>
      <c r="D55" s="384"/>
      <c r="E55" s="973"/>
      <c r="F55" s="146" t="s">
        <v>485</v>
      </c>
      <c r="G55" s="973"/>
      <c r="H55" s="384" t="s">
        <v>278</v>
      </c>
      <c r="I55" s="1003"/>
      <c r="J55" s="940"/>
      <c r="K55" s="1003"/>
      <c r="L55" s="940"/>
      <c r="M55" s="1003"/>
      <c r="N55" s="283"/>
      <c r="O55" s="1003"/>
      <c r="P55" s="940"/>
      <c r="Q55" s="1003"/>
      <c r="R55" s="283"/>
    </row>
    <row r="56" spans="1:20" s="964" customFormat="1" x14ac:dyDescent="0.3">
      <c r="B56" s="175" t="s">
        <v>1448</v>
      </c>
      <c r="C56" s="150" t="s">
        <v>1452</v>
      </c>
      <c r="D56" s="150"/>
      <c r="E56" s="974" t="s">
        <v>1464</v>
      </c>
      <c r="F56" s="155" t="s">
        <v>485</v>
      </c>
      <c r="G56" s="974" t="s">
        <v>1464</v>
      </c>
      <c r="H56" s="150" t="s">
        <v>279</v>
      </c>
      <c r="I56" s="949" t="s">
        <v>14</v>
      </c>
      <c r="J56" s="950" t="s">
        <v>14</v>
      </c>
      <c r="K56" s="949" t="s">
        <v>14</v>
      </c>
      <c r="L56" s="950" t="s">
        <v>14</v>
      </c>
      <c r="M56" s="949" t="s">
        <v>14</v>
      </c>
      <c r="N56" s="281" t="s">
        <v>14</v>
      </c>
      <c r="O56" s="949" t="s">
        <v>14</v>
      </c>
      <c r="P56" s="950" t="s">
        <v>14</v>
      </c>
      <c r="Q56" s="949" t="s">
        <v>14</v>
      </c>
      <c r="R56" s="281">
        <v>1</v>
      </c>
    </row>
    <row r="57" spans="1:20" s="964" customFormat="1" x14ac:dyDescent="0.3">
      <c r="B57" s="955"/>
      <c r="C57" s="955"/>
      <c r="D57" s="955"/>
      <c r="E57" s="955"/>
      <c r="F57" s="955"/>
      <c r="G57" s="955"/>
      <c r="H57" s="955"/>
      <c r="I57" s="955"/>
      <c r="J57" s="955"/>
      <c r="K57" s="955"/>
      <c r="L57" s="955"/>
      <c r="M57" s="955"/>
      <c r="N57" s="955"/>
      <c r="O57" s="955"/>
      <c r="P57" s="955"/>
      <c r="Q57" s="955"/>
      <c r="R57" s="955"/>
    </row>
    <row r="58" spans="1:20" s="955" customFormat="1" x14ac:dyDescent="0.3">
      <c r="B58" s="384"/>
      <c r="C58" s="992"/>
      <c r="D58" s="992"/>
    </row>
    <row r="59" spans="1:20" s="993" customFormat="1" ht="27.6" x14ac:dyDescent="0.3">
      <c r="B59" s="189" t="s">
        <v>505</v>
      </c>
      <c r="C59" s="113" t="s">
        <v>291</v>
      </c>
      <c r="D59" s="113"/>
      <c r="E59" s="125"/>
      <c r="F59" s="142" t="s">
        <v>292</v>
      </c>
      <c r="G59" s="113"/>
      <c r="H59" s="142" t="s">
        <v>293</v>
      </c>
      <c r="I59" s="955"/>
      <c r="J59" s="955"/>
    </row>
    <row r="60" spans="1:20" ht="14.4" thickBot="1" x14ac:dyDescent="0.35">
      <c r="B60" s="173" t="s">
        <v>285</v>
      </c>
      <c r="C60" s="171" t="s">
        <v>286</v>
      </c>
      <c r="D60" s="171"/>
      <c r="E60" s="133"/>
      <c r="F60" s="174" t="s">
        <v>287</v>
      </c>
      <c r="G60" s="119"/>
      <c r="H60" s="174" t="s">
        <v>288</v>
      </c>
      <c r="I60" s="955"/>
      <c r="J60" s="955"/>
      <c r="L60" s="966"/>
      <c r="N60" s="966"/>
      <c r="P60" s="966"/>
    </row>
    <row r="61" spans="1:20" s="979" customFormat="1" ht="14.4" thickTop="1" x14ac:dyDescent="0.3">
      <c r="B61" s="124" t="s">
        <v>168</v>
      </c>
      <c r="C61" s="384" t="s">
        <v>297</v>
      </c>
      <c r="D61" s="384"/>
      <c r="E61" s="962" t="s">
        <v>1464</v>
      </c>
      <c r="F61" s="146" t="s">
        <v>298</v>
      </c>
      <c r="G61" s="962" t="s">
        <v>1464</v>
      </c>
      <c r="H61" s="146" t="s">
        <v>299</v>
      </c>
      <c r="I61" s="955"/>
      <c r="J61" s="955"/>
    </row>
    <row r="62" spans="1:20" s="964" customFormat="1" x14ac:dyDescent="0.3">
      <c r="B62" s="124" t="s">
        <v>169</v>
      </c>
      <c r="C62" s="384" t="s">
        <v>297</v>
      </c>
      <c r="D62" s="384"/>
      <c r="E62" s="962" t="s">
        <v>1464</v>
      </c>
      <c r="F62" s="146" t="s">
        <v>413</v>
      </c>
      <c r="G62" s="962" t="s">
        <v>1464</v>
      </c>
      <c r="H62" s="146" t="s">
        <v>299</v>
      </c>
      <c r="I62" s="955"/>
      <c r="J62" s="955"/>
    </row>
    <row r="63" spans="1:20" s="964" customFormat="1" x14ac:dyDescent="0.3">
      <c r="B63" s="124" t="s">
        <v>170</v>
      </c>
      <c r="C63" s="384" t="s">
        <v>297</v>
      </c>
      <c r="D63" s="384"/>
      <c r="E63" s="962" t="s">
        <v>1464</v>
      </c>
      <c r="F63" s="146" t="s">
        <v>413</v>
      </c>
      <c r="G63" s="962" t="s">
        <v>1464</v>
      </c>
      <c r="H63" s="146" t="s">
        <v>299</v>
      </c>
      <c r="I63" s="955"/>
      <c r="J63" s="955"/>
    </row>
    <row r="64" spans="1:20" x14ac:dyDescent="0.3">
      <c r="A64" s="966"/>
      <c r="B64" s="124" t="s">
        <v>171</v>
      </c>
      <c r="C64" s="384" t="s">
        <v>297</v>
      </c>
      <c r="D64" s="384"/>
      <c r="E64" s="962"/>
      <c r="F64" s="146" t="s">
        <v>413</v>
      </c>
      <c r="G64" s="962" t="s">
        <v>1464</v>
      </c>
      <c r="H64" s="146" t="s">
        <v>299</v>
      </c>
      <c r="I64" s="955"/>
      <c r="J64" s="955"/>
      <c r="L64" s="966"/>
      <c r="N64" s="966"/>
      <c r="P64" s="966"/>
      <c r="R64" s="966"/>
      <c r="T64" s="966"/>
    </row>
    <row r="65" spans="1:24" x14ac:dyDescent="0.3">
      <c r="A65" s="966"/>
      <c r="B65" s="175" t="s">
        <v>172</v>
      </c>
      <c r="C65" s="150" t="s">
        <v>297</v>
      </c>
      <c r="D65" s="150"/>
      <c r="E65" s="974" t="s">
        <v>1464</v>
      </c>
      <c r="F65" s="155" t="s">
        <v>413</v>
      </c>
      <c r="G65" s="974" t="s">
        <v>1464</v>
      </c>
      <c r="H65" s="155" t="s">
        <v>299</v>
      </c>
      <c r="I65" s="955"/>
      <c r="J65" s="955"/>
      <c r="L65" s="966"/>
      <c r="N65" s="966"/>
      <c r="P65" s="966"/>
      <c r="R65" s="966"/>
      <c r="T65" s="966"/>
    </row>
    <row r="66" spans="1:24" x14ac:dyDescent="0.3">
      <c r="A66" s="966"/>
      <c r="B66" s="966"/>
      <c r="C66" s="966"/>
      <c r="D66" s="966"/>
      <c r="L66" s="966"/>
      <c r="N66" s="966"/>
      <c r="P66" s="966"/>
      <c r="R66" s="966"/>
      <c r="T66" s="966"/>
    </row>
    <row r="67" spans="1:24" s="964" customFormat="1" x14ac:dyDescent="0.3">
      <c r="B67" s="954"/>
      <c r="C67" s="996"/>
      <c r="D67" s="996"/>
    </row>
    <row r="68" spans="1:24" s="997" customFormat="1" ht="14.4" x14ac:dyDescent="0.3">
      <c r="A68" s="621"/>
      <c r="B68" s="125" t="s">
        <v>501</v>
      </c>
      <c r="C68" s="113" t="s">
        <v>821</v>
      </c>
      <c r="D68" s="113" t="s">
        <v>433</v>
      </c>
      <c r="E68" s="298"/>
      <c r="F68" s="113" t="s">
        <v>538</v>
      </c>
      <c r="G68" s="125"/>
      <c r="H68" s="142" t="s">
        <v>295</v>
      </c>
      <c r="I68" s="125"/>
      <c r="J68" s="142" t="s">
        <v>972</v>
      </c>
      <c r="K68" s="125"/>
      <c r="L68" s="142" t="s">
        <v>973</v>
      </c>
      <c r="O68" s="657"/>
      <c r="P68" s="641"/>
      <c r="U68" s="621"/>
      <c r="V68" s="621"/>
      <c r="W68" s="621"/>
      <c r="X68" s="621"/>
    </row>
    <row r="69" spans="1:24" s="997" customFormat="1" ht="15" thickBot="1" x14ac:dyDescent="0.35">
      <c r="A69" s="621"/>
      <c r="B69" s="173" t="s">
        <v>258</v>
      </c>
      <c r="C69" s="171"/>
      <c r="D69" s="171"/>
      <c r="E69" s="173"/>
      <c r="F69" s="171" t="s">
        <v>289</v>
      </c>
      <c r="G69" s="173"/>
      <c r="H69" s="174" t="s">
        <v>290</v>
      </c>
      <c r="I69" s="173"/>
      <c r="J69" s="174" t="s">
        <v>1077</v>
      </c>
      <c r="K69" s="173"/>
      <c r="L69" s="174" t="s">
        <v>1078</v>
      </c>
      <c r="O69" s="657"/>
      <c r="P69" s="641"/>
      <c r="U69" s="621"/>
      <c r="V69" s="621"/>
      <c r="W69" s="621"/>
      <c r="X69" s="621"/>
    </row>
    <row r="70" spans="1:24" s="997" customFormat="1" ht="14.4" thickTop="1" x14ac:dyDescent="0.3">
      <c r="A70" s="627"/>
      <c r="B70" s="135" t="s">
        <v>1412</v>
      </c>
      <c r="C70" s="966" t="s">
        <v>1428</v>
      </c>
      <c r="D70" s="966" t="s">
        <v>435</v>
      </c>
      <c r="E70" s="962" t="s">
        <v>1464</v>
      </c>
      <c r="F70" s="966" t="s">
        <v>536</v>
      </c>
      <c r="G70" s="962" t="s">
        <v>1464</v>
      </c>
      <c r="H70" s="274" t="s">
        <v>481</v>
      </c>
      <c r="I70" s="962" t="s">
        <v>1464</v>
      </c>
      <c r="J70" s="274">
        <v>70</v>
      </c>
      <c r="K70" s="941" t="s">
        <v>14</v>
      </c>
      <c r="L70" s="194" t="s">
        <v>14</v>
      </c>
      <c r="M70" s="627"/>
      <c r="N70" s="627"/>
      <c r="O70" s="657"/>
      <c r="P70" s="657"/>
      <c r="U70" s="627"/>
      <c r="V70" s="627"/>
      <c r="W70" s="627"/>
      <c r="X70" s="627"/>
    </row>
    <row r="71" spans="1:24" s="997" customFormat="1" x14ac:dyDescent="0.3">
      <c r="A71" s="627"/>
      <c r="B71" s="135" t="s">
        <v>1413</v>
      </c>
      <c r="C71" s="966" t="s">
        <v>1429</v>
      </c>
      <c r="D71" s="966" t="s">
        <v>435</v>
      </c>
      <c r="E71" s="962" t="s">
        <v>1464</v>
      </c>
      <c r="F71" s="966" t="s">
        <v>388</v>
      </c>
      <c r="G71" s="380" t="s">
        <v>14</v>
      </c>
      <c r="H71" s="283" t="s">
        <v>14</v>
      </c>
      <c r="I71" s="380" t="s">
        <v>14</v>
      </c>
      <c r="J71" s="283" t="s">
        <v>14</v>
      </c>
      <c r="K71" s="941" t="s">
        <v>14</v>
      </c>
      <c r="L71" s="194" t="s">
        <v>14</v>
      </c>
      <c r="M71" s="627"/>
      <c r="N71" s="627"/>
      <c r="O71" s="657"/>
      <c r="P71" s="657"/>
      <c r="U71" s="627"/>
      <c r="V71" s="627"/>
      <c r="W71" s="627"/>
      <c r="X71" s="627"/>
    </row>
    <row r="72" spans="1:24" s="997" customFormat="1" x14ac:dyDescent="0.3">
      <c r="A72" s="627"/>
      <c r="B72" s="316" t="s">
        <v>221</v>
      </c>
      <c r="C72" s="158" t="s">
        <v>1430</v>
      </c>
      <c r="D72" s="158" t="s">
        <v>435</v>
      </c>
      <c r="E72" s="974" t="s">
        <v>1464</v>
      </c>
      <c r="F72" s="158" t="s">
        <v>388</v>
      </c>
      <c r="G72" s="279" t="s">
        <v>14</v>
      </c>
      <c r="H72" s="281" t="s">
        <v>14</v>
      </c>
      <c r="I72" s="326" t="s">
        <v>14</v>
      </c>
      <c r="J72" s="196" t="s">
        <v>14</v>
      </c>
      <c r="K72" s="326" t="s">
        <v>14</v>
      </c>
      <c r="L72" s="196" t="s">
        <v>14</v>
      </c>
      <c r="M72" s="627"/>
      <c r="N72" s="627"/>
      <c r="O72" s="657"/>
      <c r="P72" s="657"/>
      <c r="U72" s="627"/>
      <c r="V72" s="627"/>
      <c r="W72" s="627"/>
      <c r="X72" s="627"/>
    </row>
    <row r="73" spans="1:24" x14ac:dyDescent="0.3">
      <c r="A73" s="966"/>
      <c r="B73" s="966"/>
      <c r="C73" s="966"/>
      <c r="D73" s="997"/>
      <c r="L73" s="966"/>
      <c r="N73" s="966"/>
      <c r="P73" s="966"/>
      <c r="R73" s="966"/>
      <c r="T73" s="966"/>
    </row>
    <row r="74" spans="1:24" x14ac:dyDescent="0.3">
      <c r="A74" s="966"/>
      <c r="B74" s="966"/>
      <c r="C74" s="966"/>
      <c r="D74" s="997"/>
      <c r="L74" s="966"/>
      <c r="N74" s="966"/>
      <c r="P74" s="966"/>
      <c r="R74" s="966"/>
      <c r="T74" s="966"/>
    </row>
    <row r="75" spans="1:24" x14ac:dyDescent="0.3">
      <c r="A75" s="966"/>
      <c r="B75" s="189" t="s">
        <v>505</v>
      </c>
      <c r="C75" s="113"/>
      <c r="D75" s="113"/>
      <c r="E75" s="298"/>
      <c r="F75" s="142" t="s">
        <v>1453</v>
      </c>
      <c r="L75" s="966"/>
      <c r="N75" s="966"/>
      <c r="P75" s="966"/>
      <c r="R75" s="966"/>
      <c r="T75" s="966"/>
    </row>
    <row r="76" spans="1:24" ht="14.4" thickBot="1" x14ac:dyDescent="0.35">
      <c r="A76" s="966"/>
      <c r="B76" s="173" t="s">
        <v>285</v>
      </c>
      <c r="C76" s="171"/>
      <c r="D76" s="171"/>
      <c r="E76" s="173"/>
      <c r="F76" s="174" t="s">
        <v>1454</v>
      </c>
      <c r="L76" s="966"/>
      <c r="N76" s="966"/>
      <c r="P76" s="966"/>
      <c r="R76" s="966"/>
      <c r="T76" s="966"/>
    </row>
    <row r="77" spans="1:24" ht="14.4" thickTop="1" x14ac:dyDescent="0.3">
      <c r="A77" s="966"/>
      <c r="B77" s="122" t="s">
        <v>171</v>
      </c>
      <c r="C77" s="997"/>
      <c r="D77" s="997"/>
      <c r="E77" s="962"/>
      <c r="F77" s="263">
        <v>0</v>
      </c>
      <c r="L77" s="966"/>
      <c r="N77" s="966"/>
      <c r="P77" s="966"/>
      <c r="R77" s="966"/>
      <c r="T77" s="966"/>
    </row>
    <row r="78" spans="1:24" x14ac:dyDescent="0.3">
      <c r="A78" s="966"/>
      <c r="B78" s="284" t="s">
        <v>172</v>
      </c>
      <c r="C78" s="502"/>
      <c r="D78" s="502"/>
      <c r="E78" s="974" t="s">
        <v>1464</v>
      </c>
      <c r="F78" s="252">
        <v>0</v>
      </c>
      <c r="L78" s="966"/>
      <c r="N78" s="966"/>
      <c r="P78" s="966"/>
      <c r="R78" s="966"/>
      <c r="T78" s="966"/>
    </row>
    <row r="79" spans="1:24" s="964" customFormat="1" x14ac:dyDescent="0.3">
      <c r="B79" s="954"/>
      <c r="C79" s="996"/>
      <c r="D79" s="634"/>
    </row>
    <row r="80" spans="1:24" s="955" customFormat="1" x14ac:dyDescent="0.3">
      <c r="A80" s="290"/>
      <c r="B80" s="342" t="s">
        <v>48</v>
      </c>
      <c r="C80" s="290"/>
      <c r="D80" s="290"/>
      <c r="E80" s="290"/>
      <c r="F80" s="290"/>
      <c r="G80" s="290"/>
      <c r="H80" s="290"/>
      <c r="I80" s="290"/>
      <c r="J80" s="290"/>
      <c r="K80" s="290"/>
      <c r="L80" s="290"/>
      <c r="M80" s="290"/>
      <c r="N80" s="290"/>
      <c r="O80" s="290"/>
      <c r="P80" s="290"/>
      <c r="Q80" s="290"/>
      <c r="R80" s="290"/>
      <c r="S80" s="290"/>
      <c r="T80" s="290"/>
    </row>
    <row r="81" spans="1:33" s="362" customFormat="1" x14ac:dyDescent="0.3">
      <c r="A81" s="1011"/>
      <c r="B81" s="1012" t="s">
        <v>517</v>
      </c>
      <c r="C81" s="992"/>
      <c r="D81" s="992"/>
      <c r="F81" s="964"/>
      <c r="G81" s="964"/>
      <c r="H81" s="964"/>
      <c r="I81" s="964"/>
      <c r="J81" s="964"/>
      <c r="K81" s="964"/>
      <c r="L81" s="964"/>
      <c r="M81" s="981"/>
      <c r="N81" s="964"/>
      <c r="O81" s="981"/>
      <c r="P81" s="964"/>
      <c r="Q81" s="981"/>
      <c r="R81" s="964"/>
      <c r="S81" s="981"/>
      <c r="T81" s="964"/>
    </row>
    <row r="82" spans="1:33" s="993" customFormat="1" ht="41.4" x14ac:dyDescent="0.3">
      <c r="B82" s="189" t="s">
        <v>605</v>
      </c>
      <c r="C82" s="113" t="s">
        <v>518</v>
      </c>
      <c r="D82" s="113"/>
      <c r="E82" s="125"/>
      <c r="F82" s="110" t="s">
        <v>137</v>
      </c>
      <c r="G82" s="125"/>
      <c r="H82" s="110" t="s">
        <v>1442</v>
      </c>
      <c r="I82" s="113"/>
      <c r="J82" s="168" t="s">
        <v>186</v>
      </c>
      <c r="K82" s="125"/>
      <c r="L82" s="142" t="s">
        <v>510</v>
      </c>
      <c r="M82" s="113"/>
      <c r="N82" s="113" t="s">
        <v>604</v>
      </c>
      <c r="O82" s="125"/>
      <c r="P82" s="142" t="s">
        <v>508</v>
      </c>
      <c r="Q82" s="964"/>
      <c r="R82" s="964"/>
      <c r="S82" s="964"/>
      <c r="T82" s="964"/>
    </row>
    <row r="83" spans="1:33" s="955" customFormat="1" ht="14.4" thickBot="1" x14ac:dyDescent="0.35">
      <c r="B83" s="173" t="s">
        <v>259</v>
      </c>
      <c r="C83" s="171" t="s">
        <v>258</v>
      </c>
      <c r="D83" s="171"/>
      <c r="E83" s="178"/>
      <c r="F83" s="174" t="s">
        <v>260</v>
      </c>
      <c r="G83" s="178"/>
      <c r="H83" s="174" t="s">
        <v>1444</v>
      </c>
      <c r="I83" s="172"/>
      <c r="J83" s="171" t="s">
        <v>261</v>
      </c>
      <c r="K83" s="133"/>
      <c r="L83" s="174" t="s">
        <v>646</v>
      </c>
      <c r="M83" s="119"/>
      <c r="N83" s="171" t="s">
        <v>647</v>
      </c>
      <c r="O83" s="133"/>
      <c r="P83" s="174" t="s">
        <v>1387</v>
      </c>
    </row>
    <row r="84" spans="1:33" s="964" customFormat="1" ht="14.4" thickTop="1" x14ac:dyDescent="0.3">
      <c r="B84" s="124" t="s">
        <v>168</v>
      </c>
      <c r="C84" s="384" t="s">
        <v>1483</v>
      </c>
      <c r="D84" s="384"/>
      <c r="E84" s="967" t="s">
        <v>1464</v>
      </c>
      <c r="F84" s="146" t="s">
        <v>167</v>
      </c>
      <c r="G84" s="967" t="s">
        <v>1464</v>
      </c>
      <c r="H84" s="146" t="s">
        <v>167</v>
      </c>
      <c r="I84" s="967" t="s">
        <v>1464</v>
      </c>
      <c r="J84" s="384" t="s">
        <v>187</v>
      </c>
      <c r="K84" s="967" t="s">
        <v>1464</v>
      </c>
      <c r="L84" s="197">
        <v>55</v>
      </c>
      <c r="M84" s="967" t="s">
        <v>1464</v>
      </c>
      <c r="N84" s="964">
        <v>95</v>
      </c>
      <c r="O84" s="967" t="s">
        <v>1464</v>
      </c>
      <c r="P84" s="206" t="s">
        <v>300</v>
      </c>
    </row>
    <row r="85" spans="1:33" s="964" customFormat="1" x14ac:dyDescent="0.3">
      <c r="B85" s="124" t="s">
        <v>169</v>
      </c>
      <c r="C85" s="384" t="s">
        <v>1484</v>
      </c>
      <c r="D85" s="384"/>
      <c r="E85" s="962" t="s">
        <v>1464</v>
      </c>
      <c r="F85" s="146" t="s">
        <v>167</v>
      </c>
      <c r="G85" s="962" t="s">
        <v>1464</v>
      </c>
      <c r="H85" s="146" t="s">
        <v>167</v>
      </c>
      <c r="I85" s="962" t="s">
        <v>1464</v>
      </c>
      <c r="J85" s="384" t="s">
        <v>187</v>
      </c>
      <c r="K85" s="962" t="s">
        <v>1464</v>
      </c>
      <c r="L85" s="206">
        <v>55</v>
      </c>
      <c r="M85" s="962" t="s">
        <v>1464</v>
      </c>
      <c r="N85" s="964">
        <v>95</v>
      </c>
      <c r="O85" s="962" t="s">
        <v>1464</v>
      </c>
      <c r="P85" s="206" t="s">
        <v>300</v>
      </c>
    </row>
    <row r="86" spans="1:33" x14ac:dyDescent="0.3">
      <c r="A86" s="966"/>
      <c r="B86" s="124" t="s">
        <v>170</v>
      </c>
      <c r="C86" s="384" t="s">
        <v>1485</v>
      </c>
      <c r="D86" s="384"/>
      <c r="E86" s="962" t="s">
        <v>1464</v>
      </c>
      <c r="F86" s="146" t="s">
        <v>167</v>
      </c>
      <c r="G86" s="962" t="s">
        <v>1464</v>
      </c>
      <c r="H86" s="146" t="s">
        <v>167</v>
      </c>
      <c r="I86" s="962" t="s">
        <v>1464</v>
      </c>
      <c r="J86" s="384" t="s">
        <v>187</v>
      </c>
      <c r="K86" s="962" t="s">
        <v>1464</v>
      </c>
      <c r="L86" s="206">
        <v>55</v>
      </c>
      <c r="M86" s="962" t="s">
        <v>1464</v>
      </c>
      <c r="N86" s="964">
        <v>95</v>
      </c>
      <c r="O86" s="962" t="s">
        <v>1464</v>
      </c>
      <c r="P86" s="206" t="s">
        <v>300</v>
      </c>
      <c r="Q86" s="964"/>
      <c r="R86" s="964"/>
      <c r="S86" s="964"/>
      <c r="T86" s="964"/>
    </row>
    <row r="87" spans="1:33" s="964" customFormat="1" x14ac:dyDescent="0.3">
      <c r="B87" s="124" t="s">
        <v>171</v>
      </c>
      <c r="C87" s="384" t="s">
        <v>1486</v>
      </c>
      <c r="D87" s="384"/>
      <c r="E87" s="962" t="s">
        <v>1464</v>
      </c>
      <c r="F87" s="146" t="s">
        <v>167</v>
      </c>
      <c r="G87" s="962" t="s">
        <v>1464</v>
      </c>
      <c r="H87" s="146" t="s">
        <v>167</v>
      </c>
      <c r="I87" s="962" t="s">
        <v>1464</v>
      </c>
      <c r="J87" s="384" t="s">
        <v>1455</v>
      </c>
      <c r="K87" s="1013" t="s">
        <v>14</v>
      </c>
      <c r="L87" s="410" t="s">
        <v>14</v>
      </c>
      <c r="M87" s="962" t="s">
        <v>1464</v>
      </c>
      <c r="N87" s="964">
        <v>95</v>
      </c>
      <c r="O87" s="962" t="s">
        <v>1464</v>
      </c>
      <c r="P87" s="206" t="s">
        <v>300</v>
      </c>
    </row>
    <row r="88" spans="1:33" s="964" customFormat="1" x14ac:dyDescent="0.3">
      <c r="B88" s="175" t="s">
        <v>172</v>
      </c>
      <c r="C88" s="150" t="s">
        <v>1487</v>
      </c>
      <c r="D88" s="150"/>
      <c r="E88" s="974" t="s">
        <v>1464</v>
      </c>
      <c r="F88" s="155" t="s">
        <v>167</v>
      </c>
      <c r="G88" s="974" t="s">
        <v>1464</v>
      </c>
      <c r="H88" s="155" t="s">
        <v>167</v>
      </c>
      <c r="I88" s="974" t="s">
        <v>1464</v>
      </c>
      <c r="J88" s="150" t="s">
        <v>187</v>
      </c>
      <c r="K88" s="974" t="s">
        <v>1464</v>
      </c>
      <c r="L88" s="209">
        <v>55</v>
      </c>
      <c r="M88" s="974" t="s">
        <v>1464</v>
      </c>
      <c r="N88" s="151">
        <v>95</v>
      </c>
      <c r="O88" s="974" t="s">
        <v>1464</v>
      </c>
      <c r="P88" s="209" t="s">
        <v>300</v>
      </c>
    </row>
    <row r="89" spans="1:33" s="964" customFormat="1" x14ac:dyDescent="0.3">
      <c r="B89" s="954"/>
      <c r="C89" s="996"/>
      <c r="D89" s="996"/>
    </row>
    <row r="90" spans="1:33" s="955" customFormat="1" x14ac:dyDescent="0.3">
      <c r="B90" s="992"/>
      <c r="E90" s="956"/>
      <c r="G90" s="956"/>
      <c r="I90" s="956"/>
      <c r="K90" s="956"/>
      <c r="M90" s="956"/>
      <c r="O90" s="956"/>
      <c r="Q90" s="956"/>
      <c r="R90" s="964"/>
      <c r="S90" s="964"/>
      <c r="T90" s="964"/>
      <c r="U90" s="964"/>
      <c r="V90" s="964"/>
      <c r="W90" s="964"/>
      <c r="X90" s="964"/>
      <c r="Y90" s="964"/>
      <c r="Z90" s="964"/>
      <c r="AA90" s="964"/>
      <c r="AB90" s="964"/>
    </row>
    <row r="91" spans="1:33" s="964" customFormat="1" ht="27.6" x14ac:dyDescent="0.3">
      <c r="B91" s="125" t="s">
        <v>518</v>
      </c>
      <c r="C91" s="113" t="s">
        <v>502</v>
      </c>
      <c r="D91" s="113"/>
      <c r="E91" s="189"/>
      <c r="F91" s="110" t="s">
        <v>137</v>
      </c>
      <c r="G91" s="168"/>
      <c r="H91" s="168" t="s">
        <v>503</v>
      </c>
      <c r="I91" s="189"/>
      <c r="J91" s="110" t="s">
        <v>204</v>
      </c>
      <c r="K91" s="168"/>
      <c r="L91" s="110" t="s">
        <v>1053</v>
      </c>
      <c r="M91" s="1001"/>
      <c r="N91" s="110" t="s">
        <v>1054</v>
      </c>
      <c r="O91" s="1002"/>
      <c r="P91" s="110" t="s">
        <v>1055</v>
      </c>
    </row>
    <row r="92" spans="1:33" s="964" customFormat="1" ht="14.4" thickBot="1" x14ac:dyDescent="0.35">
      <c r="B92" s="173" t="s">
        <v>282</v>
      </c>
      <c r="C92" s="171" t="s">
        <v>262</v>
      </c>
      <c r="D92" s="171"/>
      <c r="E92" s="178"/>
      <c r="F92" s="174" t="s">
        <v>264</v>
      </c>
      <c r="G92" s="172"/>
      <c r="H92" s="174" t="s">
        <v>933</v>
      </c>
      <c r="I92" s="178"/>
      <c r="J92" s="174" t="s">
        <v>263</v>
      </c>
      <c r="K92" s="171"/>
      <c r="L92" s="343" t="s">
        <v>629</v>
      </c>
      <c r="M92" s="173"/>
      <c r="N92" s="325" t="s">
        <v>630</v>
      </c>
      <c r="O92" s="171"/>
      <c r="P92" s="344" t="s">
        <v>631</v>
      </c>
    </row>
    <row r="93" spans="1:33" s="955" customFormat="1" ht="12.75" customHeight="1" thickTop="1" x14ac:dyDescent="0.3">
      <c r="B93" s="124" t="s">
        <v>1483</v>
      </c>
      <c r="C93" s="384" t="s">
        <v>1488</v>
      </c>
      <c r="D93" s="384"/>
      <c r="E93" s="967" t="s">
        <v>1464</v>
      </c>
      <c r="F93" s="187" t="s">
        <v>173</v>
      </c>
      <c r="G93" s="967" t="s">
        <v>1464</v>
      </c>
      <c r="H93" s="1014">
        <v>10.8446</v>
      </c>
      <c r="I93" s="967" t="s">
        <v>1464</v>
      </c>
      <c r="J93" s="305">
        <v>1.1499999999999999</v>
      </c>
      <c r="K93" s="967" t="s">
        <v>1464</v>
      </c>
      <c r="L93" s="146" t="s">
        <v>1450</v>
      </c>
      <c r="M93" s="962" t="s">
        <v>1464</v>
      </c>
      <c r="N93" s="146" t="s">
        <v>302</v>
      </c>
      <c r="O93" s="962" t="s">
        <v>1464</v>
      </c>
      <c r="P93" s="146" t="s">
        <v>281</v>
      </c>
      <c r="Q93" s="956"/>
      <c r="R93" s="964"/>
      <c r="S93" s="964"/>
      <c r="T93" s="964"/>
      <c r="U93" s="964"/>
      <c r="V93" s="964"/>
      <c r="W93" s="964"/>
      <c r="X93" s="964"/>
      <c r="Y93" s="964"/>
      <c r="Z93" s="964"/>
      <c r="AA93" s="964"/>
      <c r="AB93" s="964"/>
    </row>
    <row r="94" spans="1:33" s="955" customFormat="1" ht="12.75" customHeight="1" x14ac:dyDescent="0.3">
      <c r="B94" s="124" t="s">
        <v>1484</v>
      </c>
      <c r="C94" s="384" t="s">
        <v>1489</v>
      </c>
      <c r="D94" s="384"/>
      <c r="E94" s="962" t="s">
        <v>1464</v>
      </c>
      <c r="F94" s="187" t="s">
        <v>173</v>
      </c>
      <c r="G94" s="962" t="s">
        <v>1464</v>
      </c>
      <c r="H94" s="1014">
        <v>10.8446</v>
      </c>
      <c r="I94" s="962" t="s">
        <v>1464</v>
      </c>
      <c r="J94" s="305">
        <v>1.1499999999999999</v>
      </c>
      <c r="K94" s="962" t="s">
        <v>1464</v>
      </c>
      <c r="L94" s="146" t="s">
        <v>1450</v>
      </c>
      <c r="M94" s="962" t="s">
        <v>1464</v>
      </c>
      <c r="N94" s="146" t="s">
        <v>302</v>
      </c>
      <c r="O94" s="962" t="s">
        <v>1464</v>
      </c>
      <c r="P94" s="146" t="s">
        <v>281</v>
      </c>
      <c r="Q94" s="956"/>
      <c r="R94" s="964"/>
      <c r="S94" s="964"/>
      <c r="T94" s="964"/>
      <c r="U94" s="964"/>
      <c r="V94" s="964"/>
      <c r="W94" s="964"/>
      <c r="X94" s="964"/>
      <c r="Y94" s="964"/>
      <c r="Z94" s="964"/>
      <c r="AA94" s="964"/>
      <c r="AB94" s="964"/>
    </row>
    <row r="95" spans="1:33" s="955" customFormat="1" ht="12.75" customHeight="1" x14ac:dyDescent="0.3">
      <c r="B95" s="124" t="s">
        <v>1485</v>
      </c>
      <c r="C95" s="384" t="s">
        <v>1490</v>
      </c>
      <c r="D95" s="384"/>
      <c r="E95" s="962" t="s">
        <v>1464</v>
      </c>
      <c r="F95" s="187" t="s">
        <v>173</v>
      </c>
      <c r="G95" s="962" t="s">
        <v>1464</v>
      </c>
      <c r="H95" s="1014">
        <v>10.8446</v>
      </c>
      <c r="I95" s="962" t="s">
        <v>1464</v>
      </c>
      <c r="J95" s="305">
        <v>1.1499999999999999</v>
      </c>
      <c r="K95" s="962" t="s">
        <v>1464</v>
      </c>
      <c r="L95" s="146" t="s">
        <v>1450</v>
      </c>
      <c r="M95" s="962" t="s">
        <v>1464</v>
      </c>
      <c r="N95" s="146" t="s">
        <v>302</v>
      </c>
      <c r="O95" s="962" t="s">
        <v>1464</v>
      </c>
      <c r="P95" s="146" t="s">
        <v>281</v>
      </c>
      <c r="Q95" s="956"/>
      <c r="R95" s="964"/>
      <c r="S95" s="964"/>
      <c r="T95" s="964"/>
      <c r="U95" s="964"/>
      <c r="V95" s="964"/>
      <c r="W95" s="964"/>
      <c r="X95" s="964"/>
      <c r="Y95" s="964"/>
      <c r="Z95" s="964"/>
      <c r="AA95" s="964"/>
      <c r="AB95" s="964"/>
    </row>
    <row r="96" spans="1:33" s="955" customFormat="1" ht="12.75" customHeight="1" x14ac:dyDescent="0.3">
      <c r="B96" s="124" t="s">
        <v>1486</v>
      </c>
      <c r="C96" s="384" t="s">
        <v>1491</v>
      </c>
      <c r="D96" s="384"/>
      <c r="E96" s="962" t="s">
        <v>1464</v>
      </c>
      <c r="F96" s="187" t="s">
        <v>173</v>
      </c>
      <c r="G96" s="962" t="s">
        <v>1464</v>
      </c>
      <c r="H96" s="1014">
        <v>10.8446</v>
      </c>
      <c r="I96" s="962"/>
      <c r="J96" s="305">
        <v>1.1499999999999999</v>
      </c>
      <c r="K96" s="962" t="s">
        <v>1464</v>
      </c>
      <c r="L96" s="146" t="s">
        <v>1450</v>
      </c>
      <c r="M96" s="962" t="s">
        <v>1464</v>
      </c>
      <c r="N96" s="146" t="s">
        <v>302</v>
      </c>
      <c r="O96" s="962" t="s">
        <v>1464</v>
      </c>
      <c r="P96" s="146" t="s">
        <v>281</v>
      </c>
      <c r="Q96" s="956"/>
      <c r="R96" s="964"/>
      <c r="S96" s="964"/>
      <c r="T96" s="964"/>
      <c r="U96" s="964"/>
      <c r="V96" s="964"/>
      <c r="W96" s="964"/>
      <c r="X96" s="964"/>
      <c r="Y96" s="964"/>
      <c r="Z96" s="964"/>
      <c r="AA96" s="964"/>
      <c r="AB96" s="964"/>
      <c r="AC96" s="364"/>
      <c r="AD96" s="364"/>
      <c r="AE96" s="364"/>
      <c r="AF96" s="364"/>
      <c r="AG96" s="364"/>
    </row>
    <row r="97" spans="2:28" s="955" customFormat="1" ht="12.75" customHeight="1" x14ac:dyDescent="0.3">
      <c r="B97" s="175" t="s">
        <v>1487</v>
      </c>
      <c r="C97" s="150" t="s">
        <v>1492</v>
      </c>
      <c r="D97" s="150"/>
      <c r="E97" s="974" t="s">
        <v>1464</v>
      </c>
      <c r="F97" s="188" t="s">
        <v>173</v>
      </c>
      <c r="G97" s="974" t="s">
        <v>1464</v>
      </c>
      <c r="H97" s="1015">
        <v>10.8446</v>
      </c>
      <c r="I97" s="974" t="s">
        <v>1464</v>
      </c>
      <c r="J97" s="307">
        <v>1.1499999999999999</v>
      </c>
      <c r="K97" s="974" t="s">
        <v>1464</v>
      </c>
      <c r="L97" s="155" t="s">
        <v>1450</v>
      </c>
      <c r="M97" s="974" t="s">
        <v>1464</v>
      </c>
      <c r="N97" s="155" t="s">
        <v>302</v>
      </c>
      <c r="O97" s="974" t="s">
        <v>1464</v>
      </c>
      <c r="P97" s="155" t="s">
        <v>281</v>
      </c>
      <c r="Q97" s="956"/>
      <c r="R97" s="964"/>
      <c r="S97" s="964"/>
      <c r="T97" s="964"/>
      <c r="U97" s="964"/>
      <c r="V97" s="964"/>
      <c r="W97" s="964"/>
      <c r="X97" s="964"/>
      <c r="Y97" s="964"/>
      <c r="Z97" s="964"/>
      <c r="AA97" s="964"/>
      <c r="AB97" s="964"/>
    </row>
    <row r="98" spans="2:28" s="955" customFormat="1" x14ac:dyDescent="0.3">
      <c r="B98" s="992"/>
      <c r="E98" s="956"/>
      <c r="G98" s="956"/>
      <c r="I98" s="956"/>
      <c r="K98" s="996"/>
      <c r="L98" s="964"/>
      <c r="M98" s="964"/>
      <c r="N98" s="964"/>
      <c r="O98" s="964"/>
      <c r="P98" s="964"/>
      <c r="Q98" s="956"/>
      <c r="R98" s="964"/>
      <c r="S98" s="964"/>
      <c r="T98" s="964"/>
      <c r="U98" s="964"/>
      <c r="V98" s="964"/>
      <c r="W98" s="964"/>
      <c r="X98" s="964"/>
      <c r="Y98" s="964"/>
      <c r="Z98" s="964"/>
      <c r="AA98" s="964"/>
      <c r="AB98" s="964"/>
    </row>
    <row r="99" spans="2:28" s="955" customFormat="1" x14ac:dyDescent="0.3">
      <c r="B99" s="992"/>
      <c r="E99" s="956"/>
      <c r="G99" s="956"/>
      <c r="I99" s="956"/>
      <c r="K99" s="996"/>
      <c r="L99" s="964"/>
      <c r="M99" s="964"/>
      <c r="N99" s="964"/>
      <c r="O99" s="964"/>
      <c r="P99" s="964"/>
      <c r="Q99" s="956"/>
      <c r="R99" s="964"/>
      <c r="S99" s="964"/>
      <c r="T99" s="964"/>
      <c r="U99" s="964"/>
      <c r="V99" s="964"/>
      <c r="W99" s="964"/>
      <c r="X99" s="964"/>
      <c r="Y99" s="964"/>
      <c r="Z99" s="964"/>
      <c r="AA99" s="964"/>
      <c r="AB99" s="964"/>
    </row>
    <row r="100" spans="2:28" s="964" customFormat="1" ht="27.6" x14ac:dyDescent="0.3">
      <c r="B100" s="125" t="s">
        <v>518</v>
      </c>
      <c r="C100" s="113" t="s">
        <v>504</v>
      </c>
      <c r="D100" s="113"/>
      <c r="E100" s="189"/>
      <c r="F100" s="110" t="s">
        <v>137</v>
      </c>
      <c r="G100" s="168"/>
      <c r="H100" s="168" t="s">
        <v>603</v>
      </c>
      <c r="I100" s="189"/>
      <c r="J100" s="110" t="s">
        <v>204</v>
      </c>
      <c r="K100" s="168"/>
      <c r="L100" s="110" t="s">
        <v>1056</v>
      </c>
    </row>
    <row r="101" spans="2:28" s="964" customFormat="1" ht="14.4" thickBot="1" x14ac:dyDescent="0.35">
      <c r="B101" s="173" t="s">
        <v>282</v>
      </c>
      <c r="C101" s="171" t="s">
        <v>265</v>
      </c>
      <c r="D101" s="171"/>
      <c r="E101" s="178"/>
      <c r="F101" s="174" t="s">
        <v>266</v>
      </c>
      <c r="G101" s="172"/>
      <c r="H101" s="171" t="s">
        <v>267</v>
      </c>
      <c r="I101" s="178"/>
      <c r="J101" s="174"/>
      <c r="K101" s="117"/>
      <c r="L101" s="174" t="s">
        <v>283</v>
      </c>
    </row>
    <row r="102" spans="2:28" s="955" customFormat="1" ht="14.4" thickTop="1" x14ac:dyDescent="0.3">
      <c r="B102" s="124" t="s">
        <v>1483</v>
      </c>
      <c r="C102" s="981" t="s">
        <v>1493</v>
      </c>
      <c r="D102" s="981"/>
      <c r="E102" s="967" t="s">
        <v>1464</v>
      </c>
      <c r="F102" s="367" t="s">
        <v>815</v>
      </c>
      <c r="G102" s="967" t="s">
        <v>1464</v>
      </c>
      <c r="H102" s="1005">
        <f>0.0051427*(78)+0.3989</f>
        <v>0.80003059999999993</v>
      </c>
      <c r="I102" s="967" t="s">
        <v>1464</v>
      </c>
      <c r="J102" s="305">
        <f>44575.3/35660.3</f>
        <v>1.2499978968208343</v>
      </c>
      <c r="K102" s="962" t="s">
        <v>1464</v>
      </c>
      <c r="L102" s="146" t="s">
        <v>284</v>
      </c>
      <c r="M102" s="964"/>
      <c r="R102" s="964"/>
      <c r="S102" s="964"/>
      <c r="T102" s="964"/>
      <c r="U102" s="964"/>
      <c r="V102" s="964"/>
      <c r="W102" s="964"/>
      <c r="X102" s="964"/>
      <c r="Y102" s="964"/>
      <c r="Z102" s="964"/>
      <c r="AA102" s="964"/>
      <c r="AB102" s="964"/>
    </row>
    <row r="103" spans="2:28" s="955" customFormat="1" x14ac:dyDescent="0.3">
      <c r="B103" s="124" t="s">
        <v>1484</v>
      </c>
      <c r="C103" s="981" t="s">
        <v>1494</v>
      </c>
      <c r="D103" s="981"/>
      <c r="E103" s="962" t="s">
        <v>1464</v>
      </c>
      <c r="F103" s="367" t="s">
        <v>815</v>
      </c>
      <c r="G103" s="962" t="s">
        <v>1464</v>
      </c>
      <c r="H103" s="1005">
        <f t="shared" ref="H103:H106" si="0">0.0051427*(78)+0.3989</f>
        <v>0.80003059999999993</v>
      </c>
      <c r="I103" s="962" t="s">
        <v>1464</v>
      </c>
      <c r="J103" s="367">
        <v>1.25</v>
      </c>
      <c r="K103" s="962" t="s">
        <v>1464</v>
      </c>
      <c r="L103" s="146" t="s">
        <v>284</v>
      </c>
      <c r="M103" s="964"/>
      <c r="R103" s="964"/>
      <c r="S103" s="964"/>
      <c r="T103" s="964"/>
      <c r="U103" s="964"/>
      <c r="V103" s="964"/>
      <c r="W103" s="964"/>
      <c r="X103" s="964"/>
      <c r="Y103" s="964"/>
      <c r="Z103" s="964"/>
      <c r="AA103" s="964"/>
      <c r="AB103" s="964"/>
    </row>
    <row r="104" spans="2:28" s="955" customFormat="1" x14ac:dyDescent="0.3">
      <c r="B104" s="124" t="s">
        <v>1485</v>
      </c>
      <c r="C104" s="981" t="s">
        <v>1495</v>
      </c>
      <c r="D104" s="981"/>
      <c r="E104" s="962" t="s">
        <v>1464</v>
      </c>
      <c r="F104" s="367" t="s">
        <v>815</v>
      </c>
      <c r="G104" s="962" t="s">
        <v>1464</v>
      </c>
      <c r="H104" s="1005">
        <f t="shared" si="0"/>
        <v>0.80003059999999993</v>
      </c>
      <c r="I104" s="962" t="s">
        <v>1464</v>
      </c>
      <c r="J104" s="367">
        <v>1.25</v>
      </c>
      <c r="K104" s="962" t="s">
        <v>1464</v>
      </c>
      <c r="L104" s="146" t="s">
        <v>284</v>
      </c>
      <c r="M104" s="964"/>
      <c r="R104" s="964"/>
      <c r="S104" s="964"/>
      <c r="T104" s="964"/>
      <c r="U104" s="964"/>
      <c r="V104" s="964"/>
      <c r="W104" s="964"/>
      <c r="X104" s="964"/>
      <c r="Y104" s="964"/>
      <c r="Z104" s="964"/>
      <c r="AA104" s="964"/>
      <c r="AB104" s="964"/>
    </row>
    <row r="105" spans="2:28" s="955" customFormat="1" x14ac:dyDescent="0.3">
      <c r="B105" s="124" t="s">
        <v>1486</v>
      </c>
      <c r="C105" s="981" t="s">
        <v>1496</v>
      </c>
      <c r="D105" s="981"/>
      <c r="E105" s="962" t="s">
        <v>1464</v>
      </c>
      <c r="F105" s="367" t="s">
        <v>815</v>
      </c>
      <c r="G105" s="962" t="s">
        <v>1464</v>
      </c>
      <c r="H105" s="1005">
        <f t="shared" si="0"/>
        <v>0.80003059999999993</v>
      </c>
      <c r="I105" s="962" t="s">
        <v>1464</v>
      </c>
      <c r="J105" s="367">
        <v>1.25</v>
      </c>
      <c r="K105" s="962" t="s">
        <v>1464</v>
      </c>
      <c r="L105" s="146" t="s">
        <v>284</v>
      </c>
      <c r="M105" s="964"/>
      <c r="R105" s="964"/>
      <c r="S105" s="964"/>
      <c r="T105" s="964"/>
      <c r="U105" s="964"/>
      <c r="V105" s="964"/>
      <c r="W105" s="964"/>
      <c r="X105" s="964"/>
      <c r="Y105" s="964"/>
      <c r="Z105" s="964"/>
      <c r="AA105" s="964"/>
      <c r="AB105" s="964"/>
    </row>
    <row r="106" spans="2:28" s="955" customFormat="1" x14ac:dyDescent="0.3">
      <c r="B106" s="175" t="s">
        <v>1487</v>
      </c>
      <c r="C106" s="185" t="s">
        <v>1497</v>
      </c>
      <c r="D106" s="185"/>
      <c r="E106" s="974" t="s">
        <v>1464</v>
      </c>
      <c r="F106" s="166" t="s">
        <v>815</v>
      </c>
      <c r="G106" s="974" t="s">
        <v>1464</v>
      </c>
      <c r="H106" s="1016">
        <f t="shared" si="0"/>
        <v>0.80003059999999993</v>
      </c>
      <c r="I106" s="974" t="s">
        <v>1464</v>
      </c>
      <c r="J106" s="166">
        <v>1.25</v>
      </c>
      <c r="K106" s="974" t="s">
        <v>1464</v>
      </c>
      <c r="L106" s="155" t="s">
        <v>284</v>
      </c>
      <c r="M106" s="964"/>
      <c r="R106" s="964"/>
      <c r="S106" s="964"/>
      <c r="T106" s="964"/>
      <c r="U106" s="964"/>
      <c r="V106" s="964"/>
      <c r="W106" s="964"/>
      <c r="X106" s="964"/>
      <c r="Y106" s="964"/>
      <c r="Z106" s="964"/>
      <c r="AA106" s="964"/>
      <c r="AB106" s="964"/>
    </row>
    <row r="107" spans="2:28" s="955" customFormat="1" x14ac:dyDescent="0.3">
      <c r="B107" s="992"/>
      <c r="E107" s="956"/>
      <c r="G107" s="956"/>
      <c r="I107" s="956"/>
      <c r="M107" s="964"/>
      <c r="N107" s="966"/>
      <c r="O107" s="964"/>
      <c r="Q107" s="956"/>
      <c r="S107" s="956"/>
    </row>
    <row r="108" spans="2:28" s="955" customFormat="1" x14ac:dyDescent="0.3">
      <c r="B108" s="992"/>
      <c r="E108" s="956"/>
      <c r="G108" s="956"/>
      <c r="I108" s="956"/>
      <c r="K108" s="956"/>
      <c r="M108" s="956"/>
      <c r="N108" s="966"/>
      <c r="O108" s="956"/>
      <c r="Q108" s="956"/>
      <c r="S108" s="956"/>
    </row>
    <row r="109" spans="2:28" s="964" customFormat="1" ht="27.6" x14ac:dyDescent="0.3">
      <c r="B109" s="125" t="s">
        <v>518</v>
      </c>
      <c r="C109" s="113" t="s">
        <v>506</v>
      </c>
      <c r="D109" s="113"/>
      <c r="E109" s="125"/>
      <c r="F109" s="110" t="s">
        <v>184</v>
      </c>
      <c r="G109" s="113"/>
      <c r="H109" s="168" t="s">
        <v>277</v>
      </c>
      <c r="I109" s="125"/>
      <c r="J109" s="110" t="s">
        <v>511</v>
      </c>
      <c r="K109" s="125"/>
      <c r="L109" s="110" t="s">
        <v>183</v>
      </c>
      <c r="M109" s="168"/>
      <c r="N109" s="113" t="s">
        <v>205</v>
      </c>
      <c r="O109" s="189"/>
      <c r="P109" s="110" t="s">
        <v>507</v>
      </c>
      <c r="Q109" s="168"/>
      <c r="R109" s="168" t="s">
        <v>206</v>
      </c>
      <c r="S109" s="168"/>
      <c r="T109" s="110" t="s">
        <v>182</v>
      </c>
    </row>
    <row r="110" spans="2:28" s="964" customFormat="1" ht="14.4" thickBot="1" x14ac:dyDescent="0.35">
      <c r="B110" s="173" t="s">
        <v>282</v>
      </c>
      <c r="C110" s="171" t="s">
        <v>269</v>
      </c>
      <c r="D110" s="171"/>
      <c r="E110" s="178"/>
      <c r="F110" s="174" t="s">
        <v>270</v>
      </c>
      <c r="G110" s="172"/>
      <c r="H110" s="171" t="s">
        <v>271</v>
      </c>
      <c r="I110" s="178"/>
      <c r="J110" s="174"/>
      <c r="K110" s="178"/>
      <c r="L110" s="174" t="s">
        <v>272</v>
      </c>
      <c r="M110" s="172"/>
      <c r="N110" s="171" t="s">
        <v>1480</v>
      </c>
      <c r="O110" s="178"/>
      <c r="P110" s="174" t="s">
        <v>274</v>
      </c>
      <c r="Q110" s="172"/>
      <c r="R110" s="171" t="s">
        <v>275</v>
      </c>
      <c r="S110" s="172"/>
      <c r="T110" s="174" t="s">
        <v>276</v>
      </c>
    </row>
    <row r="111" spans="2:28" s="964" customFormat="1" ht="14.4" thickTop="1" x14ac:dyDescent="0.3">
      <c r="B111" s="124" t="s">
        <v>1483</v>
      </c>
      <c r="C111" s="384" t="s">
        <v>1498</v>
      </c>
      <c r="D111" s="384"/>
      <c r="E111" s="967" t="s">
        <v>1464</v>
      </c>
      <c r="F111" s="146" t="s">
        <v>185</v>
      </c>
      <c r="G111" s="967"/>
      <c r="H111" s="384" t="s">
        <v>278</v>
      </c>
      <c r="I111" s="1017"/>
      <c r="J111" s="829">
        <v>1099.17</v>
      </c>
      <c r="K111" s="920" t="s">
        <v>14</v>
      </c>
      <c r="L111" s="414">
        <f>0.00094*J111</f>
        <v>1.0332198000000001</v>
      </c>
      <c r="M111" s="967" t="s">
        <v>1464</v>
      </c>
      <c r="N111" s="656">
        <v>0.65</v>
      </c>
      <c r="O111" s="967"/>
      <c r="P111" s="861">
        <v>3.8771200000000001</v>
      </c>
      <c r="Q111" s="967"/>
      <c r="R111" s="854">
        <v>1.5</v>
      </c>
      <c r="S111" s="967"/>
      <c r="T111" s="837">
        <v>0.86499999999999999</v>
      </c>
    </row>
    <row r="112" spans="2:28" s="964" customFormat="1" x14ac:dyDescent="0.3">
      <c r="B112" s="124" t="s">
        <v>1484</v>
      </c>
      <c r="C112" s="384" t="s">
        <v>1499</v>
      </c>
      <c r="D112" s="384"/>
      <c r="E112" s="962" t="s">
        <v>1464</v>
      </c>
      <c r="F112" s="146" t="s">
        <v>185</v>
      </c>
      <c r="G112" s="962"/>
      <c r="H112" s="384" t="s">
        <v>278</v>
      </c>
      <c r="I112" s="1018"/>
      <c r="J112" s="829">
        <v>1104</v>
      </c>
      <c r="K112" s="921" t="s">
        <v>14</v>
      </c>
      <c r="L112" s="414">
        <f t="shared" ref="L112:L115" si="1">0.00094*J112</f>
        <v>1.03776</v>
      </c>
      <c r="M112" s="962" t="s">
        <v>1464</v>
      </c>
      <c r="N112" s="360">
        <v>0.65</v>
      </c>
      <c r="O112" s="962"/>
      <c r="P112" s="861">
        <v>3.8771200000000001</v>
      </c>
      <c r="Q112" s="962"/>
      <c r="R112" s="1019">
        <v>1.5</v>
      </c>
      <c r="S112" s="962"/>
      <c r="T112" s="806">
        <v>0.86499999999999999</v>
      </c>
    </row>
    <row r="113" spans="1:24" x14ac:dyDescent="0.3">
      <c r="A113" s="966"/>
      <c r="B113" s="124" t="s">
        <v>1485</v>
      </c>
      <c r="C113" s="384" t="s">
        <v>1500</v>
      </c>
      <c r="D113" s="384"/>
      <c r="E113" s="962" t="s">
        <v>1464</v>
      </c>
      <c r="F113" s="146" t="s">
        <v>185</v>
      </c>
      <c r="G113" s="962"/>
      <c r="H113" s="384" t="s">
        <v>278</v>
      </c>
      <c r="I113" s="1018"/>
      <c r="J113" s="829">
        <v>574.36500000000001</v>
      </c>
      <c r="K113" s="921" t="s">
        <v>14</v>
      </c>
      <c r="L113" s="414">
        <f t="shared" si="1"/>
        <v>0.53990309999999997</v>
      </c>
      <c r="M113" s="962" t="s">
        <v>1464</v>
      </c>
      <c r="N113" s="360">
        <v>0.65</v>
      </c>
      <c r="O113" s="962"/>
      <c r="P113" s="861">
        <v>3.8771200000000001</v>
      </c>
      <c r="Q113" s="962"/>
      <c r="R113" s="1019">
        <v>0.75</v>
      </c>
      <c r="S113" s="962"/>
      <c r="T113" s="806">
        <v>0.85499999999999998</v>
      </c>
      <c r="V113" s="964"/>
    </row>
    <row r="114" spans="1:24" s="964" customFormat="1" x14ac:dyDescent="0.3">
      <c r="B114" s="124" t="s">
        <v>1486</v>
      </c>
      <c r="C114" s="384" t="s">
        <v>1501</v>
      </c>
      <c r="D114" s="384"/>
      <c r="E114" s="962" t="s">
        <v>1464</v>
      </c>
      <c r="F114" s="146" t="s">
        <v>185</v>
      </c>
      <c r="G114" s="962"/>
      <c r="H114" s="384" t="s">
        <v>278</v>
      </c>
      <c r="I114" s="1018"/>
      <c r="J114" s="829">
        <v>852.91700000000003</v>
      </c>
      <c r="K114" s="921" t="s">
        <v>14</v>
      </c>
      <c r="L114" s="414">
        <f t="shared" si="1"/>
        <v>0.80174197999999997</v>
      </c>
      <c r="M114" s="962" t="s">
        <v>1464</v>
      </c>
      <c r="N114" s="360">
        <v>0.65</v>
      </c>
      <c r="O114" s="962"/>
      <c r="P114" s="861">
        <v>3.8771200000000001</v>
      </c>
      <c r="Q114" s="962"/>
      <c r="R114" s="1019">
        <v>1</v>
      </c>
      <c r="S114" s="962"/>
      <c r="T114" s="806">
        <v>0.85499999999999998</v>
      </c>
    </row>
    <row r="115" spans="1:24" s="964" customFormat="1" x14ac:dyDescent="0.3">
      <c r="B115" s="175" t="s">
        <v>1487</v>
      </c>
      <c r="C115" s="150" t="s">
        <v>1502</v>
      </c>
      <c r="D115" s="150"/>
      <c r="E115" s="974" t="s">
        <v>1464</v>
      </c>
      <c r="F115" s="155" t="s">
        <v>185</v>
      </c>
      <c r="G115" s="974"/>
      <c r="H115" s="150" t="s">
        <v>278</v>
      </c>
      <c r="I115" s="1020"/>
      <c r="J115" s="830">
        <v>623.01900000000001</v>
      </c>
      <c r="K115" s="906" t="s">
        <v>14</v>
      </c>
      <c r="L115" s="415">
        <f t="shared" si="1"/>
        <v>0.58563785999999995</v>
      </c>
      <c r="M115" s="974" t="s">
        <v>1464</v>
      </c>
      <c r="N115" s="654">
        <v>0.65</v>
      </c>
      <c r="O115" s="974"/>
      <c r="P115" s="858">
        <v>3.8771200000000001</v>
      </c>
      <c r="Q115" s="974"/>
      <c r="R115" s="855">
        <v>0.75</v>
      </c>
      <c r="S115" s="974"/>
      <c r="T115" s="843">
        <v>0.85499999999999998</v>
      </c>
    </row>
    <row r="116" spans="1:24" s="964" customFormat="1" x14ac:dyDescent="0.3">
      <c r="B116" s="954"/>
      <c r="C116" s="996"/>
      <c r="D116" s="996"/>
      <c r="N116" s="979"/>
      <c r="P116" s="979"/>
      <c r="R116" s="979"/>
      <c r="T116" s="979"/>
    </row>
    <row r="117" spans="1:24" x14ac:dyDescent="0.3">
      <c r="C117" s="992"/>
      <c r="D117" s="992"/>
      <c r="F117" s="955"/>
      <c r="H117" s="955"/>
      <c r="J117" s="955"/>
      <c r="L117" s="955"/>
      <c r="N117" s="955"/>
      <c r="P117" s="955"/>
      <c r="V117" s="964"/>
    </row>
    <row r="118" spans="1:24" s="993" customFormat="1" ht="27.6" x14ac:dyDescent="0.3">
      <c r="B118" s="189" t="s">
        <v>505</v>
      </c>
      <c r="C118" s="113" t="s">
        <v>291</v>
      </c>
      <c r="D118" s="113"/>
      <c r="E118" s="125"/>
      <c r="F118" s="142" t="s">
        <v>292</v>
      </c>
      <c r="G118" s="113"/>
      <c r="H118" s="142" t="s">
        <v>293</v>
      </c>
    </row>
    <row r="119" spans="1:24" ht="14.4" thickBot="1" x14ac:dyDescent="0.35">
      <c r="B119" s="173" t="s">
        <v>285</v>
      </c>
      <c r="C119" s="171" t="s">
        <v>286</v>
      </c>
      <c r="D119" s="171"/>
      <c r="E119" s="133"/>
      <c r="F119" s="174" t="s">
        <v>287</v>
      </c>
      <c r="G119" s="119"/>
      <c r="H119" s="174" t="s">
        <v>288</v>
      </c>
      <c r="L119" s="966"/>
      <c r="N119" s="966"/>
      <c r="P119" s="966"/>
    </row>
    <row r="120" spans="1:24" s="979" customFormat="1" ht="14.4" thickTop="1" x14ac:dyDescent="0.3">
      <c r="B120" s="124" t="s">
        <v>168</v>
      </c>
      <c r="C120" s="384" t="s">
        <v>297</v>
      </c>
      <c r="D120" s="384"/>
      <c r="E120" s="967" t="s">
        <v>1464</v>
      </c>
      <c r="F120" s="146" t="s">
        <v>298</v>
      </c>
      <c r="G120" s="967" t="s">
        <v>1464</v>
      </c>
      <c r="H120" s="146" t="s">
        <v>299</v>
      </c>
      <c r="M120" s="1021"/>
      <c r="N120" s="1021"/>
      <c r="O120" s="1021"/>
      <c r="P120" s="1021"/>
      <c r="Q120" s="993"/>
      <c r="R120" s="1021"/>
      <c r="S120" s="993"/>
      <c r="T120" s="1021"/>
    </row>
    <row r="121" spans="1:24" s="964" customFormat="1" x14ac:dyDescent="0.3">
      <c r="B121" s="124" t="s">
        <v>169</v>
      </c>
      <c r="C121" s="384" t="s">
        <v>297</v>
      </c>
      <c r="D121" s="384"/>
      <c r="E121" s="962" t="s">
        <v>1464</v>
      </c>
      <c r="F121" s="146" t="s">
        <v>413</v>
      </c>
      <c r="G121" s="962" t="s">
        <v>1464</v>
      </c>
      <c r="H121" s="146" t="s">
        <v>299</v>
      </c>
      <c r="M121" s="1021"/>
      <c r="N121" s="1021"/>
      <c r="O121" s="1021"/>
      <c r="P121" s="1021"/>
      <c r="Q121" s="993"/>
      <c r="R121" s="1021"/>
      <c r="S121" s="993"/>
      <c r="T121" s="1021"/>
    </row>
    <row r="122" spans="1:24" s="964" customFormat="1" x14ac:dyDescent="0.3">
      <c r="B122" s="124" t="s">
        <v>170</v>
      </c>
      <c r="C122" s="384" t="s">
        <v>297</v>
      </c>
      <c r="D122" s="384"/>
      <c r="E122" s="962" t="s">
        <v>1464</v>
      </c>
      <c r="F122" s="146" t="s">
        <v>413</v>
      </c>
      <c r="G122" s="962" t="s">
        <v>1464</v>
      </c>
      <c r="H122" s="146" t="s">
        <v>299</v>
      </c>
      <c r="M122" s="1021"/>
      <c r="N122" s="1021"/>
      <c r="O122" s="1021"/>
      <c r="P122" s="1021"/>
      <c r="Q122" s="993"/>
      <c r="R122" s="1021"/>
      <c r="S122" s="993"/>
      <c r="T122" s="1021"/>
    </row>
    <row r="123" spans="1:24" x14ac:dyDescent="0.3">
      <c r="A123" s="966"/>
      <c r="B123" s="124" t="s">
        <v>171</v>
      </c>
      <c r="C123" s="384" t="s">
        <v>297</v>
      </c>
      <c r="D123" s="384"/>
      <c r="E123" s="962"/>
      <c r="F123" s="146" t="s">
        <v>413</v>
      </c>
      <c r="G123" s="962" t="s">
        <v>1464</v>
      </c>
      <c r="H123" s="146" t="s">
        <v>299</v>
      </c>
      <c r="L123" s="966"/>
      <c r="M123" s="1021"/>
      <c r="N123" s="1021"/>
      <c r="O123" s="1021"/>
      <c r="P123" s="1021"/>
      <c r="Q123" s="993"/>
      <c r="R123" s="1021"/>
      <c r="S123" s="993"/>
      <c r="T123" s="1021"/>
    </row>
    <row r="124" spans="1:24" x14ac:dyDescent="0.3">
      <c r="A124" s="966"/>
      <c r="B124" s="175" t="s">
        <v>172</v>
      </c>
      <c r="C124" s="150" t="s">
        <v>297</v>
      </c>
      <c r="D124" s="150"/>
      <c r="E124" s="974" t="s">
        <v>1464</v>
      </c>
      <c r="F124" s="166" t="s">
        <v>413</v>
      </c>
      <c r="G124" s="974" t="s">
        <v>1464</v>
      </c>
      <c r="H124" s="155" t="s">
        <v>299</v>
      </c>
      <c r="L124" s="966"/>
      <c r="M124" s="1021"/>
      <c r="N124" s="1021"/>
      <c r="O124" s="1021"/>
      <c r="P124" s="1021"/>
      <c r="Q124" s="993"/>
      <c r="R124" s="1021"/>
      <c r="S124" s="993"/>
      <c r="T124" s="1021"/>
    </row>
    <row r="127" spans="1:24" s="997" customFormat="1" ht="14.4" x14ac:dyDescent="0.3">
      <c r="A127" s="621"/>
      <c r="B127" s="125" t="s">
        <v>501</v>
      </c>
      <c r="C127" s="113" t="s">
        <v>821</v>
      </c>
      <c r="D127" s="113" t="s">
        <v>433</v>
      </c>
      <c r="E127" s="298"/>
      <c r="F127" s="113" t="s">
        <v>538</v>
      </c>
      <c r="G127" s="125"/>
      <c r="H127" s="142" t="s">
        <v>295</v>
      </c>
      <c r="I127" s="125"/>
      <c r="J127" s="142" t="s">
        <v>972</v>
      </c>
      <c r="K127" s="125"/>
      <c r="L127" s="142" t="s">
        <v>973</v>
      </c>
      <c r="O127" s="657"/>
      <c r="P127" s="641"/>
      <c r="U127" s="621"/>
      <c r="V127" s="621"/>
      <c r="W127" s="621"/>
      <c r="X127" s="621"/>
    </row>
    <row r="128" spans="1:24" s="997" customFormat="1" ht="15" thickBot="1" x14ac:dyDescent="0.35">
      <c r="A128" s="621"/>
      <c r="B128" s="173" t="s">
        <v>258</v>
      </c>
      <c r="C128" s="171"/>
      <c r="D128" s="171"/>
      <c r="E128" s="173"/>
      <c r="F128" s="171" t="s">
        <v>289</v>
      </c>
      <c r="G128" s="173"/>
      <c r="H128" s="174" t="s">
        <v>290</v>
      </c>
      <c r="I128" s="173"/>
      <c r="J128" s="174" t="s">
        <v>1077</v>
      </c>
      <c r="K128" s="173"/>
      <c r="L128" s="174" t="s">
        <v>1078</v>
      </c>
      <c r="O128" s="657"/>
      <c r="P128" s="641"/>
      <c r="U128" s="621"/>
      <c r="V128" s="621"/>
      <c r="W128" s="621"/>
      <c r="X128" s="621"/>
    </row>
    <row r="129" spans="1:24" s="997" customFormat="1" ht="14.4" thickTop="1" x14ac:dyDescent="0.3">
      <c r="A129" s="627"/>
      <c r="B129" s="135" t="s">
        <v>1483</v>
      </c>
      <c r="C129" s="384" t="s">
        <v>1503</v>
      </c>
      <c r="D129" s="966" t="s">
        <v>435</v>
      </c>
      <c r="E129" s="967" t="s">
        <v>1464</v>
      </c>
      <c r="F129" s="966" t="s">
        <v>388</v>
      </c>
      <c r="G129" s="380" t="s">
        <v>14</v>
      </c>
      <c r="H129" s="283" t="s">
        <v>14</v>
      </c>
      <c r="I129" s="380" t="s">
        <v>14</v>
      </c>
      <c r="J129" s="283" t="s">
        <v>14</v>
      </c>
      <c r="K129" s="941" t="s">
        <v>14</v>
      </c>
      <c r="L129" s="194" t="s">
        <v>14</v>
      </c>
      <c r="M129" s="627"/>
      <c r="N129" s="627"/>
      <c r="O129" s="657"/>
      <c r="P129" s="657"/>
      <c r="U129" s="627"/>
      <c r="V129" s="627"/>
      <c r="W129" s="627"/>
      <c r="X129" s="627"/>
    </row>
    <row r="130" spans="1:24" s="997" customFormat="1" x14ac:dyDescent="0.3">
      <c r="A130" s="627"/>
      <c r="B130" s="135" t="s">
        <v>1484</v>
      </c>
      <c r="C130" s="384" t="s">
        <v>1504</v>
      </c>
      <c r="D130" s="966" t="s">
        <v>435</v>
      </c>
      <c r="E130" s="962" t="s">
        <v>1464</v>
      </c>
      <c r="F130" s="966" t="s">
        <v>388</v>
      </c>
      <c r="G130" s="380" t="s">
        <v>14</v>
      </c>
      <c r="H130" s="283" t="s">
        <v>14</v>
      </c>
      <c r="I130" s="380" t="s">
        <v>14</v>
      </c>
      <c r="J130" s="283" t="s">
        <v>14</v>
      </c>
      <c r="K130" s="941" t="s">
        <v>14</v>
      </c>
      <c r="L130" s="194" t="s">
        <v>14</v>
      </c>
      <c r="M130" s="627"/>
      <c r="N130" s="627"/>
      <c r="O130" s="657"/>
      <c r="P130" s="657"/>
      <c r="U130" s="627"/>
      <c r="V130" s="627"/>
      <c r="W130" s="627"/>
      <c r="X130" s="627"/>
    </row>
    <row r="131" spans="1:24" s="997" customFormat="1" x14ac:dyDescent="0.3">
      <c r="A131" s="627"/>
      <c r="B131" s="135" t="s">
        <v>1485</v>
      </c>
      <c r="C131" s="384" t="s">
        <v>1505</v>
      </c>
      <c r="D131" s="966" t="s">
        <v>435</v>
      </c>
      <c r="E131" s="962" t="s">
        <v>1464</v>
      </c>
      <c r="F131" s="966" t="s">
        <v>388</v>
      </c>
      <c r="G131" s="380" t="s">
        <v>14</v>
      </c>
      <c r="H131" s="283" t="s">
        <v>14</v>
      </c>
      <c r="I131" s="380" t="s">
        <v>14</v>
      </c>
      <c r="J131" s="283" t="s">
        <v>14</v>
      </c>
      <c r="K131" s="941" t="s">
        <v>14</v>
      </c>
      <c r="L131" s="194" t="s">
        <v>14</v>
      </c>
      <c r="M131" s="627"/>
      <c r="N131" s="627"/>
      <c r="O131" s="657"/>
      <c r="P131" s="657"/>
      <c r="U131" s="627"/>
      <c r="V131" s="627"/>
      <c r="W131" s="627"/>
      <c r="X131" s="627"/>
    </row>
    <row r="132" spans="1:24" s="997" customFormat="1" x14ac:dyDescent="0.3">
      <c r="A132" s="627"/>
      <c r="B132" s="135" t="s">
        <v>1486</v>
      </c>
      <c r="C132" s="384" t="s">
        <v>1506</v>
      </c>
      <c r="D132" s="966" t="s">
        <v>435</v>
      </c>
      <c r="E132" s="962" t="s">
        <v>1464</v>
      </c>
      <c r="F132" s="966" t="s">
        <v>388</v>
      </c>
      <c r="G132" s="380" t="s">
        <v>14</v>
      </c>
      <c r="H132" s="283" t="s">
        <v>14</v>
      </c>
      <c r="I132" s="380" t="s">
        <v>14</v>
      </c>
      <c r="J132" s="283" t="s">
        <v>14</v>
      </c>
      <c r="K132" s="941" t="s">
        <v>14</v>
      </c>
      <c r="L132" s="194" t="s">
        <v>14</v>
      </c>
      <c r="M132" s="627"/>
      <c r="N132" s="627"/>
      <c r="O132" s="657"/>
      <c r="P132" s="657"/>
      <c r="U132" s="627"/>
      <c r="V132" s="627"/>
      <c r="W132" s="627"/>
      <c r="X132" s="627"/>
    </row>
    <row r="133" spans="1:24" s="997" customFormat="1" x14ac:dyDescent="0.3">
      <c r="A133" s="627"/>
      <c r="B133" s="316" t="s">
        <v>1487</v>
      </c>
      <c r="C133" s="150" t="s">
        <v>1507</v>
      </c>
      <c r="D133" s="158" t="s">
        <v>435</v>
      </c>
      <c r="E133" s="974" t="s">
        <v>1464</v>
      </c>
      <c r="F133" s="158" t="s">
        <v>388</v>
      </c>
      <c r="G133" s="279" t="s">
        <v>14</v>
      </c>
      <c r="H133" s="281" t="s">
        <v>14</v>
      </c>
      <c r="I133" s="326" t="s">
        <v>14</v>
      </c>
      <c r="J133" s="196" t="s">
        <v>14</v>
      </c>
      <c r="K133" s="326" t="s">
        <v>14</v>
      </c>
      <c r="L133" s="196" t="s">
        <v>14</v>
      </c>
      <c r="M133" s="627"/>
      <c r="N133" s="627"/>
      <c r="O133" s="657"/>
      <c r="P133" s="657"/>
      <c r="U133" s="627"/>
      <c r="V133" s="627"/>
      <c r="W133" s="627"/>
      <c r="X133" s="627"/>
    </row>
    <row r="136" spans="1:24" x14ac:dyDescent="0.3">
      <c r="B136" s="189" t="s">
        <v>505</v>
      </c>
      <c r="C136" s="113"/>
      <c r="D136" s="113"/>
      <c r="E136" s="298"/>
      <c r="F136" s="142" t="s">
        <v>1453</v>
      </c>
    </row>
    <row r="137" spans="1:24" ht="14.4" thickBot="1" x14ac:dyDescent="0.35">
      <c r="B137" s="173" t="s">
        <v>285</v>
      </c>
      <c r="C137" s="171"/>
      <c r="D137" s="171"/>
      <c r="E137" s="173"/>
      <c r="F137" s="174" t="s">
        <v>1454</v>
      </c>
    </row>
    <row r="138" spans="1:24" ht="14.4" thickTop="1" x14ac:dyDescent="0.3">
      <c r="B138" s="124" t="s">
        <v>171</v>
      </c>
      <c r="C138" s="966"/>
      <c r="D138" s="966"/>
      <c r="E138" s="941" t="s">
        <v>14</v>
      </c>
      <c r="F138" s="283">
        <v>0</v>
      </c>
    </row>
    <row r="139" spans="1:24" x14ac:dyDescent="0.3">
      <c r="B139" s="175" t="s">
        <v>172</v>
      </c>
      <c r="C139" s="158"/>
      <c r="D139" s="158"/>
      <c r="E139" s="326" t="s">
        <v>14</v>
      </c>
      <c r="F139" s="281">
        <v>0</v>
      </c>
    </row>
  </sheetData>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9"/>
  <sheetViews>
    <sheetView zoomScale="85" zoomScaleNormal="85" workbookViewId="0"/>
  </sheetViews>
  <sheetFormatPr defaultColWidth="9.109375" defaultRowHeight="13.8" x14ac:dyDescent="0.3"/>
  <cols>
    <col min="1" max="1" width="3.6640625" style="369" customWidth="1"/>
    <col min="2" max="2" width="18.6640625" style="85" customWidth="1"/>
    <col min="3" max="3" width="35.109375" style="371" bestFit="1" customWidth="1"/>
    <col min="4" max="4" width="2.6640625" style="378" customWidth="1"/>
    <col min="5" max="5" width="25.5546875" style="378" customWidth="1"/>
    <col min="6" max="6" width="2.6640625" style="378" customWidth="1"/>
    <col min="7" max="7" width="24.109375" style="372" bestFit="1" customWidth="1"/>
    <col min="8" max="8" width="2.6640625" style="378" customWidth="1"/>
    <col min="9" max="9" width="26.88671875" style="372" bestFit="1" customWidth="1"/>
    <col min="10" max="10" width="2.6640625" style="378" customWidth="1"/>
    <col min="11" max="11" width="26.44140625" style="378" bestFit="1" customWidth="1"/>
    <col min="12" max="12" width="2.6640625" style="378" customWidth="1"/>
    <col min="13" max="13" width="25.33203125" style="378" bestFit="1" customWidth="1"/>
    <col min="14" max="15" width="2.6640625" style="378" customWidth="1"/>
    <col min="16" max="16384" width="9.109375" style="378"/>
  </cols>
  <sheetData>
    <row r="1" spans="1:15" ht="18" x14ac:dyDescent="0.3">
      <c r="A1" s="67"/>
      <c r="B1" s="866" t="s">
        <v>1401</v>
      </c>
      <c r="C1" s="67"/>
      <c r="D1" s="67"/>
      <c r="E1" s="67"/>
      <c r="F1" s="67"/>
      <c r="G1" s="72"/>
      <c r="H1" s="67"/>
      <c r="I1" s="72"/>
      <c r="J1" s="67"/>
      <c r="K1" s="72"/>
      <c r="L1" s="67"/>
      <c r="M1" s="67"/>
      <c r="N1" s="75"/>
      <c r="O1" s="75"/>
    </row>
    <row r="2" spans="1:15" s="369" customFormat="1" x14ac:dyDescent="0.3">
      <c r="B2" s="567" t="s">
        <v>5</v>
      </c>
      <c r="C2" s="567"/>
      <c r="D2" s="574"/>
      <c r="E2" s="567" t="s">
        <v>6</v>
      </c>
      <c r="G2" s="66"/>
      <c r="I2" s="66"/>
      <c r="J2" s="567"/>
      <c r="K2" s="568" t="s">
        <v>1101</v>
      </c>
      <c r="L2" s="67"/>
      <c r="M2" s="67"/>
      <c r="N2" s="75"/>
      <c r="O2" s="75"/>
    </row>
    <row r="3" spans="1:15" s="369" customFormat="1" ht="14.4" x14ac:dyDescent="0.3">
      <c r="B3" s="369" t="s">
        <v>0</v>
      </c>
      <c r="C3" s="88" t="s">
        <v>1090</v>
      </c>
      <c r="E3" s="369" t="s">
        <v>8</v>
      </c>
      <c r="G3" s="65"/>
      <c r="I3" s="405"/>
      <c r="J3" s="569"/>
      <c r="K3" s="369" t="s">
        <v>1102</v>
      </c>
      <c r="L3" s="67"/>
      <c r="M3" s="67"/>
      <c r="N3" s="75"/>
      <c r="O3" s="75"/>
    </row>
    <row r="4" spans="1:15" s="369" customFormat="1" x14ac:dyDescent="0.3">
      <c r="B4" s="369" t="s">
        <v>1</v>
      </c>
      <c r="C4" s="369" t="str">
        <f>C3&amp;".cibd16"</f>
        <v>080006S-Whse-Run15.cibd16</v>
      </c>
      <c r="E4" s="369" t="s">
        <v>110</v>
      </c>
      <c r="G4" s="369" t="str">
        <f>'Documentation Main Sheet'!I3</f>
        <v>Release package</v>
      </c>
      <c r="I4" s="405"/>
      <c r="J4" s="570">
        <v>1</v>
      </c>
      <c r="K4" s="378" t="s">
        <v>1103</v>
      </c>
      <c r="L4" s="67"/>
      <c r="M4" s="67"/>
      <c r="N4" s="75"/>
      <c r="O4" s="75"/>
    </row>
    <row r="5" spans="1:15" s="369" customFormat="1" x14ac:dyDescent="0.3">
      <c r="B5" s="369" t="s">
        <v>54</v>
      </c>
      <c r="C5" s="369" t="s">
        <v>56</v>
      </c>
      <c r="E5" s="369" t="s">
        <v>7</v>
      </c>
      <c r="G5" s="369" t="str">
        <f>'Documentation Main Sheet'!I4</f>
        <v>CBECC-Com 209.1.0 release</v>
      </c>
      <c r="I5" s="405"/>
      <c r="J5" s="571">
        <v>1</v>
      </c>
      <c r="K5" s="378" t="s">
        <v>1103</v>
      </c>
      <c r="L5" s="67"/>
      <c r="M5" s="67"/>
      <c r="N5" s="75"/>
      <c r="O5" s="75"/>
    </row>
    <row r="6" spans="1:15" s="369" customFormat="1" x14ac:dyDescent="0.3">
      <c r="B6" s="369" t="s">
        <v>390</v>
      </c>
      <c r="C6" s="85" t="s">
        <v>398</v>
      </c>
      <c r="E6" s="369" t="s">
        <v>2</v>
      </c>
      <c r="G6" s="62"/>
      <c r="I6" s="406"/>
      <c r="J6" s="572">
        <v>1</v>
      </c>
      <c r="K6" s="381" t="s">
        <v>1104</v>
      </c>
      <c r="L6" s="67"/>
      <c r="M6" s="67"/>
      <c r="N6" s="75"/>
      <c r="O6" s="75"/>
    </row>
    <row r="7" spans="1:15" s="369" customFormat="1" x14ac:dyDescent="0.3">
      <c r="B7" s="369" t="s">
        <v>432</v>
      </c>
      <c r="C7" s="85" t="s">
        <v>405</v>
      </c>
      <c r="E7" s="369" t="s">
        <v>3</v>
      </c>
      <c r="G7" s="369" t="str">
        <f>'Documentation Main Sheet'!I6</f>
        <v>Jireh Peng</v>
      </c>
      <c r="I7" s="66"/>
      <c r="J7" s="573">
        <v>1</v>
      </c>
      <c r="K7" s="378" t="s">
        <v>1105</v>
      </c>
      <c r="L7" s="67"/>
      <c r="M7" s="67"/>
      <c r="N7" s="75"/>
      <c r="O7" s="75"/>
    </row>
    <row r="8" spans="1:15" s="369" customFormat="1" x14ac:dyDescent="0.3">
      <c r="B8" s="369" t="s">
        <v>952</v>
      </c>
      <c r="C8" s="85" t="s">
        <v>953</v>
      </c>
      <c r="G8" s="381"/>
      <c r="I8" s="381"/>
      <c r="J8" s="796">
        <v>1</v>
      </c>
      <c r="K8" s="369" t="s">
        <v>1396</v>
      </c>
      <c r="N8" s="75"/>
      <c r="O8" s="75"/>
    </row>
    <row r="9" spans="1:15" s="369" customFormat="1" x14ac:dyDescent="0.3">
      <c r="G9" s="66"/>
      <c r="I9" s="66"/>
      <c r="N9" s="75"/>
      <c r="O9" s="75"/>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P32"/>
  <sheetViews>
    <sheetView zoomScale="85" zoomScaleNormal="85" workbookViewId="0"/>
  </sheetViews>
  <sheetFormatPr defaultColWidth="9.109375" defaultRowHeight="13.8" x14ac:dyDescent="0.3"/>
  <cols>
    <col min="1" max="1" width="3.6640625" style="369" customWidth="1"/>
    <col min="2" max="2" width="22.109375" style="85" bestFit="1" customWidth="1"/>
    <col min="3" max="3" width="36.5546875" style="371" bestFit="1" customWidth="1"/>
    <col min="4" max="4" width="14.33203125" style="371" bestFit="1" customWidth="1"/>
    <col min="5" max="5" width="2.6640625" style="378" customWidth="1"/>
    <col min="6" max="6" width="28.109375" style="378" bestFit="1" customWidth="1"/>
    <col min="7" max="7" width="2.6640625" style="378" customWidth="1"/>
    <col min="8" max="8" width="23.6640625" style="372" bestFit="1" customWidth="1"/>
    <col min="9" max="9" width="2.6640625" style="378" customWidth="1"/>
    <col min="10" max="10" width="28.6640625" style="372" customWidth="1"/>
    <col min="11" max="11" width="2.6640625" style="378" customWidth="1"/>
    <col min="12" max="12" width="26.44140625" style="378" bestFit="1" customWidth="1"/>
    <col min="13" max="13" width="2.6640625" style="378" customWidth="1"/>
    <col min="14" max="14" width="25.88671875" style="378" customWidth="1"/>
    <col min="15" max="15" width="2.6640625" style="371" customWidth="1"/>
    <col min="16" max="16" width="10.33203125" style="378" bestFit="1" customWidth="1"/>
    <col min="17" max="16384" width="9.109375" style="378"/>
  </cols>
  <sheetData>
    <row r="1" spans="1:16" x14ac:dyDescent="0.3">
      <c r="A1" s="67"/>
      <c r="B1" s="67"/>
      <c r="C1" s="67"/>
      <c r="D1" s="67"/>
      <c r="E1" s="67"/>
      <c r="F1" s="67"/>
      <c r="G1" s="67"/>
      <c r="H1" s="72"/>
      <c r="I1" s="67"/>
      <c r="J1" s="72"/>
      <c r="K1" s="67"/>
      <c r="L1" s="67"/>
      <c r="M1" s="67"/>
      <c r="N1" s="67"/>
      <c r="O1" s="67"/>
      <c r="P1" s="67"/>
    </row>
    <row r="2" spans="1:16" s="369" customFormat="1" x14ac:dyDescent="0.3">
      <c r="B2" s="567" t="s">
        <v>5</v>
      </c>
      <c r="C2" s="567"/>
      <c r="D2" s="567"/>
      <c r="E2" s="574"/>
      <c r="F2" s="567" t="s">
        <v>6</v>
      </c>
      <c r="H2" s="66"/>
      <c r="J2" s="66"/>
      <c r="K2" s="567"/>
      <c r="L2" s="568" t="s">
        <v>1101</v>
      </c>
      <c r="M2" s="76"/>
      <c r="P2" s="76"/>
    </row>
    <row r="3" spans="1:16" s="369" customFormat="1" x14ac:dyDescent="0.3">
      <c r="B3" s="369" t="s">
        <v>0</v>
      </c>
      <c r="C3" s="89" t="s">
        <v>1091</v>
      </c>
      <c r="F3" s="369" t="s">
        <v>8</v>
      </c>
      <c r="H3" s="65"/>
      <c r="J3" s="405"/>
      <c r="K3" s="136"/>
      <c r="L3" s="369" t="s">
        <v>1106</v>
      </c>
    </row>
    <row r="4" spans="1:16" s="369" customFormat="1" x14ac:dyDescent="0.3">
      <c r="B4" s="369" t="s">
        <v>1</v>
      </c>
      <c r="C4" s="369" t="str">
        <f>C3&amp;".cibd16"</f>
        <v>050006S-RetlMed-Run16.cibd16</v>
      </c>
      <c r="F4" s="369" t="s">
        <v>110</v>
      </c>
      <c r="H4" s="369" t="str">
        <f>'Documentation Main Sheet'!I3</f>
        <v>Release package</v>
      </c>
      <c r="J4" s="405"/>
      <c r="K4" s="569"/>
      <c r="L4" s="369" t="s">
        <v>1102</v>
      </c>
    </row>
    <row r="5" spans="1:16" s="369" customFormat="1" x14ac:dyDescent="0.3">
      <c r="B5" s="369" t="s">
        <v>54</v>
      </c>
      <c r="C5" s="369" t="s">
        <v>56</v>
      </c>
      <c r="F5" s="369" t="s">
        <v>7</v>
      </c>
      <c r="H5" s="369" t="str">
        <f>'Documentation Main Sheet'!I4</f>
        <v>CBECC-Com 209.1.0 release</v>
      </c>
      <c r="J5" s="405"/>
      <c r="K5" s="571">
        <v>1</v>
      </c>
      <c r="L5" s="378" t="s">
        <v>1103</v>
      </c>
    </row>
    <row r="6" spans="1:16" s="369" customFormat="1" x14ac:dyDescent="0.3">
      <c r="B6" s="369" t="s">
        <v>390</v>
      </c>
      <c r="C6" s="369" t="s">
        <v>406</v>
      </c>
      <c r="F6" s="369" t="s">
        <v>2</v>
      </c>
      <c r="H6" s="62"/>
      <c r="J6" s="405"/>
      <c r="K6" s="582">
        <v>1</v>
      </c>
      <c r="L6" s="381" t="s">
        <v>1104</v>
      </c>
    </row>
    <row r="7" spans="1:16" s="369" customFormat="1" x14ac:dyDescent="0.3">
      <c r="B7" s="369" t="s">
        <v>432</v>
      </c>
      <c r="C7" s="369" t="s">
        <v>405</v>
      </c>
      <c r="F7" s="369" t="s">
        <v>3</v>
      </c>
      <c r="H7" s="369" t="str">
        <f>'Documentation Main Sheet'!I6</f>
        <v>Jireh Peng</v>
      </c>
      <c r="J7" s="405"/>
      <c r="K7" s="583">
        <v>1</v>
      </c>
      <c r="L7" s="378" t="s">
        <v>1105</v>
      </c>
    </row>
    <row r="8" spans="1:16" s="369" customFormat="1" x14ac:dyDescent="0.3">
      <c r="B8" s="369" t="s">
        <v>952</v>
      </c>
      <c r="C8" s="85" t="s">
        <v>953</v>
      </c>
      <c r="H8" s="381"/>
      <c r="J8" s="381"/>
      <c r="K8" s="796">
        <v>1</v>
      </c>
      <c r="L8" s="369" t="s">
        <v>1396</v>
      </c>
    </row>
    <row r="9" spans="1:16" s="369" customFormat="1" x14ac:dyDescent="0.3">
      <c r="H9" s="66"/>
      <c r="J9" s="66"/>
    </row>
    <row r="10" spans="1:16" s="87" customFormat="1" x14ac:dyDescent="0.3">
      <c r="A10" s="288"/>
      <c r="B10" s="341" t="s">
        <v>37</v>
      </c>
      <c r="C10" s="288"/>
      <c r="D10" s="288"/>
      <c r="E10" s="288"/>
      <c r="F10" s="288"/>
      <c r="G10" s="288"/>
      <c r="H10" s="288"/>
      <c r="I10" s="288"/>
      <c r="J10" s="288"/>
      <c r="K10" s="288"/>
      <c r="L10" s="288"/>
      <c r="M10" s="288"/>
      <c r="N10" s="288"/>
      <c r="O10" s="369"/>
      <c r="P10" s="369"/>
    </row>
    <row r="11" spans="1:16" s="82" customFormat="1" x14ac:dyDescent="0.3">
      <c r="A11" s="26"/>
      <c r="B11" s="28" t="s">
        <v>114</v>
      </c>
      <c r="E11" s="84"/>
      <c r="G11" s="84"/>
      <c r="I11" s="84"/>
      <c r="K11" s="84"/>
      <c r="M11" s="84"/>
      <c r="O11" s="369"/>
      <c r="P11" s="369"/>
    </row>
    <row r="12" spans="1:16" s="82" customFormat="1" x14ac:dyDescent="0.3">
      <c r="B12" s="77" t="s">
        <v>212</v>
      </c>
      <c r="E12" s="84"/>
      <c r="G12" s="84"/>
      <c r="I12" s="84"/>
      <c r="K12" s="84"/>
      <c r="M12" s="84"/>
      <c r="O12" s="369"/>
      <c r="P12" s="369"/>
    </row>
    <row r="13" spans="1:16" s="77" customFormat="1" ht="38.25" customHeight="1" x14ac:dyDescent="0.3">
      <c r="B13" s="108" t="s">
        <v>138</v>
      </c>
      <c r="C13" s="116" t="s">
        <v>190</v>
      </c>
      <c r="D13" s="116" t="s">
        <v>601</v>
      </c>
      <c r="E13" s="280"/>
      <c r="F13" s="168" t="s">
        <v>597</v>
      </c>
      <c r="G13" s="280"/>
      <c r="H13" s="168" t="s">
        <v>522</v>
      </c>
      <c r="I13" s="280"/>
      <c r="J13" s="168" t="s">
        <v>524</v>
      </c>
      <c r="K13" s="280"/>
      <c r="L13" s="110" t="s">
        <v>602</v>
      </c>
      <c r="M13" s="80"/>
      <c r="N13" s="78"/>
      <c r="O13" s="369"/>
      <c r="P13" s="369"/>
    </row>
    <row r="14" spans="1:16" s="369" customFormat="1" ht="14.4" thickBot="1" x14ac:dyDescent="0.35">
      <c r="B14" s="100" t="s">
        <v>213</v>
      </c>
      <c r="C14" s="117"/>
      <c r="D14" s="117"/>
      <c r="E14" s="100"/>
      <c r="F14" s="524" t="s">
        <v>970</v>
      </c>
      <c r="G14" s="100"/>
      <c r="H14" s="524" t="s">
        <v>970</v>
      </c>
      <c r="I14" s="100"/>
      <c r="J14" s="215" t="s">
        <v>149</v>
      </c>
      <c r="K14" s="100"/>
      <c r="L14" s="101" t="s">
        <v>320</v>
      </c>
      <c r="M14" s="75"/>
      <c r="N14" s="75"/>
    </row>
    <row r="15" spans="1:16" s="369" customFormat="1" ht="28.2" thickTop="1" x14ac:dyDescent="0.3">
      <c r="B15" s="124" t="s">
        <v>207</v>
      </c>
      <c r="C15" s="85" t="s">
        <v>189</v>
      </c>
      <c r="D15" s="31">
        <v>4089.12</v>
      </c>
      <c r="E15" s="534"/>
      <c r="F15" s="827">
        <v>0.6</v>
      </c>
      <c r="G15" s="532" t="s">
        <v>14</v>
      </c>
      <c r="H15" s="533" t="s">
        <v>14</v>
      </c>
      <c r="I15" s="349"/>
      <c r="J15" s="828">
        <v>0.6</v>
      </c>
      <c r="K15" s="532" t="s">
        <v>14</v>
      </c>
      <c r="L15" s="533" t="s">
        <v>14</v>
      </c>
      <c r="M15" s="64"/>
      <c r="N15" s="372"/>
    </row>
    <row r="16" spans="1:16" s="369" customFormat="1" ht="27.6" x14ac:dyDescent="0.3">
      <c r="B16" s="124" t="s">
        <v>208</v>
      </c>
      <c r="C16" s="85" t="s">
        <v>116</v>
      </c>
      <c r="D16" s="31">
        <v>17227.400000000001</v>
      </c>
      <c r="E16" s="339"/>
      <c r="F16" s="829">
        <v>1.2</v>
      </c>
      <c r="G16" s="380" t="s">
        <v>14</v>
      </c>
      <c r="H16" s="283" t="s">
        <v>14</v>
      </c>
      <c r="I16" s="136"/>
      <c r="J16" s="198">
        <v>1.2</v>
      </c>
      <c r="K16" s="380" t="s">
        <v>14</v>
      </c>
      <c r="L16" s="283" t="s">
        <v>14</v>
      </c>
      <c r="M16" s="64"/>
      <c r="N16" s="372"/>
    </row>
    <row r="17" spans="1:16" x14ac:dyDescent="0.3">
      <c r="B17" s="124" t="s">
        <v>209</v>
      </c>
      <c r="C17" s="85" t="s">
        <v>119</v>
      </c>
      <c r="D17" s="31">
        <v>129.167</v>
      </c>
      <c r="E17" s="339"/>
      <c r="F17" s="829">
        <v>0.95</v>
      </c>
      <c r="G17" s="380" t="s">
        <v>14</v>
      </c>
      <c r="H17" s="283" t="s">
        <v>14</v>
      </c>
      <c r="I17" s="136"/>
      <c r="J17" s="198">
        <v>1.5</v>
      </c>
      <c r="K17" s="380" t="s">
        <v>14</v>
      </c>
      <c r="L17" s="283" t="s">
        <v>14</v>
      </c>
      <c r="M17" s="64"/>
      <c r="N17" s="372"/>
      <c r="O17" s="369"/>
      <c r="P17" s="369"/>
    </row>
    <row r="18" spans="1:16" s="369" customFormat="1" ht="27.6" x14ac:dyDescent="0.3">
      <c r="B18" s="124" t="s">
        <v>210</v>
      </c>
      <c r="C18" s="85" t="s">
        <v>116</v>
      </c>
      <c r="D18" s="31">
        <v>1623.3</v>
      </c>
      <c r="E18" s="339"/>
      <c r="F18" s="829">
        <v>1.6</v>
      </c>
      <c r="G18" s="339"/>
      <c r="H18" s="283">
        <v>0.75</v>
      </c>
      <c r="I18" s="262"/>
      <c r="J18" s="198">
        <v>2.35</v>
      </c>
      <c r="K18" s="136"/>
      <c r="L18" s="197">
        <v>810</v>
      </c>
      <c r="M18" s="64"/>
      <c r="N18" s="372"/>
    </row>
    <row r="19" spans="1:16" s="369" customFormat="1" ht="27.6" x14ac:dyDescent="0.3">
      <c r="B19" s="175" t="s">
        <v>211</v>
      </c>
      <c r="C19" s="150" t="s">
        <v>116</v>
      </c>
      <c r="D19" s="162">
        <v>1623.3</v>
      </c>
      <c r="E19" s="340"/>
      <c r="F19" s="830">
        <v>1.2</v>
      </c>
      <c r="G19" s="279" t="s">
        <v>14</v>
      </c>
      <c r="H19" s="281" t="s">
        <v>14</v>
      </c>
      <c r="I19" s="153"/>
      <c r="J19" s="235">
        <v>1.2</v>
      </c>
      <c r="K19" s="279" t="s">
        <v>14</v>
      </c>
      <c r="L19" s="281" t="s">
        <v>14</v>
      </c>
      <c r="M19" s="64"/>
      <c r="N19" s="372"/>
    </row>
    <row r="20" spans="1:16" s="369" customFormat="1" x14ac:dyDescent="0.3">
      <c r="B20" s="77"/>
      <c r="C20" s="29"/>
      <c r="D20" s="29"/>
    </row>
    <row r="21" spans="1:16" s="369" customFormat="1" x14ac:dyDescent="0.3">
      <c r="B21" s="77"/>
      <c r="C21" s="29"/>
      <c r="D21" s="29"/>
    </row>
    <row r="22" spans="1:16" s="86" customFormat="1" x14ac:dyDescent="0.3">
      <c r="A22" s="290"/>
      <c r="B22" s="342" t="s">
        <v>48</v>
      </c>
      <c r="C22" s="290"/>
      <c r="D22" s="290"/>
      <c r="E22" s="290"/>
      <c r="F22" s="290"/>
      <c r="G22" s="290"/>
      <c r="H22" s="290"/>
      <c r="I22" s="290"/>
      <c r="J22" s="290"/>
      <c r="K22" s="290"/>
      <c r="L22" s="290"/>
      <c r="M22" s="290"/>
      <c r="N22" s="290"/>
      <c r="O22" s="369"/>
      <c r="P22" s="369"/>
    </row>
    <row r="23" spans="1:16" s="82" customFormat="1" x14ac:dyDescent="0.3">
      <c r="A23" s="71"/>
      <c r="B23" s="24" t="s">
        <v>114</v>
      </c>
      <c r="E23" s="84"/>
      <c r="G23" s="84"/>
      <c r="I23" s="84"/>
      <c r="K23" s="84"/>
      <c r="M23" s="84"/>
      <c r="O23" s="369"/>
      <c r="P23" s="369"/>
    </row>
    <row r="24" spans="1:16" s="82" customFormat="1" x14ac:dyDescent="0.3">
      <c r="B24" s="77" t="s">
        <v>212</v>
      </c>
      <c r="E24" s="84"/>
      <c r="G24" s="84"/>
      <c r="I24" s="84"/>
      <c r="K24" s="84"/>
      <c r="M24" s="84"/>
      <c r="O24" s="369"/>
      <c r="P24" s="369"/>
    </row>
    <row r="25" spans="1:16" s="77" customFormat="1" ht="38.25" customHeight="1" x14ac:dyDescent="0.3">
      <c r="B25" s="108" t="s">
        <v>138</v>
      </c>
      <c r="C25" s="116" t="s">
        <v>190</v>
      </c>
      <c r="D25" s="116" t="s">
        <v>601</v>
      </c>
      <c r="E25" s="280"/>
      <c r="F25" s="110" t="s">
        <v>597</v>
      </c>
      <c r="G25" s="223"/>
      <c r="H25" s="168" t="s">
        <v>522</v>
      </c>
      <c r="I25" s="280"/>
      <c r="J25" s="110" t="s">
        <v>524</v>
      </c>
      <c r="K25" s="223"/>
      <c r="L25" s="110" t="s">
        <v>602</v>
      </c>
      <c r="M25" s="80"/>
      <c r="N25" s="78"/>
      <c r="O25" s="369"/>
      <c r="P25" s="369"/>
    </row>
    <row r="26" spans="1:16" s="369" customFormat="1" ht="14.4" thickBot="1" x14ac:dyDescent="0.35">
      <c r="B26" s="100" t="s">
        <v>213</v>
      </c>
      <c r="C26" s="117"/>
      <c r="D26" s="117"/>
      <c r="E26" s="100"/>
      <c r="F26" s="524" t="s">
        <v>970</v>
      </c>
      <c r="G26" s="215"/>
      <c r="H26" s="524" t="s">
        <v>970</v>
      </c>
      <c r="I26" s="100"/>
      <c r="J26" s="101" t="s">
        <v>149</v>
      </c>
      <c r="K26" s="215"/>
      <c r="L26" s="101" t="s">
        <v>320</v>
      </c>
      <c r="M26" s="75"/>
      <c r="N26" s="75"/>
    </row>
    <row r="27" spans="1:16" s="369" customFormat="1" ht="28.2" thickTop="1" x14ac:dyDescent="0.3">
      <c r="B27" s="124" t="s">
        <v>207</v>
      </c>
      <c r="C27" s="85" t="s">
        <v>189</v>
      </c>
      <c r="D27" s="31">
        <v>4089.12</v>
      </c>
      <c r="E27" s="339"/>
      <c r="F27" s="829">
        <v>0.6</v>
      </c>
      <c r="G27" s="97" t="s">
        <v>14</v>
      </c>
      <c r="H27" s="97" t="s">
        <v>14</v>
      </c>
      <c r="I27" s="136"/>
      <c r="J27" s="198">
        <v>0.6</v>
      </c>
      <c r="K27" s="97" t="s">
        <v>14</v>
      </c>
      <c r="L27" s="283" t="s">
        <v>14</v>
      </c>
      <c r="M27" s="64"/>
      <c r="N27" s="372"/>
    </row>
    <row r="28" spans="1:16" s="369" customFormat="1" ht="27.6" x14ac:dyDescent="0.3">
      <c r="B28" s="124" t="s">
        <v>208</v>
      </c>
      <c r="C28" s="85" t="s">
        <v>116</v>
      </c>
      <c r="D28" s="31">
        <v>17227.400000000001</v>
      </c>
      <c r="E28" s="339"/>
      <c r="F28" s="829">
        <v>1.2</v>
      </c>
      <c r="G28" s="97" t="s">
        <v>14</v>
      </c>
      <c r="H28" s="97" t="s">
        <v>14</v>
      </c>
      <c r="I28" s="136"/>
      <c r="J28" s="198">
        <v>1.2</v>
      </c>
      <c r="K28" s="97" t="s">
        <v>14</v>
      </c>
      <c r="L28" s="283" t="s">
        <v>14</v>
      </c>
      <c r="M28" s="64"/>
      <c r="N28" s="372"/>
    </row>
    <row r="29" spans="1:16" x14ac:dyDescent="0.3">
      <c r="B29" s="124" t="s">
        <v>209</v>
      </c>
      <c r="C29" s="85" t="s">
        <v>119</v>
      </c>
      <c r="D29" s="31">
        <v>129.167</v>
      </c>
      <c r="E29" s="339"/>
      <c r="F29" s="829">
        <v>0.95</v>
      </c>
      <c r="G29" s="97" t="s">
        <v>14</v>
      </c>
      <c r="H29" s="97" t="s">
        <v>14</v>
      </c>
      <c r="I29" s="136"/>
      <c r="J29" s="198">
        <v>0.95</v>
      </c>
      <c r="K29" s="97" t="s">
        <v>14</v>
      </c>
      <c r="L29" s="283" t="s">
        <v>14</v>
      </c>
      <c r="M29" s="64"/>
      <c r="N29" s="372"/>
      <c r="O29" s="369"/>
      <c r="P29" s="369"/>
    </row>
    <row r="30" spans="1:16" s="369" customFormat="1" ht="27.6" x14ac:dyDescent="0.3">
      <c r="B30" s="124" t="s">
        <v>210</v>
      </c>
      <c r="C30" s="85" t="s">
        <v>116</v>
      </c>
      <c r="D30" s="31">
        <v>1623.3</v>
      </c>
      <c r="E30" s="339"/>
      <c r="F30" s="829">
        <v>1.34</v>
      </c>
      <c r="G30" s="337"/>
      <c r="H30" s="688">
        <f>1*0.77*L30/D30</f>
        <v>0.38421733505821476</v>
      </c>
      <c r="I30" s="136"/>
      <c r="J30" s="198">
        <f>F30+H30</f>
        <v>1.7242173350582148</v>
      </c>
      <c r="K30" s="336"/>
      <c r="L30" s="462">
        <v>810</v>
      </c>
      <c r="M30" s="64"/>
      <c r="N30" s="372"/>
    </row>
    <row r="31" spans="1:16" s="369" customFormat="1" ht="27.6" x14ac:dyDescent="0.3">
      <c r="B31" s="175" t="s">
        <v>211</v>
      </c>
      <c r="C31" s="150" t="s">
        <v>116</v>
      </c>
      <c r="D31" s="162">
        <v>1623.3</v>
      </c>
      <c r="E31" s="340"/>
      <c r="F31" s="830">
        <v>1.2</v>
      </c>
      <c r="G31" s="282" t="s">
        <v>14</v>
      </c>
      <c r="H31" s="282" t="s">
        <v>14</v>
      </c>
      <c r="I31" s="153"/>
      <c r="J31" s="235">
        <v>1.2</v>
      </c>
      <c r="K31" s="282" t="s">
        <v>14</v>
      </c>
      <c r="L31" s="281" t="s">
        <v>14</v>
      </c>
      <c r="M31" s="64"/>
      <c r="N31" s="372"/>
    </row>
    <row r="32" spans="1:16" s="369" customFormat="1" x14ac:dyDescent="0.3">
      <c r="B32" s="77"/>
      <c r="C32" s="29"/>
      <c r="D32" s="29"/>
      <c r="F32" s="610"/>
      <c r="M32" s="64"/>
      <c r="N32" s="372"/>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sheetPr>
  <dimension ref="A1:AF200"/>
  <sheetViews>
    <sheetView zoomScale="85" zoomScaleNormal="85" workbookViewId="0"/>
  </sheetViews>
  <sheetFormatPr defaultColWidth="9.109375" defaultRowHeight="14.4" x14ac:dyDescent="0.3"/>
  <cols>
    <col min="1" max="1" width="3.6640625" style="369" customWidth="1"/>
    <col min="2" max="2" width="27" style="369" bestFit="1" customWidth="1"/>
    <col min="3" max="3" width="22.6640625" style="85" customWidth="1"/>
    <col min="4" max="4" width="11.6640625" style="369" bestFit="1" customWidth="1"/>
    <col min="5" max="5" width="2.6640625" style="76" customWidth="1"/>
    <col min="6" max="6" width="27.5546875" style="371" customWidth="1"/>
    <col min="7" max="7" width="2.6640625" style="76" customWidth="1"/>
    <col min="8" max="8" width="21.6640625" style="29" customWidth="1"/>
    <col min="9" max="9" width="2.6640625" style="369" customWidth="1"/>
    <col min="10" max="10" width="24.109375" style="85" bestFit="1" customWidth="1"/>
    <col min="11" max="11" width="2.6640625" style="369" customWidth="1"/>
    <col min="12" max="12" width="26.5546875" style="85" customWidth="1"/>
    <col min="13" max="13" width="2.6640625" style="369" customWidth="1"/>
    <col min="14" max="14" width="21" style="85" customWidth="1"/>
    <col min="15" max="15" width="2.6640625" style="369" customWidth="1"/>
    <col min="16" max="16" width="27.6640625" style="85" customWidth="1"/>
    <col min="17" max="17" width="2.6640625" style="369" customWidth="1"/>
    <col min="18" max="18" width="19.44140625" style="85" customWidth="1"/>
    <col min="19" max="19" width="2.6640625" style="369" customWidth="1"/>
    <col min="20" max="20" width="17" style="85" customWidth="1"/>
    <col min="21" max="21" width="2.6640625" style="369" customWidth="1"/>
    <col min="22" max="22" width="20" style="397" customWidth="1"/>
    <col min="23" max="23" width="2.6640625" style="397" customWidth="1"/>
    <col min="24" max="24" width="23.44140625" style="397" customWidth="1"/>
    <col min="25" max="16384" width="9.109375" style="397"/>
  </cols>
  <sheetData>
    <row r="1" spans="1:24" ht="12.75" customHeight="1" x14ac:dyDescent="0.3"/>
    <row r="2" spans="1:24" x14ac:dyDescent="0.3">
      <c r="B2" s="567" t="s">
        <v>5</v>
      </c>
      <c r="C2" s="568"/>
      <c r="D2" s="567"/>
      <c r="E2" s="574"/>
      <c r="F2" s="568" t="s">
        <v>6</v>
      </c>
      <c r="G2" s="369"/>
      <c r="K2" s="567"/>
      <c r="L2" s="568" t="s">
        <v>1101</v>
      </c>
    </row>
    <row r="3" spans="1:24" ht="12.75" customHeight="1" x14ac:dyDescent="0.3">
      <c r="B3" s="369" t="s">
        <v>0</v>
      </c>
      <c r="C3" s="65" t="s">
        <v>1092</v>
      </c>
      <c r="E3" s="369"/>
      <c r="F3" s="85" t="s">
        <v>8</v>
      </c>
      <c r="G3" s="369"/>
      <c r="H3" s="65"/>
      <c r="K3" s="136"/>
      <c r="L3" s="369" t="s">
        <v>1106</v>
      </c>
    </row>
    <row r="4" spans="1:24" ht="12.75" customHeight="1" x14ac:dyDescent="0.3">
      <c r="B4" s="369" t="s">
        <v>1</v>
      </c>
      <c r="C4" s="85" t="str">
        <f>C3&amp;".cibd16"</f>
        <v>030006S-OffMed-Run19.cibd16</v>
      </c>
      <c r="F4" s="85" t="s">
        <v>110</v>
      </c>
      <c r="H4" s="394" t="str">
        <f>'Documentation Main Sheet'!I3</f>
        <v>Release package</v>
      </c>
      <c r="I4" s="62"/>
      <c r="K4" s="569"/>
      <c r="L4" s="369" t="s">
        <v>1102</v>
      </c>
      <c r="T4" s="9"/>
    </row>
    <row r="5" spans="1:24" ht="12.75" customHeight="1" x14ac:dyDescent="0.3">
      <c r="B5" s="369" t="s">
        <v>54</v>
      </c>
      <c r="C5" s="85" t="s">
        <v>56</v>
      </c>
      <c r="F5" s="85" t="s">
        <v>7</v>
      </c>
      <c r="H5" s="394" t="str">
        <f>'Documentation Main Sheet'!I4</f>
        <v>CBECC-Com 209.1.0 release</v>
      </c>
      <c r="I5" s="62"/>
      <c r="K5" s="571">
        <v>1</v>
      </c>
      <c r="L5" s="378" t="s">
        <v>1103</v>
      </c>
      <c r="T5" s="9"/>
    </row>
    <row r="6" spans="1:24" ht="12.75" customHeight="1" x14ac:dyDescent="0.3">
      <c r="B6" s="369" t="s">
        <v>390</v>
      </c>
      <c r="C6" s="85" t="s">
        <v>395</v>
      </c>
      <c r="F6" s="85" t="s">
        <v>2</v>
      </c>
      <c r="H6" s="394"/>
      <c r="J6" s="9"/>
      <c r="K6" s="582">
        <v>1</v>
      </c>
      <c r="L6" s="381" t="s">
        <v>1104</v>
      </c>
    </row>
    <row r="7" spans="1:24" ht="12.75" customHeight="1" x14ac:dyDescent="0.3">
      <c r="B7" s="369" t="s">
        <v>432</v>
      </c>
      <c r="C7" s="85" t="s">
        <v>648</v>
      </c>
      <c r="F7" s="85" t="s">
        <v>3</v>
      </c>
      <c r="H7" s="396" t="str">
        <f>'Documentation Main Sheet'!I6</f>
        <v>Jireh Peng</v>
      </c>
      <c r="K7" s="583">
        <v>1</v>
      </c>
      <c r="L7" s="378" t="s">
        <v>1105</v>
      </c>
    </row>
    <row r="8" spans="1:24" ht="12.75" customHeight="1" x14ac:dyDescent="0.3">
      <c r="B8" s="369" t="s">
        <v>952</v>
      </c>
      <c r="C8" s="85" t="s">
        <v>953</v>
      </c>
      <c r="F8" s="369"/>
      <c r="G8" s="369"/>
      <c r="H8" s="369"/>
      <c r="K8" s="796">
        <v>1</v>
      </c>
      <c r="L8" s="369" t="s">
        <v>1396</v>
      </c>
    </row>
    <row r="9" spans="1:24" x14ac:dyDescent="0.3">
      <c r="F9" s="369"/>
      <c r="G9" s="369"/>
      <c r="H9" s="369"/>
    </row>
    <row r="10" spans="1:24" x14ac:dyDescent="0.3">
      <c r="A10" s="286"/>
      <c r="B10" s="287" t="s">
        <v>37</v>
      </c>
      <c r="C10" s="288"/>
      <c r="D10" s="286"/>
      <c r="E10" s="286"/>
      <c r="F10" s="289"/>
      <c r="G10" s="286"/>
      <c r="H10" s="288"/>
      <c r="I10" s="286"/>
      <c r="J10" s="288"/>
      <c r="K10" s="286"/>
      <c r="L10" s="288"/>
      <c r="M10" s="286"/>
      <c r="N10" s="288"/>
      <c r="O10" s="286"/>
      <c r="P10" s="288"/>
      <c r="Q10" s="286"/>
      <c r="R10" s="288"/>
      <c r="S10" s="286"/>
      <c r="T10" s="288"/>
      <c r="U10" s="286"/>
      <c r="V10" s="288"/>
      <c r="W10" s="286"/>
      <c r="X10" s="288"/>
    </row>
    <row r="11" spans="1:24" x14ac:dyDescent="0.3">
      <c r="A11" s="26"/>
      <c r="B11" s="28" t="s">
        <v>114</v>
      </c>
      <c r="C11" s="70"/>
      <c r="D11" s="26"/>
      <c r="E11" s="26"/>
      <c r="F11" s="460"/>
      <c r="G11" s="26"/>
      <c r="H11" s="70"/>
      <c r="I11" s="26"/>
      <c r="J11" s="70"/>
      <c r="K11" s="26"/>
      <c r="L11" s="70"/>
      <c r="M11" s="26"/>
      <c r="N11" s="70"/>
      <c r="O11" s="26"/>
      <c r="P11" s="70"/>
      <c r="Q11" s="26"/>
      <c r="R11" s="70"/>
      <c r="S11" s="26"/>
      <c r="T11" s="70"/>
      <c r="U11" s="26"/>
      <c r="V11" s="70"/>
      <c r="W11" s="26"/>
      <c r="X11" s="70"/>
    </row>
    <row r="12" spans="1:24" s="461" customFormat="1" ht="41.4" x14ac:dyDescent="0.3">
      <c r="A12" s="86"/>
      <c r="B12" s="108" t="s">
        <v>138</v>
      </c>
      <c r="C12" s="116" t="s">
        <v>190</v>
      </c>
      <c r="D12" s="113" t="s">
        <v>601</v>
      </c>
      <c r="E12" s="280"/>
      <c r="F12" s="110" t="s">
        <v>595</v>
      </c>
      <c r="G12" s="280"/>
      <c r="H12" s="110" t="s">
        <v>124</v>
      </c>
      <c r="I12" s="86"/>
      <c r="J12" s="87"/>
      <c r="K12" s="86"/>
      <c r="L12" s="87"/>
      <c r="M12" s="86"/>
      <c r="N12" s="87"/>
      <c r="O12" s="86"/>
      <c r="P12" s="87"/>
      <c r="Q12" s="86"/>
      <c r="R12" s="87"/>
      <c r="S12" s="86"/>
      <c r="T12" s="87"/>
      <c r="U12" s="86"/>
    </row>
    <row r="13" spans="1:24" s="461" customFormat="1" ht="15" thickBot="1" x14ac:dyDescent="0.35">
      <c r="A13" s="86"/>
      <c r="B13" s="173" t="s">
        <v>213</v>
      </c>
      <c r="C13" s="171"/>
      <c r="D13" s="376"/>
      <c r="E13" s="320"/>
      <c r="F13" s="117" t="s">
        <v>151</v>
      </c>
      <c r="G13" s="320"/>
      <c r="H13" s="143" t="s">
        <v>152</v>
      </c>
      <c r="I13" s="86"/>
      <c r="J13" s="87"/>
      <c r="K13" s="86"/>
      <c r="L13" s="87"/>
      <c r="M13" s="86"/>
      <c r="N13" s="87"/>
      <c r="O13" s="86"/>
      <c r="P13" s="87"/>
      <c r="Q13" s="86"/>
      <c r="R13" s="87"/>
      <c r="S13" s="86"/>
      <c r="T13" s="87"/>
      <c r="U13" s="86"/>
    </row>
    <row r="14" spans="1:24" s="41" customFormat="1" thickTop="1" x14ac:dyDescent="0.3">
      <c r="A14" s="86"/>
      <c r="B14" s="135" t="s">
        <v>85</v>
      </c>
      <c r="C14" s="371" t="s">
        <v>789</v>
      </c>
      <c r="D14" s="378">
        <v>10586.7</v>
      </c>
      <c r="E14" s="418"/>
      <c r="F14" s="831">
        <v>20</v>
      </c>
      <c r="G14" s="418"/>
      <c r="H14" s="365" t="s">
        <v>790</v>
      </c>
      <c r="I14" s="86"/>
      <c r="J14" s="87"/>
      <c r="K14" s="86"/>
      <c r="L14" s="87"/>
      <c r="M14" s="86"/>
      <c r="N14" s="87"/>
      <c r="O14" s="86"/>
      <c r="P14" s="87"/>
      <c r="Q14" s="86"/>
      <c r="R14" s="87"/>
      <c r="S14" s="86"/>
      <c r="T14" s="87"/>
      <c r="U14" s="86"/>
    </row>
    <row r="15" spans="1:24" s="41" customFormat="1" ht="27.6" x14ac:dyDescent="0.3">
      <c r="A15" s="86"/>
      <c r="B15" s="135" t="s">
        <v>87</v>
      </c>
      <c r="C15" s="85" t="s">
        <v>117</v>
      </c>
      <c r="D15" s="378">
        <v>2231.7600000000002</v>
      </c>
      <c r="E15" s="419"/>
      <c r="F15" s="831">
        <v>1.5</v>
      </c>
      <c r="G15" s="419"/>
      <c r="H15" s="365" t="s">
        <v>134</v>
      </c>
      <c r="I15" s="86"/>
      <c r="J15" s="87"/>
      <c r="K15" s="86"/>
      <c r="L15" s="87"/>
      <c r="M15" s="86"/>
      <c r="N15" s="87"/>
      <c r="O15" s="86"/>
      <c r="P15" s="87"/>
      <c r="Q15" s="86"/>
      <c r="R15" s="87"/>
      <c r="S15" s="86"/>
      <c r="T15" s="87"/>
      <c r="U15" s="86"/>
    </row>
    <row r="16" spans="1:24" s="41" customFormat="1" ht="27.6" x14ac:dyDescent="0.3">
      <c r="A16" s="86"/>
      <c r="B16" s="135" t="s">
        <v>88</v>
      </c>
      <c r="C16" s="85" t="s">
        <v>117</v>
      </c>
      <c r="D16" s="378">
        <v>1412.9</v>
      </c>
      <c r="E16" s="419"/>
      <c r="F16" s="831">
        <v>1.5</v>
      </c>
      <c r="G16" s="419"/>
      <c r="H16" s="365" t="s">
        <v>134</v>
      </c>
      <c r="I16" s="86"/>
      <c r="J16" s="87"/>
      <c r="K16" s="86"/>
      <c r="L16" s="87"/>
      <c r="M16" s="86"/>
      <c r="N16" s="87"/>
      <c r="O16" s="86"/>
      <c r="P16" s="87"/>
      <c r="Q16" s="86"/>
      <c r="R16" s="87"/>
      <c r="S16" s="86"/>
      <c r="T16" s="87"/>
      <c r="U16" s="86"/>
    </row>
    <row r="17" spans="1:21" s="41" customFormat="1" ht="27.6" x14ac:dyDescent="0.3">
      <c r="A17" s="86"/>
      <c r="B17" s="135" t="s">
        <v>89</v>
      </c>
      <c r="C17" s="85" t="s">
        <v>117</v>
      </c>
      <c r="D17" s="378">
        <v>2231.7600000000002</v>
      </c>
      <c r="E17" s="419"/>
      <c r="F17" s="831">
        <v>1.5</v>
      </c>
      <c r="G17" s="419"/>
      <c r="H17" s="365" t="s">
        <v>134</v>
      </c>
      <c r="I17" s="86"/>
      <c r="J17" s="87"/>
      <c r="K17" s="86"/>
      <c r="L17" s="87"/>
      <c r="M17" s="86"/>
      <c r="N17" s="87"/>
      <c r="O17" s="86"/>
      <c r="P17" s="87"/>
      <c r="Q17" s="86"/>
      <c r="R17" s="87"/>
      <c r="S17" s="86"/>
      <c r="T17" s="87"/>
      <c r="U17" s="86"/>
    </row>
    <row r="18" spans="1:21" s="41" customFormat="1" ht="27.6" x14ac:dyDescent="0.3">
      <c r="A18" s="86"/>
      <c r="B18" s="135" t="s">
        <v>90</v>
      </c>
      <c r="C18" s="85" t="s">
        <v>117</v>
      </c>
      <c r="D18" s="378">
        <v>1412.8</v>
      </c>
      <c r="E18" s="136"/>
      <c r="F18" s="831">
        <v>1.5</v>
      </c>
      <c r="G18" s="136"/>
      <c r="H18" s="365" t="s">
        <v>134</v>
      </c>
      <c r="I18" s="86"/>
      <c r="J18" s="87"/>
      <c r="K18" s="86"/>
      <c r="L18" s="87"/>
      <c r="M18" s="86"/>
      <c r="N18" s="87"/>
      <c r="O18" s="86"/>
      <c r="P18" s="87"/>
      <c r="Q18" s="86"/>
      <c r="R18" s="87"/>
      <c r="S18" s="86"/>
      <c r="T18" s="87"/>
      <c r="U18" s="86"/>
    </row>
    <row r="19" spans="1:21" s="41" customFormat="1" ht="27.6" x14ac:dyDescent="0.3">
      <c r="A19" s="86"/>
      <c r="B19" s="135" t="s">
        <v>160</v>
      </c>
      <c r="C19" s="371" t="s">
        <v>118</v>
      </c>
      <c r="D19" s="378">
        <v>0</v>
      </c>
      <c r="E19" s="409" t="s">
        <v>14</v>
      </c>
      <c r="F19" s="832" t="s">
        <v>14</v>
      </c>
      <c r="G19" s="409" t="s">
        <v>14</v>
      </c>
      <c r="H19" s="410" t="s">
        <v>14</v>
      </c>
      <c r="I19" s="86"/>
      <c r="J19" s="87"/>
      <c r="K19" s="86"/>
      <c r="L19" s="87"/>
      <c r="M19" s="86"/>
      <c r="N19" s="87"/>
      <c r="O19" s="86"/>
      <c r="P19" s="87"/>
      <c r="Q19" s="86"/>
      <c r="R19" s="87"/>
      <c r="S19" s="86"/>
      <c r="T19" s="87"/>
      <c r="U19" s="86"/>
    </row>
    <row r="20" spans="1:21" s="41" customFormat="1" ht="13.8" x14ac:dyDescent="0.3">
      <c r="A20" s="86"/>
      <c r="B20" s="135" t="s">
        <v>97</v>
      </c>
      <c r="C20" s="371" t="s">
        <v>789</v>
      </c>
      <c r="D20" s="378">
        <v>10586.7</v>
      </c>
      <c r="E20" s="418"/>
      <c r="F20" s="831">
        <v>20</v>
      </c>
      <c r="G20" s="418"/>
      <c r="H20" s="365" t="s">
        <v>790</v>
      </c>
      <c r="I20" s="86"/>
      <c r="J20" s="87"/>
      <c r="K20" s="86"/>
      <c r="L20" s="87"/>
      <c r="M20" s="86"/>
      <c r="N20" s="87"/>
      <c r="O20" s="86"/>
      <c r="P20" s="87"/>
      <c r="Q20" s="86"/>
      <c r="R20" s="87"/>
      <c r="S20" s="86"/>
      <c r="T20" s="87"/>
      <c r="U20" s="86"/>
    </row>
    <row r="21" spans="1:21" s="41" customFormat="1" ht="27.6" x14ac:dyDescent="0.3">
      <c r="A21" s="86"/>
      <c r="B21" s="135" t="s">
        <v>99</v>
      </c>
      <c r="C21" s="85" t="s">
        <v>117</v>
      </c>
      <c r="D21" s="378">
        <v>2231.7600000000002</v>
      </c>
      <c r="E21" s="419"/>
      <c r="F21" s="831">
        <v>1.5</v>
      </c>
      <c r="G21" s="419"/>
      <c r="H21" s="365" t="s">
        <v>134</v>
      </c>
      <c r="I21" s="86"/>
      <c r="J21" s="87"/>
      <c r="K21" s="86"/>
      <c r="L21" s="87"/>
      <c r="M21" s="86"/>
      <c r="N21" s="87"/>
      <c r="O21" s="86"/>
      <c r="P21" s="87"/>
      <c r="Q21" s="86"/>
      <c r="R21" s="87"/>
      <c r="S21" s="86"/>
      <c r="T21" s="87"/>
      <c r="U21" s="86"/>
    </row>
    <row r="22" spans="1:21" s="41" customFormat="1" ht="27.6" x14ac:dyDescent="0.3">
      <c r="A22" s="86"/>
      <c r="B22" s="135" t="s">
        <v>100</v>
      </c>
      <c r="C22" s="85" t="s">
        <v>117</v>
      </c>
      <c r="D22" s="378">
        <v>1412.9</v>
      </c>
      <c r="E22" s="419"/>
      <c r="F22" s="831">
        <v>1.5</v>
      </c>
      <c r="G22" s="419"/>
      <c r="H22" s="365" t="s">
        <v>134</v>
      </c>
      <c r="I22" s="86"/>
      <c r="J22" s="87"/>
      <c r="K22" s="86"/>
      <c r="L22" s="87"/>
      <c r="M22" s="86"/>
      <c r="N22" s="87"/>
      <c r="O22" s="86"/>
      <c r="P22" s="87"/>
      <c r="Q22" s="86"/>
      <c r="R22" s="87"/>
      <c r="S22" s="86"/>
      <c r="T22" s="87"/>
      <c r="U22" s="86"/>
    </row>
    <row r="23" spans="1:21" s="41" customFormat="1" ht="27.6" x14ac:dyDescent="0.3">
      <c r="A23" s="86"/>
      <c r="B23" s="135" t="s">
        <v>101</v>
      </c>
      <c r="C23" s="85" t="s">
        <v>117</v>
      </c>
      <c r="D23" s="378">
        <v>2231.7600000000002</v>
      </c>
      <c r="E23" s="419"/>
      <c r="F23" s="831">
        <v>1.5</v>
      </c>
      <c r="G23" s="419"/>
      <c r="H23" s="365" t="s">
        <v>134</v>
      </c>
      <c r="I23" s="86"/>
      <c r="J23" s="87"/>
      <c r="K23" s="86"/>
      <c r="L23" s="87"/>
      <c r="M23" s="86"/>
      <c r="N23" s="87"/>
      <c r="O23" s="86"/>
      <c r="P23" s="87"/>
      <c r="Q23" s="86"/>
      <c r="R23" s="87"/>
      <c r="S23" s="86"/>
      <c r="T23" s="87"/>
      <c r="U23" s="86"/>
    </row>
    <row r="24" spans="1:21" s="41" customFormat="1" ht="27.6" x14ac:dyDescent="0.3">
      <c r="A24" s="86"/>
      <c r="B24" s="135" t="s">
        <v>102</v>
      </c>
      <c r="C24" s="85" t="s">
        <v>117</v>
      </c>
      <c r="D24" s="378">
        <v>1412.8</v>
      </c>
      <c r="E24" s="136"/>
      <c r="F24" s="831">
        <v>1.5</v>
      </c>
      <c r="G24" s="136"/>
      <c r="H24" s="365" t="s">
        <v>134</v>
      </c>
      <c r="I24" s="86"/>
      <c r="J24" s="87"/>
      <c r="K24" s="86"/>
      <c r="L24" s="87"/>
      <c r="M24" s="86"/>
      <c r="N24" s="87"/>
      <c r="O24" s="86"/>
      <c r="P24" s="87"/>
      <c r="Q24" s="86"/>
      <c r="R24" s="87"/>
      <c r="S24" s="86"/>
      <c r="T24" s="87"/>
      <c r="U24" s="86"/>
    </row>
    <row r="25" spans="1:21" s="41" customFormat="1" ht="27.6" x14ac:dyDescent="0.3">
      <c r="A25" s="86"/>
      <c r="B25" s="135" t="s">
        <v>98</v>
      </c>
      <c r="C25" s="371" t="s">
        <v>118</v>
      </c>
      <c r="D25" s="378">
        <v>0</v>
      </c>
      <c r="E25" s="409" t="s">
        <v>14</v>
      </c>
      <c r="F25" s="832" t="s">
        <v>14</v>
      </c>
      <c r="G25" s="409" t="s">
        <v>14</v>
      </c>
      <c r="H25" s="410" t="s">
        <v>14</v>
      </c>
      <c r="I25" s="86"/>
      <c r="J25" s="87"/>
      <c r="K25" s="86"/>
      <c r="L25" s="87"/>
      <c r="M25" s="86"/>
      <c r="N25" s="87"/>
      <c r="O25" s="86"/>
      <c r="P25" s="87"/>
      <c r="Q25" s="86"/>
      <c r="R25" s="87"/>
      <c r="S25" s="86"/>
      <c r="T25" s="87"/>
      <c r="U25" s="86"/>
    </row>
    <row r="26" spans="1:21" s="41" customFormat="1" ht="13.8" x14ac:dyDescent="0.3">
      <c r="A26" s="86"/>
      <c r="B26" s="135" t="s">
        <v>103</v>
      </c>
      <c r="C26" s="371" t="s">
        <v>789</v>
      </c>
      <c r="D26" s="378">
        <v>10586.7</v>
      </c>
      <c r="E26" s="418"/>
      <c r="F26" s="831">
        <v>20</v>
      </c>
      <c r="G26" s="418"/>
      <c r="H26" s="365" t="s">
        <v>790</v>
      </c>
      <c r="I26" s="86"/>
      <c r="J26" s="87"/>
      <c r="K26" s="86"/>
      <c r="L26" s="87"/>
      <c r="M26" s="86"/>
      <c r="N26" s="87"/>
      <c r="O26" s="86"/>
      <c r="P26" s="87"/>
      <c r="Q26" s="86"/>
      <c r="R26" s="87"/>
      <c r="S26" s="86"/>
      <c r="T26" s="87"/>
      <c r="U26" s="86"/>
    </row>
    <row r="27" spans="1:21" s="41" customFormat="1" ht="27.6" x14ac:dyDescent="0.3">
      <c r="A27" s="86"/>
      <c r="B27" s="135" t="s">
        <v>104</v>
      </c>
      <c r="C27" s="85" t="s">
        <v>117</v>
      </c>
      <c r="D27" s="378">
        <v>2231.7600000000002</v>
      </c>
      <c r="E27" s="419"/>
      <c r="F27" s="831">
        <v>1.5</v>
      </c>
      <c r="G27" s="419"/>
      <c r="H27" s="365" t="s">
        <v>134</v>
      </c>
      <c r="I27" s="86"/>
      <c r="J27" s="87"/>
      <c r="K27" s="86"/>
      <c r="L27" s="87"/>
      <c r="M27" s="86"/>
      <c r="N27" s="87"/>
      <c r="O27" s="86"/>
      <c r="P27" s="87"/>
      <c r="Q27" s="86"/>
      <c r="R27" s="87"/>
      <c r="S27" s="86"/>
      <c r="T27" s="87"/>
      <c r="U27" s="86"/>
    </row>
    <row r="28" spans="1:21" s="41" customFormat="1" ht="27.6" x14ac:dyDescent="0.3">
      <c r="A28" s="86"/>
      <c r="B28" s="135" t="s">
        <v>105</v>
      </c>
      <c r="C28" s="85" t="s">
        <v>117</v>
      </c>
      <c r="D28" s="378">
        <v>1412.9</v>
      </c>
      <c r="E28" s="419"/>
      <c r="F28" s="831">
        <v>1.5</v>
      </c>
      <c r="G28" s="419"/>
      <c r="H28" s="365" t="s">
        <v>134</v>
      </c>
      <c r="I28" s="86"/>
      <c r="J28" s="87"/>
      <c r="K28" s="86"/>
      <c r="L28" s="87"/>
      <c r="M28" s="86"/>
      <c r="N28" s="87"/>
      <c r="O28" s="86"/>
      <c r="P28" s="87"/>
      <c r="Q28" s="86"/>
      <c r="R28" s="87"/>
      <c r="S28" s="86"/>
      <c r="T28" s="87"/>
      <c r="U28" s="86"/>
    </row>
    <row r="29" spans="1:21" s="41" customFormat="1" ht="27.6" x14ac:dyDescent="0.3">
      <c r="A29" s="86"/>
      <c r="B29" s="135" t="s">
        <v>106</v>
      </c>
      <c r="C29" s="85" t="s">
        <v>117</v>
      </c>
      <c r="D29" s="378">
        <v>2231.7600000000002</v>
      </c>
      <c r="E29" s="419"/>
      <c r="F29" s="831">
        <v>1.5</v>
      </c>
      <c r="G29" s="419"/>
      <c r="H29" s="365" t="s">
        <v>134</v>
      </c>
      <c r="I29" s="86"/>
      <c r="J29" s="87"/>
      <c r="K29" s="86"/>
      <c r="L29" s="87"/>
      <c r="M29" s="86"/>
      <c r="N29" s="87"/>
      <c r="O29" s="86"/>
      <c r="P29" s="87"/>
      <c r="Q29" s="86"/>
      <c r="R29" s="87"/>
      <c r="S29" s="86"/>
      <c r="T29" s="87"/>
      <c r="U29" s="86"/>
    </row>
    <row r="30" spans="1:21" s="41" customFormat="1" ht="27.6" x14ac:dyDescent="0.3">
      <c r="A30" s="86"/>
      <c r="B30" s="135" t="s">
        <v>107</v>
      </c>
      <c r="C30" s="85" t="s">
        <v>117</v>
      </c>
      <c r="D30" s="378">
        <v>1412.8</v>
      </c>
      <c r="E30" s="136"/>
      <c r="F30" s="831">
        <v>1.5</v>
      </c>
      <c r="G30" s="136"/>
      <c r="H30" s="365" t="s">
        <v>134</v>
      </c>
      <c r="I30" s="86"/>
      <c r="J30" s="87"/>
      <c r="K30" s="86"/>
      <c r="L30" s="87"/>
      <c r="M30" s="86"/>
      <c r="N30" s="87"/>
      <c r="O30" s="86"/>
      <c r="P30" s="87"/>
      <c r="Q30" s="86"/>
      <c r="R30" s="87"/>
      <c r="S30" s="86"/>
      <c r="T30" s="87"/>
      <c r="U30" s="86"/>
    </row>
    <row r="31" spans="1:21" s="41" customFormat="1" ht="27.6" x14ac:dyDescent="0.3">
      <c r="A31" s="86"/>
      <c r="B31" s="316" t="s">
        <v>108</v>
      </c>
      <c r="C31" s="160" t="s">
        <v>118</v>
      </c>
      <c r="D31" s="158">
        <v>0</v>
      </c>
      <c r="E31" s="411" t="s">
        <v>14</v>
      </c>
      <c r="F31" s="412" t="s">
        <v>14</v>
      </c>
      <c r="G31" s="411" t="s">
        <v>14</v>
      </c>
      <c r="H31" s="412" t="s">
        <v>14</v>
      </c>
      <c r="I31" s="86"/>
      <c r="J31" s="87"/>
      <c r="K31" s="86"/>
      <c r="L31" s="87"/>
      <c r="M31" s="86"/>
      <c r="N31" s="87"/>
      <c r="O31" s="86"/>
      <c r="P31" s="87"/>
      <c r="Q31" s="86"/>
      <c r="R31" s="87"/>
      <c r="S31" s="86"/>
      <c r="T31" s="87"/>
      <c r="U31" s="86"/>
    </row>
    <row r="32" spans="1:21" s="461" customFormat="1" x14ac:dyDescent="0.3">
      <c r="A32" s="86"/>
      <c r="B32" s="15"/>
      <c r="C32" s="87"/>
      <c r="D32" s="86"/>
      <c r="E32" s="86"/>
      <c r="F32" s="25"/>
      <c r="G32" s="86"/>
      <c r="H32" s="87"/>
      <c r="I32" s="86"/>
      <c r="J32" s="87"/>
      <c r="K32" s="86"/>
      <c r="L32" s="87"/>
      <c r="M32" s="86"/>
      <c r="N32" s="87"/>
      <c r="O32" s="86"/>
      <c r="P32" s="87"/>
      <c r="Q32" s="86"/>
      <c r="R32" s="87"/>
      <c r="S32" s="86"/>
      <c r="T32" s="87"/>
      <c r="U32" s="86"/>
    </row>
    <row r="33" spans="1:23" x14ac:dyDescent="0.3">
      <c r="A33" s="26"/>
      <c r="B33" s="28" t="s">
        <v>517</v>
      </c>
      <c r="C33" s="83"/>
      <c r="D33" s="397"/>
      <c r="E33" s="369"/>
      <c r="F33" s="369"/>
      <c r="G33" s="369"/>
      <c r="H33" s="369"/>
      <c r="J33" s="369"/>
      <c r="L33" s="66"/>
      <c r="N33" s="66"/>
      <c r="P33" s="66"/>
      <c r="R33" s="66"/>
      <c r="T33" s="66"/>
    </row>
    <row r="34" spans="1:23" ht="41.4" x14ac:dyDescent="0.3">
      <c r="A34" s="82"/>
      <c r="B34" s="108" t="s">
        <v>500</v>
      </c>
      <c r="C34" s="116" t="s">
        <v>501</v>
      </c>
      <c r="D34" s="112" t="s">
        <v>433</v>
      </c>
      <c r="E34" s="177"/>
      <c r="F34" s="113" t="s">
        <v>437</v>
      </c>
      <c r="G34" s="177"/>
      <c r="H34" s="116" t="s">
        <v>137</v>
      </c>
      <c r="I34" s="177"/>
      <c r="J34" s="109" t="s">
        <v>186</v>
      </c>
      <c r="K34" s="125"/>
      <c r="L34" s="142" t="s">
        <v>510</v>
      </c>
      <c r="M34" s="113"/>
      <c r="N34" s="113" t="s">
        <v>509</v>
      </c>
      <c r="O34" s="207"/>
      <c r="P34" s="142" t="s">
        <v>508</v>
      </c>
      <c r="Q34" s="125"/>
      <c r="R34" s="142" t="s">
        <v>486</v>
      </c>
      <c r="S34" s="125"/>
      <c r="T34" s="142" t="s">
        <v>534</v>
      </c>
    </row>
    <row r="35" spans="1:23" ht="15" thickBot="1" x14ac:dyDescent="0.35">
      <c r="A35" s="82"/>
      <c r="B35" s="173" t="s">
        <v>259</v>
      </c>
      <c r="C35" s="171" t="s">
        <v>258</v>
      </c>
      <c r="D35" s="376"/>
      <c r="E35" s="178"/>
      <c r="F35" s="376"/>
      <c r="G35" s="375"/>
      <c r="H35" s="171" t="s">
        <v>260</v>
      </c>
      <c r="I35" s="178"/>
      <c r="J35" s="174" t="s">
        <v>261</v>
      </c>
      <c r="K35" s="208"/>
      <c r="L35" s="174" t="s">
        <v>646</v>
      </c>
      <c r="M35" s="205"/>
      <c r="N35" s="171" t="s">
        <v>647</v>
      </c>
      <c r="O35" s="208"/>
      <c r="P35" s="174" t="s">
        <v>1387</v>
      </c>
      <c r="Q35" s="230"/>
      <c r="R35" s="174" t="s">
        <v>1127</v>
      </c>
      <c r="S35" s="230"/>
      <c r="T35" s="174" t="s">
        <v>1128</v>
      </c>
    </row>
    <row r="36" spans="1:23" s="364" customFormat="1" ht="28.2" thickTop="1" x14ac:dyDescent="0.3">
      <c r="A36" s="378"/>
      <c r="B36" s="135" t="s">
        <v>568</v>
      </c>
      <c r="C36" s="378" t="s">
        <v>440</v>
      </c>
      <c r="D36" s="378" t="s">
        <v>435</v>
      </c>
      <c r="E36" s="131"/>
      <c r="F36" s="371" t="s">
        <v>922</v>
      </c>
      <c r="G36" s="418"/>
      <c r="H36" s="378" t="s">
        <v>449</v>
      </c>
      <c r="I36" s="418"/>
      <c r="J36" s="378" t="s">
        <v>187</v>
      </c>
      <c r="K36" s="418"/>
      <c r="L36" s="378">
        <v>55</v>
      </c>
      <c r="M36" s="418"/>
      <c r="N36" s="378">
        <v>60</v>
      </c>
      <c r="O36" s="418"/>
      <c r="P36" s="274" t="s">
        <v>930</v>
      </c>
      <c r="Q36" s="120"/>
      <c r="R36" s="206">
        <v>60</v>
      </c>
      <c r="S36" s="120"/>
      <c r="T36" s="206">
        <v>55</v>
      </c>
      <c r="U36" s="369"/>
    </row>
    <row r="37" spans="1:23" s="364" customFormat="1" ht="13.8" x14ac:dyDescent="0.3">
      <c r="A37" s="378"/>
      <c r="B37" s="135" t="s">
        <v>569</v>
      </c>
      <c r="C37" s="378" t="s">
        <v>441</v>
      </c>
      <c r="D37" s="378" t="s">
        <v>435</v>
      </c>
      <c r="E37" s="131"/>
      <c r="F37" s="371" t="s">
        <v>923</v>
      </c>
      <c r="G37" s="419"/>
      <c r="H37" s="378" t="s">
        <v>449</v>
      </c>
      <c r="I37" s="419"/>
      <c r="J37" s="378" t="s">
        <v>187</v>
      </c>
      <c r="K37" s="419"/>
      <c r="L37" s="378">
        <v>55</v>
      </c>
      <c r="M37" s="419"/>
      <c r="N37" s="378">
        <v>60</v>
      </c>
      <c r="O37" s="419"/>
      <c r="P37" s="197" t="s">
        <v>930</v>
      </c>
      <c r="Q37" s="145"/>
      <c r="R37" s="206">
        <v>60</v>
      </c>
      <c r="S37" s="145"/>
      <c r="T37" s="206">
        <v>55</v>
      </c>
      <c r="U37" s="369"/>
    </row>
    <row r="38" spans="1:23" s="362" customFormat="1" ht="13.8" x14ac:dyDescent="0.3">
      <c r="A38" s="82"/>
      <c r="B38" s="135" t="s">
        <v>570</v>
      </c>
      <c r="C38" s="378" t="s">
        <v>442</v>
      </c>
      <c r="D38" s="378" t="s">
        <v>435</v>
      </c>
      <c r="E38" s="131"/>
      <c r="F38" s="371" t="s">
        <v>924</v>
      </c>
      <c r="G38" s="419"/>
      <c r="H38" s="378" t="s">
        <v>449</v>
      </c>
      <c r="I38" s="419"/>
      <c r="J38" s="378" t="s">
        <v>187</v>
      </c>
      <c r="K38" s="419"/>
      <c r="L38" s="378">
        <v>55</v>
      </c>
      <c r="M38" s="136"/>
      <c r="N38" s="378">
        <v>60</v>
      </c>
      <c r="O38" s="419"/>
      <c r="P38" s="197" t="s">
        <v>930</v>
      </c>
      <c r="Q38" s="145"/>
      <c r="R38" s="206">
        <v>60</v>
      </c>
      <c r="S38" s="145"/>
      <c r="T38" s="206">
        <v>55</v>
      </c>
      <c r="U38" s="369"/>
    </row>
    <row r="39" spans="1:23" s="362" customFormat="1" ht="13.8" x14ac:dyDescent="0.3">
      <c r="A39" s="82"/>
      <c r="B39" s="135" t="s">
        <v>649</v>
      </c>
      <c r="C39" s="378" t="s">
        <v>652</v>
      </c>
      <c r="D39" s="378" t="s">
        <v>435</v>
      </c>
      <c r="E39" s="131"/>
      <c r="F39" s="367" t="s">
        <v>925</v>
      </c>
      <c r="G39" s="419"/>
      <c r="H39" s="378" t="s">
        <v>167</v>
      </c>
      <c r="I39" s="419"/>
      <c r="J39" s="378" t="s">
        <v>655</v>
      </c>
      <c r="K39" s="419"/>
      <c r="L39" s="378">
        <v>60</v>
      </c>
      <c r="M39" s="409" t="s">
        <v>14</v>
      </c>
      <c r="N39" s="410" t="s">
        <v>14</v>
      </c>
      <c r="O39" s="419"/>
      <c r="P39" s="197" t="s">
        <v>300</v>
      </c>
      <c r="Q39" s="409" t="s">
        <v>14</v>
      </c>
      <c r="R39" s="410" t="s">
        <v>14</v>
      </c>
      <c r="S39" s="409" t="s">
        <v>14</v>
      </c>
      <c r="T39" s="410" t="s">
        <v>14</v>
      </c>
      <c r="U39" s="369"/>
    </row>
    <row r="40" spans="1:23" s="362" customFormat="1" ht="13.8" x14ac:dyDescent="0.3">
      <c r="A40" s="82"/>
      <c r="B40" s="135" t="s">
        <v>650</v>
      </c>
      <c r="C40" s="378" t="s">
        <v>653</v>
      </c>
      <c r="D40" s="378" t="s">
        <v>435</v>
      </c>
      <c r="E40" s="131"/>
      <c r="F40" s="367" t="s">
        <v>926</v>
      </c>
      <c r="G40" s="419"/>
      <c r="H40" s="378" t="s">
        <v>167</v>
      </c>
      <c r="I40" s="419"/>
      <c r="J40" s="378" t="s">
        <v>655</v>
      </c>
      <c r="K40" s="419"/>
      <c r="L40" s="378">
        <v>60</v>
      </c>
      <c r="M40" s="409" t="s">
        <v>14</v>
      </c>
      <c r="N40" s="410" t="s">
        <v>14</v>
      </c>
      <c r="O40" s="419"/>
      <c r="P40" s="197" t="s">
        <v>300</v>
      </c>
      <c r="Q40" s="409" t="s">
        <v>14</v>
      </c>
      <c r="R40" s="410" t="s">
        <v>14</v>
      </c>
      <c r="S40" s="409" t="s">
        <v>14</v>
      </c>
      <c r="T40" s="410" t="s">
        <v>14</v>
      </c>
      <c r="U40" s="369"/>
    </row>
    <row r="41" spans="1:23" s="362" customFormat="1" ht="13.8" x14ac:dyDescent="0.3">
      <c r="A41" s="82"/>
      <c r="B41" s="316" t="s">
        <v>651</v>
      </c>
      <c r="C41" s="158" t="s">
        <v>654</v>
      </c>
      <c r="D41" s="158" t="s">
        <v>435</v>
      </c>
      <c r="E41" s="233"/>
      <c r="F41" s="166" t="s">
        <v>927</v>
      </c>
      <c r="G41" s="153"/>
      <c r="H41" s="158" t="s">
        <v>167</v>
      </c>
      <c r="I41" s="153"/>
      <c r="J41" s="158" t="s">
        <v>655</v>
      </c>
      <c r="K41" s="153"/>
      <c r="L41" s="158">
        <v>60</v>
      </c>
      <c r="M41" s="411" t="s">
        <v>14</v>
      </c>
      <c r="N41" s="412" t="s">
        <v>14</v>
      </c>
      <c r="O41" s="153"/>
      <c r="P41" s="199" t="s">
        <v>300</v>
      </c>
      <c r="Q41" s="411" t="s">
        <v>14</v>
      </c>
      <c r="R41" s="412" t="s">
        <v>14</v>
      </c>
      <c r="S41" s="411" t="s">
        <v>14</v>
      </c>
      <c r="T41" s="412" t="s">
        <v>14</v>
      </c>
      <c r="U41" s="369"/>
    </row>
    <row r="42" spans="1:23" x14ac:dyDescent="0.3">
      <c r="A42" s="82"/>
      <c r="B42" s="77"/>
      <c r="C42" s="75"/>
      <c r="D42" s="29"/>
      <c r="E42" s="369"/>
      <c r="F42" s="369"/>
      <c r="G42" s="369"/>
      <c r="H42" s="369"/>
      <c r="J42" s="369"/>
      <c r="K42" s="84"/>
      <c r="L42" s="82"/>
      <c r="N42" s="369"/>
      <c r="P42" s="369"/>
      <c r="R42" s="369"/>
      <c r="T42" s="369"/>
    </row>
    <row r="43" spans="1:23" x14ac:dyDescent="0.3">
      <c r="A43" s="82"/>
      <c r="B43" s="77"/>
      <c r="C43" s="84"/>
      <c r="D43" s="82"/>
      <c r="E43" s="84"/>
      <c r="F43" s="82"/>
      <c r="G43" s="84"/>
      <c r="H43" s="82"/>
      <c r="I43" s="84"/>
      <c r="J43" s="82"/>
      <c r="K43" s="84"/>
      <c r="L43" s="82"/>
      <c r="N43" s="369"/>
      <c r="P43" s="369"/>
      <c r="R43" s="369"/>
      <c r="T43" s="369"/>
    </row>
    <row r="44" spans="1:23" ht="41.4" x14ac:dyDescent="0.3">
      <c r="A44" s="82"/>
      <c r="B44" s="108" t="s">
        <v>501</v>
      </c>
      <c r="C44" s="116" t="s">
        <v>502</v>
      </c>
      <c r="D44" s="112" t="s">
        <v>433</v>
      </c>
      <c r="E44" s="177"/>
      <c r="F44" s="110" t="s">
        <v>137</v>
      </c>
      <c r="G44" s="170"/>
      <c r="H44" s="168" t="s">
        <v>503</v>
      </c>
      <c r="I44" s="170"/>
      <c r="J44" s="168" t="s">
        <v>1125</v>
      </c>
      <c r="K44" s="189"/>
      <c r="L44" s="110" t="s">
        <v>204</v>
      </c>
      <c r="M44" s="182"/>
      <c r="N44" s="110" t="s">
        <v>1053</v>
      </c>
      <c r="O44" s="442"/>
      <c r="P44" s="110" t="s">
        <v>1054</v>
      </c>
      <c r="Q44" s="441"/>
      <c r="R44" s="110" t="s">
        <v>1055</v>
      </c>
      <c r="T44" s="369"/>
      <c r="V44" s="369"/>
      <c r="W44" s="369"/>
    </row>
    <row r="45" spans="1:23" ht="15" thickBot="1" x14ac:dyDescent="0.35">
      <c r="A45" s="82"/>
      <c r="B45" s="173" t="s">
        <v>280</v>
      </c>
      <c r="C45" s="171" t="s">
        <v>262</v>
      </c>
      <c r="D45" s="376"/>
      <c r="E45" s="178"/>
      <c r="F45" s="174" t="s">
        <v>264</v>
      </c>
      <c r="G45" s="172"/>
      <c r="H45" s="171" t="s">
        <v>933</v>
      </c>
      <c r="I45" s="172"/>
      <c r="J45" s="171" t="s">
        <v>1126</v>
      </c>
      <c r="K45" s="178"/>
      <c r="L45" s="174" t="s">
        <v>263</v>
      </c>
      <c r="M45" s="184"/>
      <c r="N45" s="171" t="s">
        <v>629</v>
      </c>
      <c r="O45" s="173"/>
      <c r="P45" s="174" t="s">
        <v>630</v>
      </c>
      <c r="Q45" s="171"/>
      <c r="R45" s="344" t="s">
        <v>631</v>
      </c>
      <c r="T45" s="369"/>
      <c r="V45" s="369"/>
      <c r="W45" s="369"/>
    </row>
    <row r="46" spans="1:23" s="364" customFormat="1" ht="28.2" thickTop="1" x14ac:dyDescent="0.3">
      <c r="A46" s="378"/>
      <c r="B46" s="135" t="s">
        <v>440</v>
      </c>
      <c r="C46" s="378" t="s">
        <v>450</v>
      </c>
      <c r="D46" s="378" t="s">
        <v>435</v>
      </c>
      <c r="E46" s="418"/>
      <c r="F46" s="378" t="s">
        <v>173</v>
      </c>
      <c r="G46" s="418"/>
      <c r="H46" s="378">
        <v>12.96</v>
      </c>
      <c r="I46" s="418"/>
      <c r="J46" s="1">
        <v>15.12</v>
      </c>
      <c r="K46" s="409" t="s">
        <v>14</v>
      </c>
      <c r="L46" s="410" t="s">
        <v>14</v>
      </c>
      <c r="M46" s="418"/>
      <c r="N46" s="371" t="s">
        <v>454</v>
      </c>
      <c r="O46" s="690"/>
      <c r="P46" s="371" t="s">
        <v>530</v>
      </c>
      <c r="Q46" s="690"/>
      <c r="R46" s="656" t="s">
        <v>281</v>
      </c>
      <c r="S46" s="378"/>
      <c r="T46" s="378"/>
      <c r="U46" s="378"/>
      <c r="V46" s="378"/>
      <c r="W46" s="378"/>
    </row>
    <row r="47" spans="1:23" s="364" customFormat="1" ht="27.6" x14ac:dyDescent="0.3">
      <c r="A47" s="378"/>
      <c r="B47" s="135" t="s">
        <v>441</v>
      </c>
      <c r="C47" s="378" t="s">
        <v>451</v>
      </c>
      <c r="D47" s="378" t="s">
        <v>435</v>
      </c>
      <c r="E47" s="419"/>
      <c r="F47" s="378" t="s">
        <v>173</v>
      </c>
      <c r="G47" s="419"/>
      <c r="H47" s="378">
        <v>12.96</v>
      </c>
      <c r="I47" s="419"/>
      <c r="J47" s="1">
        <v>15.12</v>
      </c>
      <c r="K47" s="409" t="s">
        <v>14</v>
      </c>
      <c r="L47" s="410" t="s">
        <v>14</v>
      </c>
      <c r="M47" s="419"/>
      <c r="N47" s="371" t="s">
        <v>454</v>
      </c>
      <c r="O47" s="691"/>
      <c r="P47" s="371" t="s">
        <v>530</v>
      </c>
      <c r="Q47" s="691"/>
      <c r="R47" s="367" t="s">
        <v>281</v>
      </c>
      <c r="S47" s="378"/>
      <c r="T47" s="378"/>
      <c r="U47" s="378"/>
      <c r="V47" s="378"/>
      <c r="W47" s="378"/>
    </row>
    <row r="48" spans="1:23" s="364" customFormat="1" ht="27.6" x14ac:dyDescent="0.3">
      <c r="A48" s="378"/>
      <c r="B48" s="135" t="s">
        <v>442</v>
      </c>
      <c r="C48" s="378" t="s">
        <v>452</v>
      </c>
      <c r="D48" s="378" t="s">
        <v>435</v>
      </c>
      <c r="E48" s="419"/>
      <c r="F48" s="378" t="s">
        <v>173</v>
      </c>
      <c r="G48" s="419"/>
      <c r="H48" s="378">
        <v>12.96</v>
      </c>
      <c r="I48" s="419"/>
      <c r="J48" s="1">
        <v>15.12</v>
      </c>
      <c r="K48" s="409" t="s">
        <v>14</v>
      </c>
      <c r="L48" s="410" t="s">
        <v>14</v>
      </c>
      <c r="M48" s="419"/>
      <c r="N48" s="371" t="s">
        <v>454</v>
      </c>
      <c r="O48" s="691"/>
      <c r="P48" s="371" t="s">
        <v>530</v>
      </c>
      <c r="Q48" s="691"/>
      <c r="R48" s="367" t="s">
        <v>281</v>
      </c>
      <c r="S48" s="378"/>
      <c r="T48" s="378"/>
      <c r="U48" s="378"/>
      <c r="V48" s="378"/>
      <c r="W48" s="378"/>
    </row>
    <row r="49" spans="1:23" s="364" customFormat="1" ht="27.6" x14ac:dyDescent="0.3">
      <c r="A49" s="378"/>
      <c r="B49" s="135" t="s">
        <v>652</v>
      </c>
      <c r="C49" s="378" t="s">
        <v>656</v>
      </c>
      <c r="D49" s="378" t="s">
        <v>435</v>
      </c>
      <c r="E49" s="419"/>
      <c r="F49" s="378" t="s">
        <v>173</v>
      </c>
      <c r="G49" s="419"/>
      <c r="H49" s="378">
        <v>13.65</v>
      </c>
      <c r="I49" s="419"/>
      <c r="J49" s="1">
        <v>15.7</v>
      </c>
      <c r="K49" s="409" t="s">
        <v>14</v>
      </c>
      <c r="L49" s="410" t="s">
        <v>14</v>
      </c>
      <c r="M49" s="419"/>
      <c r="N49" s="371" t="s">
        <v>454</v>
      </c>
      <c r="O49" s="691"/>
      <c r="P49" s="371" t="s">
        <v>530</v>
      </c>
      <c r="Q49" s="691"/>
      <c r="R49" s="367" t="s">
        <v>281</v>
      </c>
      <c r="S49" s="378"/>
      <c r="T49" s="378"/>
      <c r="U49" s="378"/>
      <c r="V49" s="378"/>
      <c r="W49" s="378"/>
    </row>
    <row r="50" spans="1:23" s="364" customFormat="1" ht="27.6" x14ac:dyDescent="0.3">
      <c r="A50" s="378"/>
      <c r="B50" s="135" t="s">
        <v>653</v>
      </c>
      <c r="C50" s="378" t="s">
        <v>657</v>
      </c>
      <c r="D50" s="378" t="s">
        <v>435</v>
      </c>
      <c r="E50" s="419"/>
      <c r="F50" s="378" t="s">
        <v>173</v>
      </c>
      <c r="G50" s="419"/>
      <c r="H50" s="378">
        <v>13.65</v>
      </c>
      <c r="I50" s="419"/>
      <c r="J50" s="1">
        <v>15.7</v>
      </c>
      <c r="K50" s="409" t="s">
        <v>14</v>
      </c>
      <c r="L50" s="410" t="s">
        <v>14</v>
      </c>
      <c r="M50" s="419"/>
      <c r="N50" s="371" t="s">
        <v>454</v>
      </c>
      <c r="O50" s="691"/>
      <c r="P50" s="371" t="s">
        <v>530</v>
      </c>
      <c r="Q50" s="691"/>
      <c r="R50" s="367" t="s">
        <v>281</v>
      </c>
      <c r="S50" s="378"/>
      <c r="T50" s="378"/>
      <c r="U50" s="378"/>
      <c r="V50" s="378"/>
      <c r="W50" s="378"/>
    </row>
    <row r="51" spans="1:23" s="362" customFormat="1" ht="27.6" x14ac:dyDescent="0.3">
      <c r="A51" s="82"/>
      <c r="B51" s="175" t="s">
        <v>654</v>
      </c>
      <c r="C51" s="150" t="s">
        <v>658</v>
      </c>
      <c r="D51" s="199" t="s">
        <v>435</v>
      </c>
      <c r="E51" s="153"/>
      <c r="F51" s="150" t="s">
        <v>173</v>
      </c>
      <c r="G51" s="153"/>
      <c r="H51" s="252">
        <v>13.65</v>
      </c>
      <c r="I51" s="153"/>
      <c r="J51" s="833">
        <v>15.7</v>
      </c>
      <c r="K51" s="411" t="s">
        <v>14</v>
      </c>
      <c r="L51" s="412" t="s">
        <v>14</v>
      </c>
      <c r="M51" s="153"/>
      <c r="N51" s="155" t="s">
        <v>454</v>
      </c>
      <c r="O51" s="692"/>
      <c r="P51" s="150" t="s">
        <v>530</v>
      </c>
      <c r="Q51" s="692"/>
      <c r="R51" s="155" t="s">
        <v>281</v>
      </c>
      <c r="S51" s="369"/>
      <c r="T51" s="369"/>
      <c r="U51" s="369"/>
      <c r="V51" s="369"/>
      <c r="W51" s="369"/>
    </row>
    <row r="52" spans="1:23" x14ac:dyDescent="0.3">
      <c r="A52" s="82"/>
      <c r="B52" s="77"/>
      <c r="C52" s="75"/>
      <c r="D52" s="82"/>
      <c r="E52" s="84"/>
      <c r="F52" s="82"/>
      <c r="G52" s="84"/>
      <c r="H52" s="82"/>
      <c r="I52" s="84"/>
      <c r="J52" s="82"/>
      <c r="K52" s="29"/>
      <c r="L52" s="369"/>
      <c r="N52" s="369"/>
      <c r="P52" s="369"/>
      <c r="R52" s="369"/>
      <c r="T52" s="369"/>
    </row>
    <row r="53" spans="1:23" x14ac:dyDescent="0.3">
      <c r="G53" s="369"/>
      <c r="H53" s="85"/>
      <c r="S53" s="397"/>
      <c r="T53" s="397"/>
      <c r="U53" s="397"/>
    </row>
    <row r="54" spans="1:23" x14ac:dyDescent="0.3">
      <c r="A54" s="82"/>
      <c r="B54" s="108" t="s">
        <v>501</v>
      </c>
      <c r="C54" s="116" t="s">
        <v>504</v>
      </c>
      <c r="D54" s="112" t="s">
        <v>433</v>
      </c>
      <c r="E54" s="177"/>
      <c r="F54" s="110" t="s">
        <v>474</v>
      </c>
      <c r="G54" s="369"/>
      <c r="H54" s="388"/>
      <c r="L54" s="369"/>
      <c r="N54" s="369"/>
      <c r="P54" s="369"/>
      <c r="R54" s="369"/>
      <c r="S54" s="397"/>
      <c r="T54" s="397"/>
      <c r="U54" s="397"/>
    </row>
    <row r="55" spans="1:23" ht="15" thickBot="1" x14ac:dyDescent="0.35">
      <c r="A55" s="82"/>
      <c r="B55" s="173" t="s">
        <v>282</v>
      </c>
      <c r="C55" s="171" t="s">
        <v>265</v>
      </c>
      <c r="D55" s="171"/>
      <c r="E55" s="178"/>
      <c r="F55" s="174" t="s">
        <v>266</v>
      </c>
      <c r="G55" s="369"/>
      <c r="H55" s="388"/>
      <c r="L55" s="369"/>
      <c r="N55" s="369"/>
      <c r="P55" s="369"/>
      <c r="R55" s="369"/>
      <c r="S55" s="397"/>
      <c r="T55" s="397"/>
      <c r="U55" s="397"/>
    </row>
    <row r="56" spans="1:23" s="364" customFormat="1" thickTop="1" x14ac:dyDescent="0.3">
      <c r="A56" s="378"/>
      <c r="B56" s="135" t="s">
        <v>440</v>
      </c>
      <c r="C56" s="378" t="s">
        <v>456</v>
      </c>
      <c r="D56" s="378" t="s">
        <v>435</v>
      </c>
      <c r="E56" s="418"/>
      <c r="F56" s="274" t="s">
        <v>562</v>
      </c>
      <c r="G56" s="378"/>
      <c r="H56" s="388"/>
      <c r="I56" s="378"/>
      <c r="J56" s="371"/>
      <c r="K56" s="378"/>
      <c r="L56" s="378"/>
      <c r="M56" s="378"/>
      <c r="N56" s="378"/>
      <c r="O56" s="378"/>
      <c r="P56" s="378"/>
      <c r="Q56" s="378"/>
      <c r="R56" s="378"/>
    </row>
    <row r="57" spans="1:23" s="364" customFormat="1" ht="13.8" x14ac:dyDescent="0.3">
      <c r="A57" s="378"/>
      <c r="B57" s="135" t="s">
        <v>441</v>
      </c>
      <c r="C57" s="378" t="s">
        <v>462</v>
      </c>
      <c r="D57" s="378" t="s">
        <v>435</v>
      </c>
      <c r="E57" s="419"/>
      <c r="F57" s="274" t="s">
        <v>562</v>
      </c>
      <c r="G57" s="378"/>
      <c r="H57" s="388"/>
      <c r="I57" s="378"/>
      <c r="J57" s="371"/>
      <c r="K57" s="378"/>
      <c r="L57" s="378"/>
      <c r="M57" s="378"/>
      <c r="N57" s="378"/>
      <c r="O57" s="378"/>
      <c r="P57" s="378"/>
      <c r="Q57" s="378"/>
      <c r="R57" s="378"/>
    </row>
    <row r="58" spans="1:23" s="364" customFormat="1" ht="13.8" x14ac:dyDescent="0.3">
      <c r="A58" s="378"/>
      <c r="B58" s="135" t="s">
        <v>442</v>
      </c>
      <c r="C58" s="378" t="s">
        <v>468</v>
      </c>
      <c r="D58" s="378" t="s">
        <v>435</v>
      </c>
      <c r="E58" s="419"/>
      <c r="F58" s="274" t="s">
        <v>562</v>
      </c>
      <c r="G58" s="378"/>
      <c r="H58" s="388"/>
      <c r="I58" s="378"/>
      <c r="J58" s="371"/>
      <c r="K58" s="378"/>
      <c r="L58" s="378"/>
      <c r="M58" s="378"/>
      <c r="N58" s="378"/>
      <c r="O58" s="378"/>
      <c r="P58" s="378"/>
      <c r="Q58" s="378"/>
      <c r="R58" s="378"/>
    </row>
    <row r="59" spans="1:23" s="364" customFormat="1" ht="13.8" x14ac:dyDescent="0.3">
      <c r="A59" s="378"/>
      <c r="B59" s="135" t="s">
        <v>440</v>
      </c>
      <c r="C59" s="378" t="s">
        <v>587</v>
      </c>
      <c r="D59" s="378" t="s">
        <v>435</v>
      </c>
      <c r="E59" s="419"/>
      <c r="F59" s="274" t="s">
        <v>562</v>
      </c>
      <c r="G59" s="378"/>
      <c r="H59" s="388"/>
      <c r="I59" s="378"/>
      <c r="J59" s="371"/>
      <c r="K59" s="378"/>
      <c r="L59" s="378"/>
      <c r="M59" s="378"/>
      <c r="N59" s="378"/>
      <c r="O59" s="378"/>
      <c r="P59" s="378"/>
      <c r="Q59" s="378"/>
      <c r="R59" s="378"/>
    </row>
    <row r="60" spans="1:23" s="364" customFormat="1" ht="13.8" x14ac:dyDescent="0.3">
      <c r="A60" s="378"/>
      <c r="B60" s="135" t="s">
        <v>441</v>
      </c>
      <c r="C60" s="378" t="s">
        <v>587</v>
      </c>
      <c r="D60" s="378" t="s">
        <v>435</v>
      </c>
      <c r="E60" s="419"/>
      <c r="F60" s="274" t="s">
        <v>562</v>
      </c>
      <c r="G60" s="378"/>
      <c r="H60" s="388"/>
      <c r="I60" s="378"/>
      <c r="J60" s="371"/>
      <c r="K60" s="378"/>
      <c r="L60" s="378"/>
      <c r="M60" s="378"/>
      <c r="N60" s="378"/>
      <c r="O60" s="378"/>
      <c r="P60" s="378"/>
      <c r="Q60" s="378"/>
      <c r="R60" s="378"/>
    </row>
    <row r="61" spans="1:23" s="364" customFormat="1" ht="13.8" x14ac:dyDescent="0.3">
      <c r="A61" s="378"/>
      <c r="B61" s="284" t="s">
        <v>442</v>
      </c>
      <c r="C61" s="160" t="s">
        <v>587</v>
      </c>
      <c r="D61" s="476" t="s">
        <v>435</v>
      </c>
      <c r="E61" s="153"/>
      <c r="F61" s="193" t="s">
        <v>562</v>
      </c>
      <c r="G61" s="378"/>
      <c r="H61" s="371"/>
      <c r="I61" s="378"/>
      <c r="J61" s="371"/>
      <c r="K61" s="378"/>
      <c r="L61" s="378"/>
      <c r="M61" s="378"/>
      <c r="N61" s="378"/>
      <c r="O61" s="378"/>
      <c r="P61" s="378"/>
      <c r="Q61" s="378"/>
      <c r="R61" s="378"/>
    </row>
    <row r="62" spans="1:23" x14ac:dyDescent="0.3">
      <c r="A62" s="82"/>
      <c r="B62" s="384"/>
      <c r="C62" s="384"/>
      <c r="D62" s="397"/>
      <c r="E62" s="362"/>
      <c r="F62" s="397"/>
      <c r="G62" s="362"/>
      <c r="H62" s="397"/>
      <c r="I62" s="362"/>
      <c r="J62" s="397"/>
      <c r="K62" s="362"/>
      <c r="L62" s="397"/>
      <c r="N62" s="369"/>
      <c r="P62" s="369"/>
      <c r="R62" s="369"/>
      <c r="T62" s="369"/>
    </row>
    <row r="63" spans="1:23" x14ac:dyDescent="0.3">
      <c r="A63" s="82"/>
      <c r="B63" s="83"/>
      <c r="C63" s="86"/>
      <c r="D63" s="82"/>
      <c r="E63" s="84"/>
      <c r="F63" s="82"/>
      <c r="G63" s="84"/>
      <c r="H63" s="82"/>
      <c r="I63" s="84"/>
      <c r="J63" s="82"/>
      <c r="K63" s="84"/>
      <c r="L63" s="82"/>
      <c r="M63" s="84"/>
      <c r="N63" s="82"/>
      <c r="O63" s="84"/>
      <c r="P63" s="82"/>
      <c r="Q63" s="84"/>
      <c r="R63" s="82"/>
      <c r="S63" s="84"/>
      <c r="T63" s="82"/>
    </row>
    <row r="64" spans="1:23" ht="27.6" x14ac:dyDescent="0.3">
      <c r="A64" s="82"/>
      <c r="B64" s="108" t="s">
        <v>500</v>
      </c>
      <c r="C64" s="116" t="s">
        <v>506</v>
      </c>
      <c r="D64" s="112" t="s">
        <v>433</v>
      </c>
      <c r="E64" s="177"/>
      <c r="F64" s="110" t="s">
        <v>184</v>
      </c>
      <c r="G64" s="113"/>
      <c r="H64" s="168" t="s">
        <v>277</v>
      </c>
      <c r="I64" s="125"/>
      <c r="J64" s="110" t="s">
        <v>511</v>
      </c>
      <c r="K64" s="125"/>
      <c r="L64" s="110" t="s">
        <v>183</v>
      </c>
      <c r="M64" s="168"/>
      <c r="N64" s="113" t="s">
        <v>205</v>
      </c>
      <c r="O64" s="189"/>
      <c r="P64" s="110" t="s">
        <v>507</v>
      </c>
      <c r="Q64" s="168"/>
      <c r="R64" s="168" t="s">
        <v>206</v>
      </c>
      <c r="S64" s="189"/>
      <c r="T64" s="168" t="s">
        <v>182</v>
      </c>
      <c r="U64" s="189"/>
      <c r="V64" s="110" t="s">
        <v>1398</v>
      </c>
    </row>
    <row r="65" spans="1:22" ht="15" thickBot="1" x14ac:dyDescent="0.35">
      <c r="A65" s="82"/>
      <c r="B65" s="173" t="s">
        <v>268</v>
      </c>
      <c r="C65" s="171" t="s">
        <v>269</v>
      </c>
      <c r="D65" s="171"/>
      <c r="E65" s="178"/>
      <c r="F65" s="174" t="s">
        <v>270</v>
      </c>
      <c r="G65" s="172"/>
      <c r="H65" s="171" t="s">
        <v>271</v>
      </c>
      <c r="I65" s="178"/>
      <c r="J65" s="174"/>
      <c r="K65" s="178"/>
      <c r="L65" s="174" t="s">
        <v>272</v>
      </c>
      <c r="M65" s="172"/>
      <c r="N65" s="171" t="s">
        <v>273</v>
      </c>
      <c r="O65" s="178"/>
      <c r="P65" s="174" t="s">
        <v>274</v>
      </c>
      <c r="Q65" s="172"/>
      <c r="R65" s="171" t="s">
        <v>275</v>
      </c>
      <c r="S65" s="178"/>
      <c r="T65" s="171" t="s">
        <v>276</v>
      </c>
      <c r="U65" s="173"/>
      <c r="V65" s="174" t="s">
        <v>774</v>
      </c>
    </row>
    <row r="66" spans="1:22" s="364" customFormat="1" ht="28.2" thickTop="1" x14ac:dyDescent="0.3">
      <c r="A66" s="378"/>
      <c r="B66" s="135" t="s">
        <v>568</v>
      </c>
      <c r="C66" s="378" t="s">
        <v>476</v>
      </c>
      <c r="D66" s="378" t="s">
        <v>435</v>
      </c>
      <c r="E66" s="418"/>
      <c r="F66" s="378" t="s">
        <v>482</v>
      </c>
      <c r="G66" s="418"/>
      <c r="H66" s="378" t="s">
        <v>278</v>
      </c>
      <c r="I66" s="490" t="s">
        <v>14</v>
      </c>
      <c r="J66" s="90" t="s">
        <v>14</v>
      </c>
      <c r="K66" s="420"/>
      <c r="L66" s="378">
        <v>6.21</v>
      </c>
      <c r="M66" s="409" t="s">
        <v>14</v>
      </c>
      <c r="N66" s="410" t="s">
        <v>14</v>
      </c>
      <c r="O66" s="409" t="s">
        <v>14</v>
      </c>
      <c r="P66" s="410" t="s">
        <v>14</v>
      </c>
      <c r="Q66" s="416"/>
      <c r="R66" s="834">
        <v>7.5</v>
      </c>
      <c r="S66" s="416"/>
      <c r="T66" s="445">
        <v>0.9</v>
      </c>
      <c r="U66" s="416"/>
      <c r="V66" s="535" t="s">
        <v>974</v>
      </c>
    </row>
    <row r="67" spans="1:22" s="364" customFormat="1" ht="27.6" x14ac:dyDescent="0.3">
      <c r="A67" s="378"/>
      <c r="B67" s="135" t="s">
        <v>569</v>
      </c>
      <c r="C67" s="378" t="s">
        <v>477</v>
      </c>
      <c r="D67" s="378" t="s">
        <v>435</v>
      </c>
      <c r="E67" s="419"/>
      <c r="F67" s="378" t="s">
        <v>482</v>
      </c>
      <c r="G67" s="419"/>
      <c r="H67" s="378" t="s">
        <v>564</v>
      </c>
      <c r="I67" s="491" t="s">
        <v>919</v>
      </c>
      <c r="J67" s="90">
        <v>10850</v>
      </c>
      <c r="K67" s="491" t="s">
        <v>919</v>
      </c>
      <c r="L67" s="443">
        <f>J67*P67*(0.1175/745.6)/N67</f>
        <v>7.8916824859689658</v>
      </c>
      <c r="M67" s="418"/>
      <c r="N67" s="378">
        <v>0.65</v>
      </c>
      <c r="O67" s="418"/>
      <c r="P67" s="489">
        <v>3</v>
      </c>
      <c r="Q67" s="418"/>
      <c r="R67" s="489">
        <v>10</v>
      </c>
      <c r="S67" s="418"/>
      <c r="T67" s="431">
        <v>0.9</v>
      </c>
      <c r="U67" s="418"/>
      <c r="V67" s="535" t="s">
        <v>974</v>
      </c>
    </row>
    <row r="68" spans="1:22" s="364" customFormat="1" ht="27.6" x14ac:dyDescent="0.3">
      <c r="A68" s="378"/>
      <c r="B68" s="135" t="s">
        <v>570</v>
      </c>
      <c r="C68" s="378" t="s">
        <v>478</v>
      </c>
      <c r="D68" s="378" t="s">
        <v>435</v>
      </c>
      <c r="E68" s="419"/>
      <c r="F68" s="378" t="s">
        <v>482</v>
      </c>
      <c r="G68" s="419"/>
      <c r="H68" s="378" t="s">
        <v>564</v>
      </c>
      <c r="I68" s="491" t="s">
        <v>919</v>
      </c>
      <c r="J68" s="90">
        <v>10200</v>
      </c>
      <c r="K68" s="491" t="s">
        <v>919</v>
      </c>
      <c r="L68" s="443">
        <f>J68*P68*(0.1175/745.6)/N68</f>
        <v>9.3766765021459229</v>
      </c>
      <c r="M68" s="89"/>
      <c r="N68" s="525">
        <v>0.6</v>
      </c>
      <c r="O68" s="89"/>
      <c r="P68" s="526">
        <v>3.5</v>
      </c>
      <c r="Q68" s="419"/>
      <c r="R68" s="489">
        <v>10</v>
      </c>
      <c r="S68" s="419"/>
      <c r="T68" s="431">
        <v>0.9</v>
      </c>
      <c r="U68" s="89"/>
      <c r="V68" s="535" t="s">
        <v>974</v>
      </c>
    </row>
    <row r="69" spans="1:22" s="364" customFormat="1" ht="13.8" x14ac:dyDescent="0.3">
      <c r="A69" s="378"/>
      <c r="B69" s="135" t="s">
        <v>649</v>
      </c>
      <c r="C69" s="378" t="s">
        <v>659</v>
      </c>
      <c r="D69" s="378" t="s">
        <v>435</v>
      </c>
      <c r="E69" s="419"/>
      <c r="F69" s="378" t="s">
        <v>485</v>
      </c>
      <c r="G69" s="419"/>
      <c r="H69" s="378" t="s">
        <v>278</v>
      </c>
      <c r="I69" s="491" t="s">
        <v>14</v>
      </c>
      <c r="J69" s="90" t="s">
        <v>14</v>
      </c>
      <c r="K69" s="418"/>
      <c r="L69" s="1">
        <v>9.5</v>
      </c>
      <c r="M69" s="409" t="s">
        <v>14</v>
      </c>
      <c r="N69" s="410" t="s">
        <v>14</v>
      </c>
      <c r="O69" s="409" t="s">
        <v>14</v>
      </c>
      <c r="P69" s="410" t="s">
        <v>14</v>
      </c>
      <c r="Q69" s="418"/>
      <c r="R69" s="489">
        <v>10</v>
      </c>
      <c r="S69" s="418"/>
      <c r="T69" s="431">
        <v>0.91700000000000004</v>
      </c>
      <c r="U69" s="409" t="s">
        <v>14</v>
      </c>
      <c r="V69" s="410" t="s">
        <v>14</v>
      </c>
    </row>
    <row r="70" spans="1:22" s="364" customFormat="1" ht="13.8" x14ac:dyDescent="0.3">
      <c r="A70" s="378"/>
      <c r="B70" s="135" t="s">
        <v>650</v>
      </c>
      <c r="C70" s="378" t="s">
        <v>660</v>
      </c>
      <c r="D70" s="378" t="s">
        <v>435</v>
      </c>
      <c r="E70" s="419"/>
      <c r="F70" s="378" t="s">
        <v>485</v>
      </c>
      <c r="G70" s="419"/>
      <c r="H70" s="378" t="s">
        <v>278</v>
      </c>
      <c r="I70" s="491" t="s">
        <v>14</v>
      </c>
      <c r="J70" s="90" t="s">
        <v>14</v>
      </c>
      <c r="K70" s="418"/>
      <c r="L70" s="1">
        <v>9.5</v>
      </c>
      <c r="M70" s="409" t="s">
        <v>14</v>
      </c>
      <c r="N70" s="410" t="s">
        <v>14</v>
      </c>
      <c r="O70" s="409" t="s">
        <v>14</v>
      </c>
      <c r="P70" s="410" t="s">
        <v>14</v>
      </c>
      <c r="Q70" s="418"/>
      <c r="R70" s="489">
        <v>10</v>
      </c>
      <c r="S70" s="418"/>
      <c r="T70" s="431">
        <v>0.91700000000000004</v>
      </c>
      <c r="U70" s="409" t="s">
        <v>14</v>
      </c>
      <c r="V70" s="410" t="s">
        <v>14</v>
      </c>
    </row>
    <row r="71" spans="1:22" s="362" customFormat="1" ht="13.8" x14ac:dyDescent="0.3">
      <c r="A71" s="82"/>
      <c r="B71" s="316" t="s">
        <v>651</v>
      </c>
      <c r="C71" s="158" t="s">
        <v>661</v>
      </c>
      <c r="D71" s="158" t="s">
        <v>435</v>
      </c>
      <c r="E71" s="153"/>
      <c r="F71" s="158" t="s">
        <v>485</v>
      </c>
      <c r="G71" s="153"/>
      <c r="H71" s="158" t="s">
        <v>278</v>
      </c>
      <c r="I71" s="465" t="s">
        <v>14</v>
      </c>
      <c r="J71" s="195" t="s">
        <v>14</v>
      </c>
      <c r="K71" s="417"/>
      <c r="L71" s="234">
        <v>9.5</v>
      </c>
      <c r="M71" s="411" t="s">
        <v>14</v>
      </c>
      <c r="N71" s="412" t="s">
        <v>14</v>
      </c>
      <c r="O71" s="411" t="s">
        <v>14</v>
      </c>
      <c r="P71" s="412" t="s">
        <v>14</v>
      </c>
      <c r="Q71" s="417"/>
      <c r="R71" s="446">
        <v>10</v>
      </c>
      <c r="S71" s="417"/>
      <c r="T71" s="433">
        <v>0.91700000000000004</v>
      </c>
      <c r="U71" s="411" t="s">
        <v>14</v>
      </c>
      <c r="V71" s="412" t="s">
        <v>14</v>
      </c>
    </row>
    <row r="72" spans="1:22" s="362" customFormat="1" ht="13.8" x14ac:dyDescent="0.3">
      <c r="A72" s="82"/>
      <c r="B72" s="82"/>
      <c r="C72" s="384"/>
      <c r="D72" s="82"/>
      <c r="E72" s="82"/>
      <c r="F72" s="82"/>
      <c r="G72" s="82"/>
      <c r="H72" s="82"/>
      <c r="I72" s="82"/>
      <c r="J72" s="82"/>
      <c r="K72" s="82"/>
      <c r="L72" s="82"/>
      <c r="M72" s="82"/>
      <c r="N72" s="82"/>
      <c r="O72" s="82"/>
      <c r="P72" s="82"/>
      <c r="Q72" s="82"/>
      <c r="R72" s="82"/>
      <c r="S72" s="82"/>
      <c r="T72" s="369"/>
      <c r="U72" s="369"/>
    </row>
    <row r="73" spans="1:22" x14ac:dyDescent="0.3">
      <c r="A73" s="397"/>
      <c r="B73" s="397"/>
      <c r="C73" s="397"/>
      <c r="D73" s="397"/>
      <c r="E73" s="362"/>
      <c r="F73" s="397"/>
      <c r="G73" s="362"/>
      <c r="H73" s="397"/>
      <c r="I73" s="362"/>
      <c r="J73" s="397"/>
      <c r="K73" s="397"/>
      <c r="L73" s="397"/>
      <c r="M73" s="362"/>
      <c r="N73" s="397"/>
      <c r="O73" s="121"/>
      <c r="P73" s="111"/>
      <c r="Q73" s="82"/>
      <c r="R73" s="82"/>
      <c r="S73" s="82"/>
      <c r="T73" s="82"/>
    </row>
    <row r="74" spans="1:22" x14ac:dyDescent="0.3">
      <c r="A74" s="397"/>
      <c r="B74" s="108" t="s">
        <v>501</v>
      </c>
      <c r="C74" s="113"/>
      <c r="D74" s="112" t="s">
        <v>433</v>
      </c>
      <c r="E74" s="207"/>
      <c r="F74" s="142" t="s">
        <v>538</v>
      </c>
      <c r="G74" s="125"/>
      <c r="H74" s="142" t="s">
        <v>295</v>
      </c>
      <c r="I74" s="125"/>
      <c r="J74" s="142" t="s">
        <v>972</v>
      </c>
      <c r="K74" s="125"/>
      <c r="L74" s="142" t="s">
        <v>973</v>
      </c>
      <c r="M74" s="362"/>
      <c r="N74" s="397"/>
      <c r="O74" s="121"/>
      <c r="P74" s="111"/>
      <c r="Q74" s="82"/>
      <c r="R74" s="82"/>
      <c r="S74" s="82"/>
      <c r="T74" s="82"/>
    </row>
    <row r="75" spans="1:22" ht="15" thickBot="1" x14ac:dyDescent="0.35">
      <c r="A75" s="397"/>
      <c r="B75" s="173" t="s">
        <v>258</v>
      </c>
      <c r="C75" s="171"/>
      <c r="D75" s="174"/>
      <c r="E75" s="205"/>
      <c r="F75" s="174" t="s">
        <v>289</v>
      </c>
      <c r="G75" s="208"/>
      <c r="H75" s="174" t="s">
        <v>290</v>
      </c>
      <c r="I75" s="208"/>
      <c r="J75" s="174" t="s">
        <v>1077</v>
      </c>
      <c r="K75" s="208"/>
      <c r="L75" s="174" t="s">
        <v>1078</v>
      </c>
      <c r="M75" s="362"/>
      <c r="N75" s="397"/>
      <c r="O75" s="121"/>
      <c r="P75" s="111"/>
      <c r="Q75" s="82"/>
      <c r="R75" s="82"/>
      <c r="S75" s="82"/>
      <c r="T75" s="82"/>
    </row>
    <row r="76" spans="1:22" s="362" customFormat="1" thickTop="1" x14ac:dyDescent="0.3">
      <c r="B76" s="434" t="s">
        <v>440</v>
      </c>
      <c r="C76" s="264"/>
      <c r="D76" s="264" t="s">
        <v>435</v>
      </c>
      <c r="E76" s="416"/>
      <c r="F76" s="264" t="s">
        <v>535</v>
      </c>
      <c r="G76" s="420"/>
      <c r="H76" s="263" t="s">
        <v>480</v>
      </c>
      <c r="I76" s="409" t="s">
        <v>14</v>
      </c>
      <c r="J76" s="410" t="s">
        <v>14</v>
      </c>
      <c r="K76" s="420"/>
      <c r="L76" s="263">
        <v>30</v>
      </c>
      <c r="O76" s="121"/>
      <c r="P76" s="121"/>
      <c r="Q76" s="82"/>
      <c r="R76" s="82"/>
      <c r="S76" s="82"/>
      <c r="T76" s="82"/>
      <c r="U76" s="369"/>
    </row>
    <row r="77" spans="1:22" s="362" customFormat="1" ht="13.8" x14ac:dyDescent="0.3">
      <c r="B77" s="135" t="s">
        <v>441</v>
      </c>
      <c r="C77" s="378"/>
      <c r="D77" s="378" t="s">
        <v>435</v>
      </c>
      <c r="E77" s="419"/>
      <c r="F77" s="378" t="s">
        <v>536</v>
      </c>
      <c r="G77" s="419"/>
      <c r="H77" s="274" t="s">
        <v>481</v>
      </c>
      <c r="I77" s="419"/>
      <c r="J77" s="274">
        <v>75</v>
      </c>
      <c r="K77" s="409" t="s">
        <v>14</v>
      </c>
      <c r="L77" s="410" t="s">
        <v>14</v>
      </c>
      <c r="O77" s="121"/>
      <c r="P77" s="121"/>
      <c r="Q77" s="82"/>
      <c r="R77" s="82"/>
      <c r="S77" s="82"/>
      <c r="T77" s="82"/>
      <c r="U77" s="369"/>
    </row>
    <row r="78" spans="1:22" s="362" customFormat="1" ht="13.8" x14ac:dyDescent="0.3">
      <c r="B78" s="135" t="s">
        <v>442</v>
      </c>
      <c r="C78" s="378"/>
      <c r="D78" s="378" t="s">
        <v>435</v>
      </c>
      <c r="E78" s="419"/>
      <c r="F78" s="378" t="s">
        <v>537</v>
      </c>
      <c r="G78" s="419"/>
      <c r="H78" s="274" t="s">
        <v>480</v>
      </c>
      <c r="I78" s="89"/>
      <c r="J78" s="274">
        <v>80</v>
      </c>
      <c r="K78" s="89"/>
      <c r="L78" s="274">
        <v>30</v>
      </c>
      <c r="O78" s="121"/>
      <c r="P78" s="121"/>
      <c r="Q78" s="82"/>
      <c r="R78" s="82"/>
      <c r="S78" s="82"/>
      <c r="T78" s="82"/>
      <c r="U78" s="85"/>
    </row>
    <row r="79" spans="1:22" s="362" customFormat="1" ht="13.8" x14ac:dyDescent="0.3">
      <c r="B79" s="135" t="s">
        <v>652</v>
      </c>
      <c r="C79" s="378"/>
      <c r="D79" s="378" t="s">
        <v>435</v>
      </c>
      <c r="E79" s="418"/>
      <c r="F79" s="378" t="s">
        <v>539</v>
      </c>
      <c r="G79" s="419"/>
      <c r="H79" s="274" t="s">
        <v>480</v>
      </c>
      <c r="I79" s="409" t="s">
        <v>14</v>
      </c>
      <c r="J79" s="410" t="s">
        <v>14</v>
      </c>
      <c r="K79" s="409" t="s">
        <v>14</v>
      </c>
      <c r="L79" s="410" t="s">
        <v>14</v>
      </c>
      <c r="O79" s="121"/>
      <c r="P79" s="121"/>
      <c r="Q79" s="82"/>
      <c r="R79" s="82"/>
      <c r="S79" s="82"/>
      <c r="T79" s="82"/>
      <c r="U79" s="369"/>
    </row>
    <row r="80" spans="1:22" s="362" customFormat="1" ht="13.8" x14ac:dyDescent="0.3">
      <c r="B80" s="135" t="s">
        <v>653</v>
      </c>
      <c r="C80" s="378"/>
      <c r="D80" s="378" t="s">
        <v>435</v>
      </c>
      <c r="E80" s="418"/>
      <c r="F80" s="378" t="s">
        <v>539</v>
      </c>
      <c r="G80" s="419"/>
      <c r="H80" s="274" t="s">
        <v>480</v>
      </c>
      <c r="I80" s="409" t="s">
        <v>14</v>
      </c>
      <c r="J80" s="410" t="s">
        <v>14</v>
      </c>
      <c r="K80" s="409" t="s">
        <v>14</v>
      </c>
      <c r="L80" s="410" t="s">
        <v>14</v>
      </c>
      <c r="O80" s="121"/>
      <c r="P80" s="121"/>
      <c r="Q80" s="82"/>
      <c r="R80" s="82"/>
      <c r="S80" s="82"/>
      <c r="T80" s="82"/>
      <c r="U80" s="369"/>
    </row>
    <row r="81" spans="1:32" s="362" customFormat="1" ht="13.8" x14ac:dyDescent="0.3">
      <c r="B81" s="316" t="s">
        <v>654</v>
      </c>
      <c r="C81" s="158"/>
      <c r="D81" s="158" t="s">
        <v>435</v>
      </c>
      <c r="E81" s="417"/>
      <c r="F81" s="158" t="s">
        <v>539</v>
      </c>
      <c r="G81" s="417"/>
      <c r="H81" s="252" t="s">
        <v>480</v>
      </c>
      <c r="I81" s="411" t="s">
        <v>14</v>
      </c>
      <c r="J81" s="412" t="s">
        <v>14</v>
      </c>
      <c r="K81" s="411" t="s">
        <v>14</v>
      </c>
      <c r="L81" s="412" t="s">
        <v>14</v>
      </c>
      <c r="O81" s="121"/>
      <c r="P81" s="121"/>
      <c r="Q81" s="82"/>
      <c r="R81" s="82"/>
      <c r="S81" s="82"/>
      <c r="T81" s="82"/>
      <c r="U81" s="369"/>
    </row>
    <row r="82" spans="1:32" x14ac:dyDescent="0.3">
      <c r="A82" s="397"/>
      <c r="B82" s="85"/>
      <c r="D82" s="85"/>
      <c r="E82" s="85"/>
      <c r="F82" s="85"/>
      <c r="G82" s="85"/>
      <c r="H82" s="85"/>
      <c r="I82" s="85"/>
      <c r="J82" s="397"/>
      <c r="K82" s="397"/>
      <c r="L82" s="397"/>
      <c r="M82" s="362"/>
      <c r="N82" s="397"/>
      <c r="O82" s="121"/>
      <c r="P82" s="111"/>
      <c r="Q82" s="82"/>
      <c r="R82" s="82"/>
      <c r="S82" s="82"/>
      <c r="T82" s="82"/>
    </row>
    <row r="83" spans="1:32" x14ac:dyDescent="0.3">
      <c r="A83" s="82"/>
      <c r="B83" s="85"/>
      <c r="C83" s="83"/>
      <c r="D83" s="397"/>
      <c r="E83" s="82"/>
      <c r="F83" s="82"/>
      <c r="G83" s="82"/>
      <c r="H83" s="82"/>
      <c r="I83" s="82"/>
      <c r="J83" s="82"/>
      <c r="K83" s="82"/>
      <c r="L83" s="82"/>
      <c r="M83" s="82"/>
      <c r="N83" s="82"/>
      <c r="O83" s="82"/>
      <c r="P83" s="82"/>
      <c r="Q83" s="82"/>
      <c r="R83" s="82"/>
      <c r="S83" s="82"/>
      <c r="T83" s="82"/>
    </row>
    <row r="84" spans="1:32" ht="27.6" x14ac:dyDescent="0.3">
      <c r="A84" s="82"/>
      <c r="B84" s="108" t="s">
        <v>505</v>
      </c>
      <c r="C84" s="113" t="s">
        <v>291</v>
      </c>
      <c r="D84" s="112" t="s">
        <v>433</v>
      </c>
      <c r="E84" s="207"/>
      <c r="F84" s="142" t="s">
        <v>292</v>
      </c>
      <c r="G84" s="125"/>
      <c r="H84" s="142" t="s">
        <v>293</v>
      </c>
      <c r="I84" s="397"/>
      <c r="J84" s="397"/>
      <c r="K84" s="397"/>
      <c r="L84" s="397"/>
      <c r="M84" s="82"/>
      <c r="N84" s="82"/>
      <c r="O84" s="397"/>
      <c r="P84" s="397"/>
      <c r="Q84" s="397"/>
      <c r="R84" s="397"/>
      <c r="S84" s="397"/>
      <c r="T84" s="397"/>
    </row>
    <row r="85" spans="1:32" ht="15" thickBot="1" x14ac:dyDescent="0.35">
      <c r="A85" s="82"/>
      <c r="B85" s="173" t="s">
        <v>285</v>
      </c>
      <c r="C85" s="171" t="s">
        <v>286</v>
      </c>
      <c r="D85" s="376"/>
      <c r="E85" s="208"/>
      <c r="F85" s="174" t="s">
        <v>287</v>
      </c>
      <c r="G85" s="208"/>
      <c r="H85" s="174" t="s">
        <v>288</v>
      </c>
      <c r="I85" s="397"/>
      <c r="J85" s="397"/>
      <c r="K85" s="397"/>
      <c r="L85" s="397"/>
      <c r="M85" s="82"/>
      <c r="N85" s="82"/>
      <c r="O85" s="397"/>
      <c r="P85" s="397"/>
      <c r="Q85" s="397"/>
      <c r="R85" s="397"/>
      <c r="S85" s="397"/>
      <c r="T85" s="397"/>
    </row>
    <row r="86" spans="1:32" s="362" customFormat="1" thickTop="1" x14ac:dyDescent="0.3">
      <c r="A86" s="82"/>
      <c r="B86" s="135" t="s">
        <v>662</v>
      </c>
      <c r="C86" s="378" t="s">
        <v>297</v>
      </c>
      <c r="D86" s="381" t="s">
        <v>435</v>
      </c>
      <c r="E86" s="418"/>
      <c r="F86" s="378" t="s">
        <v>413</v>
      </c>
      <c r="G86" s="418"/>
      <c r="H86" s="263" t="s">
        <v>414</v>
      </c>
      <c r="M86" s="82"/>
      <c r="N86" s="82"/>
      <c r="U86" s="369"/>
    </row>
    <row r="87" spans="1:32" s="362" customFormat="1" ht="13.8" x14ac:dyDescent="0.3">
      <c r="A87" s="82"/>
      <c r="B87" s="135" t="s">
        <v>663</v>
      </c>
      <c r="C87" s="378" t="s">
        <v>297</v>
      </c>
      <c r="D87" s="381" t="s">
        <v>435</v>
      </c>
      <c r="E87" s="418"/>
      <c r="F87" s="378" t="s">
        <v>664</v>
      </c>
      <c r="G87" s="418"/>
      <c r="H87" s="274" t="s">
        <v>665</v>
      </c>
      <c r="M87" s="82"/>
      <c r="N87" s="82"/>
      <c r="U87" s="369"/>
    </row>
    <row r="88" spans="1:32" s="362" customFormat="1" ht="13.8" x14ac:dyDescent="0.3">
      <c r="A88" s="82"/>
      <c r="B88" s="175" t="s">
        <v>580</v>
      </c>
      <c r="C88" s="150" t="s">
        <v>337</v>
      </c>
      <c r="D88" s="151" t="s">
        <v>435</v>
      </c>
      <c r="E88" s="152" t="s">
        <v>14</v>
      </c>
      <c r="F88" s="157" t="s">
        <v>14</v>
      </c>
      <c r="G88" s="152" t="s">
        <v>14</v>
      </c>
      <c r="H88" s="157" t="s">
        <v>14</v>
      </c>
      <c r="M88" s="82"/>
      <c r="N88" s="82"/>
      <c r="U88" s="369"/>
    </row>
    <row r="89" spans="1:32" s="18" customFormat="1" ht="13.8" x14ac:dyDescent="0.3">
      <c r="A89" s="403"/>
      <c r="B89" s="378"/>
      <c r="C89" s="378"/>
      <c r="D89" s="378"/>
      <c r="E89" s="378"/>
      <c r="F89" s="378"/>
      <c r="G89" s="378"/>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row>
    <row r="90" spans="1:32" s="621" customFormat="1" x14ac:dyDescent="0.3">
      <c r="I90" s="627"/>
      <c r="M90" s="627"/>
      <c r="O90" s="657"/>
      <c r="P90" s="641"/>
      <c r="Q90" s="403"/>
      <c r="R90" s="403"/>
      <c r="S90" s="403"/>
      <c r="T90" s="403"/>
    </row>
    <row r="91" spans="1:32" x14ac:dyDescent="0.3">
      <c r="A91" s="26"/>
      <c r="B91" s="28" t="s">
        <v>487</v>
      </c>
      <c r="C91" s="397"/>
      <c r="D91" s="397"/>
      <c r="E91" s="362"/>
      <c r="F91" s="397"/>
      <c r="G91" s="362"/>
      <c r="H91" s="397"/>
      <c r="I91" s="362"/>
      <c r="J91" s="397"/>
      <c r="K91" s="362"/>
      <c r="L91" s="397"/>
      <c r="M91" s="362"/>
      <c r="N91" s="397"/>
      <c r="O91" s="121"/>
      <c r="P91" s="111"/>
      <c r="Q91" s="82"/>
      <c r="R91" s="82"/>
      <c r="S91" s="82"/>
      <c r="T91" s="82"/>
      <c r="U91" s="363"/>
      <c r="V91" s="363"/>
      <c r="W91" s="363"/>
      <c r="X91" s="363"/>
    </row>
    <row r="92" spans="1:32" ht="27.6" x14ac:dyDescent="0.3">
      <c r="A92" s="397"/>
      <c r="B92" s="108" t="s">
        <v>488</v>
      </c>
      <c r="C92" s="112"/>
      <c r="D92" s="113" t="s">
        <v>433</v>
      </c>
      <c r="E92" s="231"/>
      <c r="F92" s="109" t="s">
        <v>836</v>
      </c>
      <c r="G92" s="210"/>
      <c r="H92" s="116" t="s">
        <v>489</v>
      </c>
      <c r="I92" s="231"/>
      <c r="J92" s="109" t="s">
        <v>490</v>
      </c>
      <c r="K92" s="455"/>
      <c r="L92" s="456" t="s">
        <v>491</v>
      </c>
      <c r="M92" s="231"/>
      <c r="N92" s="109" t="s">
        <v>739</v>
      </c>
      <c r="O92" s="121"/>
      <c r="P92" s="111"/>
      <c r="Q92" s="397"/>
      <c r="R92" s="397"/>
      <c r="S92" s="397"/>
      <c r="T92" s="397"/>
      <c r="U92" s="363"/>
      <c r="V92" s="363"/>
      <c r="W92" s="363"/>
      <c r="X92" s="363"/>
    </row>
    <row r="93" spans="1:32" ht="15" thickBot="1" x14ac:dyDescent="0.35">
      <c r="A93" s="397"/>
      <c r="B93" s="212"/>
      <c r="C93" s="118"/>
      <c r="D93" s="172"/>
      <c r="E93" s="375"/>
      <c r="F93" s="355" t="s">
        <v>1057</v>
      </c>
      <c r="G93" s="376"/>
      <c r="H93" s="354" t="s">
        <v>1058</v>
      </c>
      <c r="I93" s="230"/>
      <c r="J93" s="355" t="s">
        <v>1059</v>
      </c>
      <c r="K93" s="211"/>
      <c r="L93" s="354" t="s">
        <v>611</v>
      </c>
      <c r="M93" s="230"/>
      <c r="N93" s="355" t="s">
        <v>1060</v>
      </c>
      <c r="O93" s="121"/>
      <c r="P93" s="111"/>
      <c r="Q93" s="397"/>
      <c r="R93" s="397"/>
      <c r="S93" s="397"/>
      <c r="T93" s="397"/>
      <c r="U93" s="363"/>
      <c r="V93" s="363"/>
      <c r="W93" s="363"/>
      <c r="X93" s="363"/>
    </row>
    <row r="94" spans="1:32" s="362" customFormat="1" thickTop="1" x14ac:dyDescent="0.3">
      <c r="B94" s="356">
        <v>1</v>
      </c>
      <c r="C94" s="392"/>
      <c r="D94" s="158" t="s">
        <v>435</v>
      </c>
      <c r="E94" s="658" t="s">
        <v>919</v>
      </c>
      <c r="F94" s="659">
        <v>1700000</v>
      </c>
      <c r="G94" s="164"/>
      <c r="H94" s="150">
        <v>0.8</v>
      </c>
      <c r="I94" s="165"/>
      <c r="J94" s="155" t="s">
        <v>475</v>
      </c>
      <c r="K94" s="164"/>
      <c r="L94" s="160" t="s">
        <v>493</v>
      </c>
      <c r="M94" s="165"/>
      <c r="N94" s="155">
        <v>0.25</v>
      </c>
      <c r="O94" s="121"/>
      <c r="P94" s="121"/>
      <c r="Q94" s="82"/>
      <c r="R94" s="82"/>
      <c r="S94" s="82"/>
      <c r="T94" s="82"/>
      <c r="U94" s="364"/>
      <c r="V94" s="364"/>
      <c r="W94" s="364"/>
      <c r="X94" s="364"/>
    </row>
    <row r="95" spans="1:32" s="18" customFormat="1" x14ac:dyDescent="0.3">
      <c r="A95" s="403"/>
      <c r="B95" s="407"/>
      <c r="C95" s="67"/>
      <c r="E95" s="627"/>
      <c r="G95" s="655"/>
      <c r="I95" s="655"/>
      <c r="K95" s="655"/>
      <c r="M95" s="655"/>
      <c r="O95" s="655"/>
      <c r="Q95" s="403"/>
      <c r="R95" s="403"/>
      <c r="S95" s="403"/>
      <c r="T95" s="403"/>
      <c r="U95" s="621"/>
      <c r="V95" s="621"/>
      <c r="W95" s="621"/>
      <c r="X95" s="621"/>
    </row>
    <row r="96" spans="1:32" s="86" customFormat="1" ht="13.8" x14ac:dyDescent="0.3">
      <c r="A96" s="82"/>
      <c r="B96" s="85"/>
      <c r="C96" s="83"/>
      <c r="E96" s="362"/>
      <c r="G96" s="25"/>
      <c r="I96" s="87"/>
      <c r="K96" s="87"/>
      <c r="M96" s="87"/>
      <c r="O96" s="87"/>
      <c r="Q96" s="87"/>
      <c r="S96" s="87"/>
      <c r="U96" s="369"/>
    </row>
    <row r="97" spans="1:24" s="86" customFormat="1" ht="13.8" x14ac:dyDescent="0.3">
      <c r="A97" s="291"/>
      <c r="B97" s="291" t="s">
        <v>48</v>
      </c>
      <c r="C97" s="292"/>
      <c r="D97" s="290"/>
      <c r="E97" s="292"/>
      <c r="F97" s="290"/>
      <c r="G97" s="293"/>
      <c r="H97" s="290"/>
      <c r="I97" s="292"/>
      <c r="J97" s="290"/>
      <c r="K97" s="292"/>
      <c r="L97" s="290"/>
      <c r="M97" s="290"/>
      <c r="N97" s="290"/>
      <c r="O97" s="292"/>
      <c r="P97" s="290"/>
      <c r="Q97" s="292"/>
      <c r="R97" s="292"/>
      <c r="S97" s="292"/>
      <c r="T97" s="292"/>
      <c r="U97" s="292"/>
      <c r="V97" s="292"/>
      <c r="W97" s="292"/>
      <c r="X97" s="292"/>
    </row>
    <row r="98" spans="1:24" x14ac:dyDescent="0.3">
      <c r="A98" s="24"/>
      <c r="B98" s="24" t="s">
        <v>114</v>
      </c>
      <c r="C98" s="87"/>
      <c r="D98" s="86"/>
      <c r="E98" s="86"/>
      <c r="F98" s="25"/>
      <c r="G98" s="86"/>
      <c r="H98" s="87"/>
      <c r="I98" s="86"/>
      <c r="J98" s="87"/>
      <c r="K98" s="86"/>
      <c r="L98" s="87"/>
      <c r="M98" s="86"/>
      <c r="N98" s="87"/>
      <c r="O98" s="86"/>
      <c r="P98" s="87"/>
      <c r="Q98" s="86"/>
      <c r="R98" s="87"/>
      <c r="S98" s="86"/>
      <c r="T98" s="87"/>
      <c r="U98" s="86"/>
    </row>
    <row r="99" spans="1:24" s="461" customFormat="1" ht="41.4" x14ac:dyDescent="0.3">
      <c r="A99" s="86"/>
      <c r="B99" s="108" t="s">
        <v>138</v>
      </c>
      <c r="C99" s="116" t="s">
        <v>190</v>
      </c>
      <c r="D99" s="113" t="s">
        <v>601</v>
      </c>
      <c r="E99" s="280"/>
      <c r="F99" s="110" t="s">
        <v>595</v>
      </c>
      <c r="G99" s="280"/>
      <c r="H99" s="110" t="s">
        <v>124</v>
      </c>
      <c r="I99" s="86"/>
      <c r="J99" s="87"/>
      <c r="K99" s="86"/>
      <c r="L99" s="87"/>
      <c r="M99" s="86"/>
      <c r="N99" s="87"/>
      <c r="O99" s="86"/>
      <c r="P99" s="87"/>
      <c r="Q99" s="86"/>
      <c r="R99" s="87"/>
      <c r="S99" s="86"/>
      <c r="T99" s="87"/>
      <c r="U99" s="86"/>
    </row>
    <row r="100" spans="1:24" s="461" customFormat="1" ht="15" thickBot="1" x14ac:dyDescent="0.35">
      <c r="A100" s="86"/>
      <c r="B100" s="173" t="s">
        <v>213</v>
      </c>
      <c r="C100" s="171"/>
      <c r="D100" s="376"/>
      <c r="E100" s="320"/>
      <c r="F100" s="117" t="s">
        <v>151</v>
      </c>
      <c r="G100" s="320"/>
      <c r="H100" s="143" t="s">
        <v>152</v>
      </c>
      <c r="I100" s="86"/>
      <c r="J100" s="87"/>
      <c r="K100" s="86"/>
      <c r="L100" s="87"/>
      <c r="M100" s="86"/>
      <c r="N100" s="87"/>
      <c r="O100" s="86"/>
      <c r="P100" s="87"/>
      <c r="Q100" s="86"/>
      <c r="R100" s="87"/>
      <c r="S100" s="86"/>
      <c r="T100" s="87"/>
      <c r="U100" s="86"/>
    </row>
    <row r="101" spans="1:24" s="41" customFormat="1" thickTop="1" x14ac:dyDescent="0.3">
      <c r="A101" s="86"/>
      <c r="B101" s="135" t="s">
        <v>85</v>
      </c>
      <c r="C101" s="371" t="s">
        <v>789</v>
      </c>
      <c r="D101" s="378">
        <v>10586.7</v>
      </c>
      <c r="E101" s="418"/>
      <c r="F101" s="831">
        <v>20</v>
      </c>
      <c r="G101" s="418"/>
      <c r="H101" s="365" t="s">
        <v>790</v>
      </c>
      <c r="I101" s="86"/>
      <c r="J101" s="87"/>
      <c r="K101" s="86"/>
      <c r="L101" s="87"/>
      <c r="M101" s="86"/>
      <c r="N101" s="87"/>
      <c r="O101" s="86"/>
      <c r="P101" s="87"/>
      <c r="Q101" s="86"/>
      <c r="R101" s="87"/>
      <c r="S101" s="86"/>
      <c r="T101" s="87"/>
      <c r="U101" s="86"/>
    </row>
    <row r="102" spans="1:24" s="41" customFormat="1" ht="27.6" x14ac:dyDescent="0.3">
      <c r="A102" s="86"/>
      <c r="B102" s="135" t="s">
        <v>87</v>
      </c>
      <c r="C102" s="85" t="s">
        <v>117</v>
      </c>
      <c r="D102" s="378">
        <v>2231.7600000000002</v>
      </c>
      <c r="E102" s="419"/>
      <c r="F102" s="831">
        <v>1.5</v>
      </c>
      <c r="G102" s="419"/>
      <c r="H102" s="365" t="s">
        <v>134</v>
      </c>
      <c r="I102" s="86"/>
      <c r="J102" s="87"/>
      <c r="K102" s="86"/>
      <c r="L102" s="87"/>
      <c r="M102" s="86"/>
      <c r="N102" s="87"/>
      <c r="O102" s="86"/>
      <c r="P102" s="87"/>
      <c r="Q102" s="86"/>
      <c r="R102" s="87"/>
      <c r="S102" s="86"/>
      <c r="T102" s="87"/>
      <c r="U102" s="86"/>
    </row>
    <row r="103" spans="1:24" s="41" customFormat="1" ht="27.6" x14ac:dyDescent="0.3">
      <c r="A103" s="86"/>
      <c r="B103" s="135" t="s">
        <v>88</v>
      </c>
      <c r="C103" s="85" t="s">
        <v>117</v>
      </c>
      <c r="D103" s="378">
        <v>1412.9</v>
      </c>
      <c r="E103" s="419"/>
      <c r="F103" s="831">
        <v>1.5</v>
      </c>
      <c r="G103" s="419"/>
      <c r="H103" s="365" t="s">
        <v>134</v>
      </c>
      <c r="I103" s="86"/>
      <c r="J103" s="87"/>
      <c r="K103" s="86"/>
      <c r="L103" s="87"/>
      <c r="M103" s="86"/>
      <c r="N103" s="87"/>
      <c r="O103" s="86"/>
      <c r="P103" s="87"/>
      <c r="Q103" s="86"/>
      <c r="R103" s="87"/>
      <c r="S103" s="86"/>
      <c r="T103" s="87"/>
      <c r="U103" s="86"/>
    </row>
    <row r="104" spans="1:24" s="41" customFormat="1" ht="27.6" x14ac:dyDescent="0.3">
      <c r="A104" s="86"/>
      <c r="B104" s="135" t="s">
        <v>89</v>
      </c>
      <c r="C104" s="85" t="s">
        <v>117</v>
      </c>
      <c r="D104" s="378">
        <v>2231.7600000000002</v>
      </c>
      <c r="E104" s="419"/>
      <c r="F104" s="831">
        <v>1.5</v>
      </c>
      <c r="G104" s="419"/>
      <c r="H104" s="365" t="s">
        <v>134</v>
      </c>
      <c r="I104" s="86"/>
      <c r="J104" s="87"/>
      <c r="K104" s="86"/>
      <c r="L104" s="87"/>
      <c r="M104" s="86"/>
      <c r="N104" s="87"/>
      <c r="O104" s="86"/>
      <c r="P104" s="87"/>
      <c r="Q104" s="86"/>
      <c r="R104" s="87"/>
      <c r="S104" s="86"/>
      <c r="T104" s="87"/>
      <c r="U104" s="86"/>
    </row>
    <row r="105" spans="1:24" s="41" customFormat="1" ht="27.6" x14ac:dyDescent="0.3">
      <c r="A105" s="86"/>
      <c r="B105" s="135" t="s">
        <v>90</v>
      </c>
      <c r="C105" s="85" t="s">
        <v>117</v>
      </c>
      <c r="D105" s="378">
        <v>1412.8</v>
      </c>
      <c r="E105" s="136"/>
      <c r="F105" s="831">
        <v>1.5</v>
      </c>
      <c r="G105" s="136"/>
      <c r="H105" s="365" t="s">
        <v>134</v>
      </c>
      <c r="I105" s="86"/>
      <c r="J105" s="87"/>
      <c r="K105" s="86"/>
      <c r="L105" s="87"/>
      <c r="M105" s="86"/>
      <c r="N105" s="87"/>
      <c r="O105" s="86"/>
      <c r="P105" s="87"/>
      <c r="Q105" s="86"/>
      <c r="R105" s="87"/>
      <c r="S105" s="86"/>
      <c r="T105" s="87"/>
      <c r="U105" s="86"/>
    </row>
    <row r="106" spans="1:24" s="41" customFormat="1" ht="27.6" x14ac:dyDescent="0.3">
      <c r="A106" s="86"/>
      <c r="B106" s="135" t="s">
        <v>160</v>
      </c>
      <c r="C106" s="371" t="s">
        <v>118</v>
      </c>
      <c r="D106" s="378">
        <v>0</v>
      </c>
      <c r="E106" s="409" t="s">
        <v>14</v>
      </c>
      <c r="F106" s="832" t="s">
        <v>14</v>
      </c>
      <c r="G106" s="409" t="s">
        <v>14</v>
      </c>
      <c r="H106" s="410" t="s">
        <v>14</v>
      </c>
      <c r="I106" s="86"/>
      <c r="J106" s="87"/>
      <c r="K106" s="86"/>
      <c r="L106" s="87"/>
      <c r="M106" s="86"/>
      <c r="N106" s="87"/>
      <c r="O106" s="86"/>
      <c r="P106" s="87"/>
      <c r="Q106" s="86"/>
      <c r="R106" s="87"/>
      <c r="S106" s="86"/>
      <c r="T106" s="87"/>
      <c r="U106" s="86"/>
    </row>
    <row r="107" spans="1:24" s="41" customFormat="1" ht="13.8" x14ac:dyDescent="0.3">
      <c r="A107" s="86"/>
      <c r="B107" s="135" t="s">
        <v>97</v>
      </c>
      <c r="C107" s="371" t="s">
        <v>789</v>
      </c>
      <c r="D107" s="378">
        <v>10586.7</v>
      </c>
      <c r="E107" s="418"/>
      <c r="F107" s="831">
        <v>20</v>
      </c>
      <c r="G107" s="418"/>
      <c r="H107" s="365" t="s">
        <v>790</v>
      </c>
      <c r="I107" s="86"/>
      <c r="J107" s="87"/>
      <c r="K107" s="86"/>
      <c r="L107" s="87"/>
      <c r="M107" s="86"/>
      <c r="N107" s="87"/>
      <c r="O107" s="86"/>
      <c r="P107" s="87"/>
      <c r="Q107" s="86"/>
      <c r="R107" s="87"/>
      <c r="S107" s="86"/>
      <c r="T107" s="87"/>
      <c r="U107" s="86"/>
    </row>
    <row r="108" spans="1:24" s="41" customFormat="1" ht="27.6" x14ac:dyDescent="0.3">
      <c r="A108" s="86"/>
      <c r="B108" s="135" t="s">
        <v>99</v>
      </c>
      <c r="C108" s="85" t="s">
        <v>117</v>
      </c>
      <c r="D108" s="378">
        <v>2231.7600000000002</v>
      </c>
      <c r="E108" s="419"/>
      <c r="F108" s="831">
        <v>1.5</v>
      </c>
      <c r="G108" s="419"/>
      <c r="H108" s="365" t="s">
        <v>134</v>
      </c>
      <c r="I108" s="86"/>
      <c r="J108" s="87"/>
      <c r="K108" s="86"/>
      <c r="L108" s="87"/>
      <c r="M108" s="86"/>
      <c r="N108" s="87"/>
      <c r="O108" s="86"/>
      <c r="P108" s="87"/>
      <c r="Q108" s="86"/>
      <c r="R108" s="87"/>
      <c r="S108" s="86"/>
      <c r="T108" s="87"/>
      <c r="U108" s="86"/>
    </row>
    <row r="109" spans="1:24" s="41" customFormat="1" ht="27.6" x14ac:dyDescent="0.3">
      <c r="A109" s="86"/>
      <c r="B109" s="135" t="s">
        <v>100</v>
      </c>
      <c r="C109" s="85" t="s">
        <v>117</v>
      </c>
      <c r="D109" s="378">
        <v>1412.9</v>
      </c>
      <c r="E109" s="419"/>
      <c r="F109" s="831">
        <v>1.5</v>
      </c>
      <c r="G109" s="419"/>
      <c r="H109" s="365" t="s">
        <v>134</v>
      </c>
      <c r="I109" s="86"/>
      <c r="J109" s="87"/>
      <c r="K109" s="86"/>
      <c r="L109" s="87"/>
      <c r="M109" s="86"/>
      <c r="N109" s="87"/>
      <c r="O109" s="86"/>
      <c r="P109" s="87"/>
      <c r="Q109" s="86"/>
      <c r="R109" s="87"/>
      <c r="S109" s="86"/>
      <c r="T109" s="87"/>
      <c r="U109" s="86"/>
    </row>
    <row r="110" spans="1:24" s="41" customFormat="1" ht="27.6" x14ac:dyDescent="0.3">
      <c r="A110" s="86"/>
      <c r="B110" s="135" t="s">
        <v>101</v>
      </c>
      <c r="C110" s="85" t="s">
        <v>117</v>
      </c>
      <c r="D110" s="378">
        <v>2231.7600000000002</v>
      </c>
      <c r="E110" s="419"/>
      <c r="F110" s="831">
        <v>1.5</v>
      </c>
      <c r="G110" s="419"/>
      <c r="H110" s="365" t="s">
        <v>134</v>
      </c>
      <c r="I110" s="86"/>
      <c r="J110" s="87"/>
      <c r="K110" s="86"/>
      <c r="L110" s="87"/>
      <c r="M110" s="86"/>
      <c r="N110" s="87"/>
      <c r="O110" s="86"/>
      <c r="P110" s="87"/>
      <c r="Q110" s="86"/>
      <c r="R110" s="87"/>
      <c r="S110" s="86"/>
      <c r="T110" s="87"/>
      <c r="U110" s="86"/>
    </row>
    <row r="111" spans="1:24" s="41" customFormat="1" ht="27.6" x14ac:dyDescent="0.3">
      <c r="A111" s="86"/>
      <c r="B111" s="135" t="s">
        <v>102</v>
      </c>
      <c r="C111" s="85" t="s">
        <v>117</v>
      </c>
      <c r="D111" s="378">
        <v>1412.8</v>
      </c>
      <c r="E111" s="136"/>
      <c r="F111" s="831">
        <v>1.5</v>
      </c>
      <c r="G111" s="136"/>
      <c r="H111" s="365" t="s">
        <v>134</v>
      </c>
      <c r="I111" s="86"/>
      <c r="J111" s="87"/>
      <c r="K111" s="86"/>
      <c r="L111" s="87"/>
      <c r="M111" s="86"/>
      <c r="N111" s="87"/>
      <c r="O111" s="86"/>
      <c r="P111" s="87"/>
      <c r="Q111" s="86"/>
      <c r="R111" s="87"/>
      <c r="S111" s="86"/>
      <c r="T111" s="87"/>
      <c r="U111" s="86"/>
    </row>
    <row r="112" spans="1:24" s="41" customFormat="1" ht="27.6" x14ac:dyDescent="0.3">
      <c r="A112" s="86"/>
      <c r="B112" s="135" t="s">
        <v>98</v>
      </c>
      <c r="C112" s="371" t="s">
        <v>118</v>
      </c>
      <c r="D112" s="378">
        <v>0</v>
      </c>
      <c r="E112" s="409" t="s">
        <v>14</v>
      </c>
      <c r="F112" s="832" t="s">
        <v>14</v>
      </c>
      <c r="G112" s="409" t="s">
        <v>14</v>
      </c>
      <c r="H112" s="410" t="s">
        <v>14</v>
      </c>
      <c r="I112" s="86"/>
      <c r="J112" s="87"/>
      <c r="K112" s="86"/>
      <c r="L112" s="87"/>
      <c r="M112" s="86"/>
      <c r="N112" s="87"/>
      <c r="O112" s="86"/>
      <c r="P112" s="87"/>
      <c r="Q112" s="86"/>
      <c r="R112" s="87"/>
      <c r="S112" s="86"/>
      <c r="T112" s="87"/>
      <c r="U112" s="86"/>
    </row>
    <row r="113" spans="1:21" s="41" customFormat="1" ht="13.8" x14ac:dyDescent="0.3">
      <c r="A113" s="86"/>
      <c r="B113" s="135" t="s">
        <v>103</v>
      </c>
      <c r="C113" s="371" t="s">
        <v>789</v>
      </c>
      <c r="D113" s="378">
        <v>10586.7</v>
      </c>
      <c r="E113" s="418"/>
      <c r="F113" s="831">
        <v>20</v>
      </c>
      <c r="G113" s="418"/>
      <c r="H113" s="365" t="s">
        <v>790</v>
      </c>
      <c r="I113" s="86"/>
      <c r="J113" s="87"/>
      <c r="K113" s="86"/>
      <c r="L113" s="87"/>
      <c r="M113" s="86"/>
      <c r="N113" s="87"/>
      <c r="O113" s="86"/>
      <c r="P113" s="87"/>
      <c r="Q113" s="86"/>
      <c r="R113" s="87"/>
      <c r="S113" s="86"/>
      <c r="T113" s="87"/>
      <c r="U113" s="86"/>
    </row>
    <row r="114" spans="1:21" s="41" customFormat="1" ht="27.6" x14ac:dyDescent="0.3">
      <c r="A114" s="86"/>
      <c r="B114" s="135" t="s">
        <v>104</v>
      </c>
      <c r="C114" s="85" t="s">
        <v>117</v>
      </c>
      <c r="D114" s="378">
        <v>2231.7600000000002</v>
      </c>
      <c r="E114" s="419"/>
      <c r="F114" s="831">
        <v>1.5</v>
      </c>
      <c r="G114" s="419"/>
      <c r="H114" s="365" t="s">
        <v>134</v>
      </c>
      <c r="I114" s="86"/>
      <c r="J114" s="87"/>
      <c r="K114" s="86"/>
      <c r="L114" s="87"/>
      <c r="M114" s="86"/>
      <c r="N114" s="87"/>
      <c r="O114" s="86"/>
      <c r="P114" s="87"/>
      <c r="Q114" s="86"/>
      <c r="R114" s="87"/>
      <c r="S114" s="86"/>
      <c r="T114" s="87"/>
      <c r="U114" s="86"/>
    </row>
    <row r="115" spans="1:21" s="41" customFormat="1" ht="27.6" x14ac:dyDescent="0.3">
      <c r="A115" s="86"/>
      <c r="B115" s="135" t="s">
        <v>105</v>
      </c>
      <c r="C115" s="85" t="s">
        <v>117</v>
      </c>
      <c r="D115" s="378">
        <v>1412.9</v>
      </c>
      <c r="E115" s="419"/>
      <c r="F115" s="831">
        <v>1.5</v>
      </c>
      <c r="G115" s="419"/>
      <c r="H115" s="365" t="s">
        <v>134</v>
      </c>
      <c r="I115" s="86"/>
      <c r="J115" s="87"/>
      <c r="K115" s="86"/>
      <c r="L115" s="87"/>
      <c r="M115" s="86"/>
      <c r="N115" s="87"/>
      <c r="O115" s="86"/>
      <c r="P115" s="87"/>
      <c r="Q115" s="86"/>
      <c r="R115" s="87"/>
      <c r="S115" s="86"/>
      <c r="T115" s="87"/>
      <c r="U115" s="86"/>
    </row>
    <row r="116" spans="1:21" s="41" customFormat="1" ht="27.6" x14ac:dyDescent="0.3">
      <c r="A116" s="86"/>
      <c r="B116" s="135" t="s">
        <v>106</v>
      </c>
      <c r="C116" s="85" t="s">
        <v>117</v>
      </c>
      <c r="D116" s="378">
        <v>2231.7600000000002</v>
      </c>
      <c r="E116" s="419"/>
      <c r="F116" s="831">
        <v>1.5</v>
      </c>
      <c r="G116" s="419"/>
      <c r="H116" s="365" t="s">
        <v>134</v>
      </c>
      <c r="I116" s="86"/>
      <c r="J116" s="87"/>
      <c r="K116" s="86"/>
      <c r="L116" s="87"/>
      <c r="M116" s="86"/>
      <c r="N116" s="87"/>
      <c r="O116" s="86"/>
      <c r="P116" s="87"/>
      <c r="Q116" s="86"/>
      <c r="R116" s="87"/>
      <c r="S116" s="86"/>
      <c r="T116" s="87"/>
      <c r="U116" s="86"/>
    </row>
    <row r="117" spans="1:21" s="41" customFormat="1" ht="27.6" x14ac:dyDescent="0.3">
      <c r="A117" s="86"/>
      <c r="B117" s="135" t="s">
        <v>107</v>
      </c>
      <c r="C117" s="85" t="s">
        <v>117</v>
      </c>
      <c r="D117" s="378">
        <v>1412.8</v>
      </c>
      <c r="E117" s="136"/>
      <c r="F117" s="831">
        <v>1.5</v>
      </c>
      <c r="G117" s="136"/>
      <c r="H117" s="365" t="s">
        <v>134</v>
      </c>
      <c r="I117" s="86"/>
      <c r="J117" s="87"/>
      <c r="K117" s="86"/>
      <c r="L117" s="87"/>
      <c r="M117" s="86"/>
      <c r="N117" s="87"/>
      <c r="O117" s="86"/>
      <c r="P117" s="87"/>
      <c r="Q117" s="86"/>
      <c r="R117" s="87"/>
      <c r="S117" s="86"/>
      <c r="T117" s="87"/>
      <c r="U117" s="86"/>
    </row>
    <row r="118" spans="1:21" s="41" customFormat="1" ht="27.6" x14ac:dyDescent="0.3">
      <c r="A118" s="86"/>
      <c r="B118" s="316" t="s">
        <v>108</v>
      </c>
      <c r="C118" s="160" t="s">
        <v>118</v>
      </c>
      <c r="D118" s="158">
        <v>0</v>
      </c>
      <c r="E118" s="411" t="s">
        <v>14</v>
      </c>
      <c r="F118" s="412" t="s">
        <v>14</v>
      </c>
      <c r="G118" s="411" t="s">
        <v>14</v>
      </c>
      <c r="H118" s="412" t="s">
        <v>14</v>
      </c>
      <c r="I118" s="86"/>
      <c r="J118" s="87"/>
      <c r="K118" s="86"/>
      <c r="L118" s="87"/>
      <c r="M118" s="86"/>
      <c r="N118" s="87"/>
      <c r="O118" s="86"/>
      <c r="P118" s="87"/>
      <c r="Q118" s="86"/>
      <c r="R118" s="87"/>
      <c r="S118" s="86"/>
      <c r="T118" s="87"/>
      <c r="U118" s="86"/>
    </row>
    <row r="119" spans="1:21" s="461" customFormat="1" x14ac:dyDescent="0.3">
      <c r="A119" s="86"/>
      <c r="B119" s="15"/>
      <c r="C119" s="87"/>
      <c r="D119" s="86"/>
      <c r="E119" s="86"/>
      <c r="F119" s="25"/>
      <c r="G119" s="86"/>
      <c r="H119" s="87"/>
      <c r="I119" s="86"/>
      <c r="J119" s="87"/>
      <c r="K119" s="86"/>
      <c r="L119" s="87"/>
      <c r="M119" s="86"/>
      <c r="N119" s="87"/>
      <c r="O119" s="86"/>
      <c r="P119" s="87"/>
      <c r="Q119" s="86"/>
      <c r="R119" s="87"/>
      <c r="S119" s="86"/>
      <c r="T119" s="87"/>
      <c r="U119" s="86"/>
    </row>
    <row r="120" spans="1:21" x14ac:dyDescent="0.3">
      <c r="A120" s="24"/>
      <c r="B120" s="24" t="s">
        <v>517</v>
      </c>
    </row>
    <row r="121" spans="1:21" ht="41.4" x14ac:dyDescent="0.3">
      <c r="A121" s="82"/>
      <c r="B121" s="108" t="s">
        <v>500</v>
      </c>
      <c r="C121" s="116" t="s">
        <v>501</v>
      </c>
      <c r="D121" s="112" t="s">
        <v>433</v>
      </c>
      <c r="E121" s="125"/>
      <c r="F121" s="142" t="s">
        <v>437</v>
      </c>
      <c r="G121" s="113"/>
      <c r="H121" s="168" t="s">
        <v>137</v>
      </c>
      <c r="I121" s="125"/>
      <c r="J121" s="110" t="s">
        <v>186</v>
      </c>
      <c r="K121" s="125"/>
      <c r="L121" s="142" t="s">
        <v>510</v>
      </c>
      <c r="M121" s="113"/>
      <c r="N121" s="113" t="s">
        <v>509</v>
      </c>
      <c r="O121" s="207"/>
      <c r="P121" s="142" t="s">
        <v>508</v>
      </c>
      <c r="Q121" s="125"/>
      <c r="R121" s="142" t="s">
        <v>486</v>
      </c>
      <c r="S121" s="125"/>
      <c r="T121" s="142" t="s">
        <v>534</v>
      </c>
    </row>
    <row r="122" spans="1:21" ht="15" thickBot="1" x14ac:dyDescent="0.35">
      <c r="A122" s="82"/>
      <c r="B122" s="173" t="s">
        <v>259</v>
      </c>
      <c r="C122" s="171" t="s">
        <v>258</v>
      </c>
      <c r="D122" s="376"/>
      <c r="E122" s="178"/>
      <c r="F122" s="174"/>
      <c r="G122" s="172"/>
      <c r="H122" s="174" t="s">
        <v>260</v>
      </c>
      <c r="I122" s="178"/>
      <c r="J122" s="174" t="s">
        <v>261</v>
      </c>
      <c r="K122" s="208"/>
      <c r="L122" s="174" t="s">
        <v>646</v>
      </c>
      <c r="M122" s="205"/>
      <c r="N122" s="171" t="s">
        <v>647</v>
      </c>
      <c r="O122" s="208"/>
      <c r="P122" s="174" t="s">
        <v>1387</v>
      </c>
      <c r="Q122" s="230"/>
      <c r="R122" s="174" t="s">
        <v>1127</v>
      </c>
      <c r="S122" s="230"/>
      <c r="T122" s="174" t="s">
        <v>1128</v>
      </c>
    </row>
    <row r="123" spans="1:21" s="364" customFormat="1" ht="28.2" thickTop="1" x14ac:dyDescent="0.3">
      <c r="A123" s="378"/>
      <c r="B123" s="135" t="s">
        <v>568</v>
      </c>
      <c r="C123" s="378" t="s">
        <v>554</v>
      </c>
      <c r="D123" s="378" t="s">
        <v>435</v>
      </c>
      <c r="E123" s="131"/>
      <c r="F123" s="371" t="s">
        <v>922</v>
      </c>
      <c r="G123" s="418"/>
      <c r="H123" s="378" t="s">
        <v>449</v>
      </c>
      <c r="I123" s="418"/>
      <c r="J123" s="378" t="s">
        <v>187</v>
      </c>
      <c r="K123" s="418"/>
      <c r="L123" s="378">
        <v>55</v>
      </c>
      <c r="M123" s="418"/>
      <c r="N123" s="378">
        <v>60</v>
      </c>
      <c r="O123" s="418"/>
      <c r="P123" s="263" t="s">
        <v>930</v>
      </c>
      <c r="Q123" s="418"/>
      <c r="R123" s="206">
        <v>60</v>
      </c>
      <c r="S123" s="418"/>
      <c r="T123" s="206">
        <v>55</v>
      </c>
      <c r="U123" s="369"/>
    </row>
    <row r="124" spans="1:21" s="364" customFormat="1" ht="13.8" x14ac:dyDescent="0.3">
      <c r="A124" s="378"/>
      <c r="B124" s="135" t="s">
        <v>569</v>
      </c>
      <c r="C124" s="378" t="s">
        <v>565</v>
      </c>
      <c r="D124" s="378" t="s">
        <v>435</v>
      </c>
      <c r="E124" s="131"/>
      <c r="F124" s="371" t="s">
        <v>923</v>
      </c>
      <c r="G124" s="419"/>
      <c r="H124" s="378" t="s">
        <v>449</v>
      </c>
      <c r="I124" s="419"/>
      <c r="J124" s="378" t="s">
        <v>187</v>
      </c>
      <c r="K124" s="419"/>
      <c r="L124" s="378">
        <v>55</v>
      </c>
      <c r="M124" s="419"/>
      <c r="N124" s="378">
        <v>60</v>
      </c>
      <c r="O124" s="419"/>
      <c r="P124" s="197" t="s">
        <v>930</v>
      </c>
      <c r="Q124" s="419"/>
      <c r="R124" s="206">
        <v>60</v>
      </c>
      <c r="S124" s="419"/>
      <c r="T124" s="206">
        <v>55</v>
      </c>
      <c r="U124" s="369"/>
    </row>
    <row r="125" spans="1:21" s="364" customFormat="1" ht="13.8" x14ac:dyDescent="0.3">
      <c r="A125" s="378"/>
      <c r="B125" s="135" t="s">
        <v>570</v>
      </c>
      <c r="C125" s="378" t="s">
        <v>566</v>
      </c>
      <c r="D125" s="378" t="s">
        <v>435</v>
      </c>
      <c r="E125" s="131"/>
      <c r="F125" s="371" t="s">
        <v>924</v>
      </c>
      <c r="G125" s="419"/>
      <c r="H125" s="378" t="s">
        <v>449</v>
      </c>
      <c r="I125" s="419"/>
      <c r="J125" s="378" t="s">
        <v>187</v>
      </c>
      <c r="K125" s="419"/>
      <c r="L125" s="378">
        <v>55</v>
      </c>
      <c r="M125" s="419"/>
      <c r="N125" s="378">
        <v>60</v>
      </c>
      <c r="O125" s="419"/>
      <c r="P125" s="197" t="s">
        <v>930</v>
      </c>
      <c r="Q125" s="89"/>
      <c r="R125" s="206">
        <v>60</v>
      </c>
      <c r="S125" s="89"/>
      <c r="T125" s="206">
        <v>55</v>
      </c>
      <c r="U125" s="369"/>
    </row>
    <row r="126" spans="1:21" s="364" customFormat="1" ht="13.8" x14ac:dyDescent="0.3">
      <c r="A126" s="378"/>
      <c r="B126" s="135" t="s">
        <v>649</v>
      </c>
      <c r="C126" s="378" t="s">
        <v>670</v>
      </c>
      <c r="D126" s="378" t="s">
        <v>435</v>
      </c>
      <c r="E126" s="131"/>
      <c r="F126" s="367" t="s">
        <v>925</v>
      </c>
      <c r="G126" s="419"/>
      <c r="H126" s="378" t="s">
        <v>666</v>
      </c>
      <c r="I126" s="419"/>
      <c r="J126" s="378" t="s">
        <v>655</v>
      </c>
      <c r="K126" s="419"/>
      <c r="L126" s="378">
        <v>60</v>
      </c>
      <c r="M126" s="419"/>
      <c r="N126" s="378">
        <v>95</v>
      </c>
      <c r="O126" s="419"/>
      <c r="P126" s="197" t="s">
        <v>300</v>
      </c>
      <c r="Q126" s="409" t="s">
        <v>14</v>
      </c>
      <c r="R126" s="410" t="s">
        <v>14</v>
      </c>
      <c r="S126" s="409" t="s">
        <v>14</v>
      </c>
      <c r="T126" s="410" t="s">
        <v>14</v>
      </c>
      <c r="U126" s="369"/>
    </row>
    <row r="127" spans="1:21" s="364" customFormat="1" ht="13.8" x14ac:dyDescent="0.3">
      <c r="A127" s="378"/>
      <c r="B127" s="135" t="s">
        <v>650</v>
      </c>
      <c r="C127" s="378" t="s">
        <v>671</v>
      </c>
      <c r="D127" s="378" t="s">
        <v>435</v>
      </c>
      <c r="E127" s="131"/>
      <c r="F127" s="367" t="s">
        <v>926</v>
      </c>
      <c r="G127" s="419"/>
      <c r="H127" s="378" t="s">
        <v>666</v>
      </c>
      <c r="I127" s="419"/>
      <c r="J127" s="378" t="s">
        <v>655</v>
      </c>
      <c r="K127" s="419"/>
      <c r="L127" s="378">
        <v>60</v>
      </c>
      <c r="M127" s="419"/>
      <c r="N127" s="378">
        <v>95</v>
      </c>
      <c r="O127" s="419"/>
      <c r="P127" s="197" t="s">
        <v>300</v>
      </c>
      <c r="Q127" s="409" t="s">
        <v>14</v>
      </c>
      <c r="R127" s="410" t="s">
        <v>14</v>
      </c>
      <c r="S127" s="409" t="s">
        <v>14</v>
      </c>
      <c r="T127" s="410" t="s">
        <v>14</v>
      </c>
      <c r="U127" s="369"/>
    </row>
    <row r="128" spans="1:21" x14ac:dyDescent="0.3">
      <c r="A128" s="82"/>
      <c r="B128" s="175" t="s">
        <v>651</v>
      </c>
      <c r="C128" s="150" t="s">
        <v>672</v>
      </c>
      <c r="D128" s="199" t="s">
        <v>435</v>
      </c>
      <c r="E128" s="179"/>
      <c r="F128" s="166" t="s">
        <v>927</v>
      </c>
      <c r="G128" s="153"/>
      <c r="H128" s="150" t="s">
        <v>666</v>
      </c>
      <c r="I128" s="153"/>
      <c r="J128" s="155" t="s">
        <v>655</v>
      </c>
      <c r="K128" s="153"/>
      <c r="L128" s="209">
        <v>60</v>
      </c>
      <c r="M128" s="153"/>
      <c r="N128" s="151">
        <v>95</v>
      </c>
      <c r="O128" s="153"/>
      <c r="P128" s="209" t="s">
        <v>300</v>
      </c>
      <c r="Q128" s="411" t="s">
        <v>14</v>
      </c>
      <c r="R128" s="412" t="s">
        <v>14</v>
      </c>
      <c r="S128" s="411" t="s">
        <v>14</v>
      </c>
      <c r="T128" s="412" t="s">
        <v>14</v>
      </c>
    </row>
    <row r="129" spans="1:30" x14ac:dyDescent="0.3">
      <c r="A129" s="82"/>
      <c r="B129" s="77"/>
      <c r="C129" s="75"/>
      <c r="D129" s="29"/>
      <c r="E129" s="369"/>
      <c r="F129" s="369"/>
      <c r="G129" s="369"/>
      <c r="H129" s="369"/>
      <c r="J129" s="369"/>
      <c r="K129" s="84"/>
      <c r="L129" s="82"/>
      <c r="N129" s="369"/>
      <c r="P129" s="369"/>
      <c r="R129" s="369"/>
      <c r="T129" s="369"/>
      <c r="V129" s="369"/>
      <c r="W129" s="369"/>
      <c r="X129" s="369"/>
      <c r="Y129" s="369"/>
      <c r="Z129" s="369"/>
      <c r="AA129" s="369"/>
      <c r="AB129" s="369"/>
      <c r="AC129" s="369"/>
      <c r="AD129" s="369"/>
    </row>
    <row r="130" spans="1:30" x14ac:dyDescent="0.3">
      <c r="A130" s="82"/>
      <c r="B130" s="77"/>
      <c r="C130" s="75"/>
      <c r="D130" s="29"/>
      <c r="E130" s="369"/>
      <c r="F130" s="369"/>
      <c r="G130" s="369"/>
      <c r="H130" s="369"/>
      <c r="J130" s="369"/>
      <c r="K130" s="84"/>
      <c r="L130" s="82"/>
      <c r="N130" s="369"/>
      <c r="P130" s="369"/>
      <c r="R130" s="369"/>
      <c r="T130" s="369"/>
      <c r="V130" s="369"/>
      <c r="W130" s="369"/>
      <c r="X130" s="369"/>
      <c r="Y130" s="369"/>
      <c r="Z130" s="369"/>
      <c r="AA130" s="369"/>
      <c r="AB130" s="369"/>
      <c r="AC130" s="369"/>
      <c r="AD130" s="369"/>
    </row>
    <row r="131" spans="1:30" ht="41.4" x14ac:dyDescent="0.3">
      <c r="A131" s="82"/>
      <c r="B131" s="108" t="s">
        <v>501</v>
      </c>
      <c r="C131" s="116" t="s">
        <v>502</v>
      </c>
      <c r="D131" s="112" t="s">
        <v>433</v>
      </c>
      <c r="E131" s="177"/>
      <c r="F131" s="110" t="s">
        <v>137</v>
      </c>
      <c r="G131" s="170"/>
      <c r="H131" s="168" t="s">
        <v>503</v>
      </c>
      <c r="I131" s="189"/>
      <c r="J131" s="110" t="s">
        <v>204</v>
      </c>
      <c r="K131" s="182"/>
      <c r="L131" s="110" t="s">
        <v>1053</v>
      </c>
      <c r="M131" s="442"/>
      <c r="N131" s="110" t="s">
        <v>1054</v>
      </c>
      <c r="O131" s="441"/>
      <c r="P131" s="110" t="s">
        <v>1055</v>
      </c>
      <c r="R131" s="369"/>
      <c r="T131" s="369"/>
      <c r="V131" s="369"/>
      <c r="W131" s="369"/>
      <c r="X131" s="369"/>
      <c r="Y131" s="369"/>
      <c r="Z131" s="369"/>
      <c r="AA131" s="369"/>
      <c r="AB131" s="369"/>
      <c r="AC131" s="369"/>
      <c r="AD131" s="369"/>
    </row>
    <row r="132" spans="1:30" ht="15" thickBot="1" x14ac:dyDescent="0.35">
      <c r="A132" s="82"/>
      <c r="B132" s="173" t="s">
        <v>280</v>
      </c>
      <c r="C132" s="171" t="s">
        <v>262</v>
      </c>
      <c r="D132" s="376"/>
      <c r="E132" s="178"/>
      <c r="F132" s="174" t="s">
        <v>264</v>
      </c>
      <c r="G132" s="172"/>
      <c r="H132" s="171" t="s">
        <v>933</v>
      </c>
      <c r="I132" s="178"/>
      <c r="J132" s="174" t="s">
        <v>263</v>
      </c>
      <c r="K132" s="184"/>
      <c r="L132" s="171" t="s">
        <v>629</v>
      </c>
      <c r="M132" s="173"/>
      <c r="N132" s="174" t="s">
        <v>630</v>
      </c>
      <c r="O132" s="171"/>
      <c r="P132" s="174" t="s">
        <v>631</v>
      </c>
      <c r="R132" s="369"/>
      <c r="T132" s="369"/>
      <c r="V132" s="369"/>
      <c r="W132" s="369"/>
      <c r="X132" s="369"/>
      <c r="Y132" s="369"/>
      <c r="Z132" s="369"/>
      <c r="AA132" s="369"/>
      <c r="AB132" s="369"/>
      <c r="AC132" s="369"/>
      <c r="AD132" s="369"/>
    </row>
    <row r="133" spans="1:30" s="364" customFormat="1" thickTop="1" x14ac:dyDescent="0.3">
      <c r="A133" s="378"/>
      <c r="B133" s="135" t="s">
        <v>554</v>
      </c>
      <c r="C133" s="378" t="s">
        <v>558</v>
      </c>
      <c r="D133" s="378" t="s">
        <v>435</v>
      </c>
      <c r="E133" s="418"/>
      <c r="F133" s="378" t="s">
        <v>173</v>
      </c>
      <c r="G133" s="418"/>
      <c r="H133" s="378">
        <v>10.8</v>
      </c>
      <c r="I133" s="418"/>
      <c r="J133" s="378">
        <v>1.1499999999999999</v>
      </c>
      <c r="K133" s="418"/>
      <c r="L133" s="378" t="s">
        <v>454</v>
      </c>
      <c r="M133" s="418"/>
      <c r="N133" s="378" t="s">
        <v>530</v>
      </c>
      <c r="O133" s="418"/>
      <c r="P133" s="197" t="s">
        <v>673</v>
      </c>
      <c r="Q133" s="378"/>
      <c r="R133" s="378"/>
      <c r="S133" s="378"/>
      <c r="T133" s="378"/>
      <c r="U133" s="378"/>
      <c r="V133" s="378"/>
      <c r="W133" s="378"/>
      <c r="X133" s="378"/>
      <c r="Y133" s="378"/>
      <c r="Z133" s="378"/>
      <c r="AA133" s="378"/>
      <c r="AB133" s="378"/>
      <c r="AC133" s="378"/>
      <c r="AD133" s="378"/>
    </row>
    <row r="134" spans="1:30" s="364" customFormat="1" ht="13.8" x14ac:dyDescent="0.3">
      <c r="A134" s="378"/>
      <c r="B134" s="135" t="s">
        <v>565</v>
      </c>
      <c r="C134" s="378" t="s">
        <v>573</v>
      </c>
      <c r="D134" s="378" t="s">
        <v>435</v>
      </c>
      <c r="E134" s="419"/>
      <c r="F134" s="378" t="s">
        <v>173</v>
      </c>
      <c r="G134" s="419"/>
      <c r="H134" s="378">
        <v>10.8</v>
      </c>
      <c r="I134" s="419"/>
      <c r="J134" s="378">
        <v>1.1499999999999999</v>
      </c>
      <c r="K134" s="419"/>
      <c r="L134" s="378" t="s">
        <v>454</v>
      </c>
      <c r="M134" s="419"/>
      <c r="N134" s="378" t="s">
        <v>530</v>
      </c>
      <c r="O134" s="419"/>
      <c r="P134" s="197" t="s">
        <v>673</v>
      </c>
      <c r="Q134" s="378"/>
      <c r="R134" s="378"/>
      <c r="S134" s="378"/>
      <c r="T134" s="378"/>
      <c r="U134" s="378"/>
      <c r="V134" s="378"/>
      <c r="W134" s="378"/>
      <c r="X134" s="378"/>
      <c r="Y134" s="378"/>
      <c r="Z134" s="378"/>
      <c r="AA134" s="378"/>
      <c r="AB134" s="378"/>
      <c r="AC134" s="378"/>
      <c r="AD134" s="378"/>
    </row>
    <row r="135" spans="1:30" s="364" customFormat="1" ht="13.8" x14ac:dyDescent="0.3">
      <c r="A135" s="378"/>
      <c r="B135" s="135" t="s">
        <v>566</v>
      </c>
      <c r="C135" s="378" t="s">
        <v>574</v>
      </c>
      <c r="D135" s="378" t="s">
        <v>435</v>
      </c>
      <c r="E135" s="419"/>
      <c r="F135" s="378" t="s">
        <v>173</v>
      </c>
      <c r="G135" s="419"/>
      <c r="H135" s="378">
        <v>9.8000000000000007</v>
      </c>
      <c r="I135" s="419"/>
      <c r="J135" s="378">
        <v>1.1499999999999999</v>
      </c>
      <c r="K135" s="419"/>
      <c r="L135" s="378" t="s">
        <v>454</v>
      </c>
      <c r="M135" s="419"/>
      <c r="N135" s="378" t="s">
        <v>530</v>
      </c>
      <c r="O135" s="419"/>
      <c r="P135" s="197" t="s">
        <v>673</v>
      </c>
      <c r="Q135" s="378"/>
      <c r="R135" s="378"/>
      <c r="S135" s="378"/>
      <c r="T135" s="378"/>
      <c r="U135" s="378"/>
      <c r="V135" s="378"/>
      <c r="W135" s="378"/>
      <c r="X135" s="378"/>
      <c r="Y135" s="378"/>
      <c r="Z135" s="378"/>
      <c r="AA135" s="378"/>
      <c r="AB135" s="378"/>
      <c r="AC135" s="378"/>
      <c r="AD135" s="378"/>
    </row>
    <row r="136" spans="1:30" s="364" customFormat="1" ht="13.8" x14ac:dyDescent="0.3">
      <c r="A136" s="378"/>
      <c r="B136" s="135" t="s">
        <v>670</v>
      </c>
      <c r="C136" s="378" t="s">
        <v>667</v>
      </c>
      <c r="D136" s="378" t="s">
        <v>435</v>
      </c>
      <c r="E136" s="419"/>
      <c r="F136" s="378" t="s">
        <v>173</v>
      </c>
      <c r="G136" s="419"/>
      <c r="H136" s="378">
        <v>9.5</v>
      </c>
      <c r="I136" s="419"/>
      <c r="J136" s="378">
        <v>1.1499999999999999</v>
      </c>
      <c r="K136" s="419"/>
      <c r="L136" s="378" t="s">
        <v>454</v>
      </c>
      <c r="M136" s="419"/>
      <c r="N136" s="378" t="s">
        <v>530</v>
      </c>
      <c r="O136" s="419"/>
      <c r="P136" s="197" t="s">
        <v>673</v>
      </c>
      <c r="Q136" s="378"/>
      <c r="R136" s="378"/>
      <c r="S136" s="378"/>
      <c r="T136" s="378"/>
      <c r="U136" s="378"/>
      <c r="V136" s="378"/>
      <c r="W136" s="378"/>
      <c r="X136" s="378"/>
      <c r="Y136" s="378"/>
      <c r="Z136" s="378"/>
      <c r="AA136" s="378"/>
      <c r="AB136" s="378"/>
      <c r="AC136" s="378"/>
      <c r="AD136" s="378"/>
    </row>
    <row r="137" spans="1:30" s="364" customFormat="1" ht="13.8" x14ac:dyDescent="0.3">
      <c r="A137" s="378"/>
      <c r="B137" s="135" t="s">
        <v>671</v>
      </c>
      <c r="C137" s="378" t="s">
        <v>668</v>
      </c>
      <c r="D137" s="378" t="s">
        <v>435</v>
      </c>
      <c r="E137" s="419"/>
      <c r="F137" s="378" t="s">
        <v>173</v>
      </c>
      <c r="G137" s="419"/>
      <c r="H137" s="378">
        <v>9.5</v>
      </c>
      <c r="I137" s="419"/>
      <c r="J137" s="378">
        <v>1.1499999999999999</v>
      </c>
      <c r="K137" s="419"/>
      <c r="L137" s="378" t="s">
        <v>454</v>
      </c>
      <c r="M137" s="419"/>
      <c r="N137" s="378" t="s">
        <v>530</v>
      </c>
      <c r="O137" s="419"/>
      <c r="P137" s="197" t="s">
        <v>673</v>
      </c>
      <c r="Q137" s="378"/>
      <c r="R137" s="378"/>
      <c r="S137" s="378"/>
      <c r="T137" s="378"/>
      <c r="U137" s="378"/>
      <c r="V137" s="378"/>
      <c r="W137" s="378"/>
      <c r="X137" s="378"/>
      <c r="Y137" s="378"/>
      <c r="Z137" s="378"/>
      <c r="AA137" s="378"/>
      <c r="AB137" s="378"/>
      <c r="AC137" s="378"/>
      <c r="AD137" s="378"/>
    </row>
    <row r="138" spans="1:30" s="362" customFormat="1" ht="13.8" x14ac:dyDescent="0.3">
      <c r="A138" s="82"/>
      <c r="B138" s="175" t="s">
        <v>672</v>
      </c>
      <c r="C138" s="150" t="s">
        <v>669</v>
      </c>
      <c r="D138" s="199" t="s">
        <v>435</v>
      </c>
      <c r="E138" s="153"/>
      <c r="F138" s="150" t="s">
        <v>173</v>
      </c>
      <c r="G138" s="153"/>
      <c r="H138" s="252">
        <v>9.5</v>
      </c>
      <c r="I138" s="153"/>
      <c r="J138" s="252">
        <v>1.1499999999999999</v>
      </c>
      <c r="K138" s="153"/>
      <c r="L138" s="209" t="s">
        <v>454</v>
      </c>
      <c r="M138" s="153"/>
      <c r="N138" s="151" t="s">
        <v>530</v>
      </c>
      <c r="O138" s="153"/>
      <c r="P138" s="209" t="s">
        <v>673</v>
      </c>
      <c r="Q138" s="369"/>
      <c r="R138" s="369"/>
      <c r="S138" s="369"/>
      <c r="T138" s="369"/>
      <c r="U138" s="369"/>
      <c r="V138" s="369"/>
      <c r="W138" s="369"/>
      <c r="X138" s="369"/>
      <c r="Y138" s="369"/>
      <c r="Z138" s="369"/>
      <c r="AA138" s="369"/>
      <c r="AB138" s="369"/>
      <c r="AC138" s="369"/>
      <c r="AD138" s="369"/>
    </row>
    <row r="139" spans="1:30" s="362" customFormat="1" ht="13.8" x14ac:dyDescent="0.3">
      <c r="A139" s="82"/>
      <c r="B139" s="77"/>
      <c r="C139" s="75"/>
      <c r="D139" s="82"/>
      <c r="E139" s="84"/>
      <c r="F139" s="82"/>
      <c r="G139" s="84"/>
      <c r="H139" s="82"/>
      <c r="I139" s="84"/>
      <c r="J139" s="82"/>
      <c r="K139" s="29"/>
      <c r="L139" s="369"/>
      <c r="M139" s="369"/>
      <c r="N139" s="369"/>
      <c r="O139" s="369"/>
      <c r="P139" s="369"/>
      <c r="Q139" s="369"/>
      <c r="R139" s="82"/>
      <c r="S139" s="84"/>
      <c r="T139" s="82"/>
      <c r="U139" s="82"/>
      <c r="V139" s="82"/>
    </row>
    <row r="140" spans="1:30" s="362" customFormat="1" ht="13.8" x14ac:dyDescent="0.3">
      <c r="A140" s="82"/>
      <c r="B140" s="77"/>
      <c r="C140" s="75"/>
      <c r="D140" s="82"/>
      <c r="E140" s="84"/>
      <c r="F140" s="82"/>
      <c r="G140" s="84"/>
      <c r="H140" s="82"/>
      <c r="I140" s="84"/>
      <c r="J140" s="82"/>
      <c r="K140" s="29"/>
      <c r="L140" s="369"/>
      <c r="M140" s="369"/>
      <c r="N140" s="369"/>
      <c r="O140" s="369"/>
      <c r="P140" s="369"/>
      <c r="Q140" s="369"/>
      <c r="R140" s="407"/>
      <c r="S140" s="403"/>
      <c r="T140" s="369"/>
      <c r="U140" s="407"/>
      <c r="V140" s="407"/>
    </row>
    <row r="141" spans="1:30" s="362" customFormat="1" ht="13.8" x14ac:dyDescent="0.3">
      <c r="A141" s="82"/>
      <c r="B141" s="108" t="s">
        <v>501</v>
      </c>
      <c r="C141" s="116" t="s">
        <v>504</v>
      </c>
      <c r="D141" s="112" t="s">
        <v>433</v>
      </c>
      <c r="E141" s="177"/>
      <c r="F141" s="110" t="s">
        <v>474</v>
      </c>
      <c r="G141" s="369"/>
      <c r="H141" s="85"/>
      <c r="I141" s="369"/>
      <c r="J141" s="85"/>
      <c r="K141" s="369"/>
      <c r="L141" s="369"/>
      <c r="M141" s="369"/>
      <c r="N141" s="369"/>
      <c r="O141" s="369"/>
      <c r="P141" s="369"/>
      <c r="Q141" s="369"/>
      <c r="R141" s="403"/>
      <c r="S141" s="403"/>
      <c r="T141" s="369"/>
      <c r="U141" s="403"/>
      <c r="V141" s="403"/>
    </row>
    <row r="142" spans="1:30" s="362" customFormat="1" thickBot="1" x14ac:dyDescent="0.35">
      <c r="A142" s="82"/>
      <c r="B142" s="173" t="s">
        <v>282</v>
      </c>
      <c r="C142" s="171" t="s">
        <v>265</v>
      </c>
      <c r="D142" s="171"/>
      <c r="E142" s="178"/>
      <c r="F142" s="174" t="s">
        <v>266</v>
      </c>
      <c r="G142" s="369"/>
      <c r="H142" s="85"/>
      <c r="I142" s="369"/>
      <c r="J142" s="85"/>
      <c r="K142" s="369"/>
      <c r="L142" s="369"/>
      <c r="M142" s="369"/>
      <c r="N142" s="369"/>
      <c r="O142" s="369"/>
      <c r="P142" s="369"/>
      <c r="Q142" s="369"/>
      <c r="R142" s="403"/>
      <c r="S142" s="403"/>
      <c r="T142" s="82"/>
      <c r="U142" s="403"/>
      <c r="V142" s="670"/>
    </row>
    <row r="143" spans="1:30" s="364" customFormat="1" thickTop="1" x14ac:dyDescent="0.3">
      <c r="A143" s="378"/>
      <c r="B143" s="135" t="s">
        <v>554</v>
      </c>
      <c r="C143" s="378" t="s">
        <v>559</v>
      </c>
      <c r="D143" s="378" t="s">
        <v>435</v>
      </c>
      <c r="E143" s="416"/>
      <c r="F143" s="274" t="s">
        <v>562</v>
      </c>
      <c r="G143" s="369"/>
      <c r="H143" s="85"/>
      <c r="I143" s="369"/>
      <c r="J143" s="85"/>
      <c r="K143" s="378"/>
      <c r="L143" s="378"/>
      <c r="M143" s="378"/>
      <c r="N143" s="378"/>
      <c r="O143" s="378"/>
      <c r="P143" s="378"/>
      <c r="Q143" s="378"/>
      <c r="R143" s="403"/>
      <c r="S143" s="403"/>
      <c r="T143" s="82"/>
      <c r="U143" s="403"/>
      <c r="V143" s="670"/>
    </row>
    <row r="144" spans="1:30" s="364" customFormat="1" ht="13.8" x14ac:dyDescent="0.3">
      <c r="A144" s="378"/>
      <c r="B144" s="135" t="s">
        <v>565</v>
      </c>
      <c r="C144" s="378" t="s">
        <v>575</v>
      </c>
      <c r="D144" s="378" t="s">
        <v>435</v>
      </c>
      <c r="E144" s="416"/>
      <c r="F144" s="274" t="s">
        <v>562</v>
      </c>
      <c r="G144" s="369"/>
      <c r="H144" s="85"/>
      <c r="I144" s="369"/>
      <c r="J144" s="85"/>
      <c r="K144" s="378"/>
      <c r="L144" s="378"/>
      <c r="M144" s="378"/>
      <c r="N144" s="378"/>
      <c r="O144" s="378"/>
      <c r="P144" s="378"/>
      <c r="Q144" s="378"/>
      <c r="R144" s="403"/>
      <c r="S144" s="403"/>
      <c r="T144" s="82"/>
      <c r="U144" s="403"/>
      <c r="V144" s="670"/>
    </row>
    <row r="145" spans="1:24" s="364" customFormat="1" ht="13.8" x14ac:dyDescent="0.3">
      <c r="A145" s="378"/>
      <c r="B145" s="135" t="s">
        <v>566</v>
      </c>
      <c r="C145" s="378" t="s">
        <v>576</v>
      </c>
      <c r="D145" s="378" t="s">
        <v>435</v>
      </c>
      <c r="E145" s="416"/>
      <c r="F145" s="274" t="s">
        <v>562</v>
      </c>
      <c r="G145" s="369"/>
      <c r="H145" s="85"/>
      <c r="I145" s="369"/>
      <c r="J145" s="85"/>
      <c r="K145" s="378"/>
      <c r="L145" s="378"/>
      <c r="M145" s="378"/>
      <c r="N145" s="378"/>
      <c r="O145" s="378"/>
      <c r="P145" s="378"/>
      <c r="Q145" s="378"/>
      <c r="R145" s="403"/>
      <c r="S145" s="403"/>
      <c r="T145" s="82"/>
      <c r="U145" s="403"/>
      <c r="V145" s="670"/>
    </row>
    <row r="146" spans="1:24" s="362" customFormat="1" ht="13.8" x14ac:dyDescent="0.3">
      <c r="A146" s="82"/>
      <c r="B146" s="175" t="s">
        <v>582</v>
      </c>
      <c r="C146" s="150" t="s">
        <v>583</v>
      </c>
      <c r="D146" s="357" t="s">
        <v>435</v>
      </c>
      <c r="E146" s="417"/>
      <c r="F146" s="193" t="s">
        <v>562</v>
      </c>
      <c r="G146" s="369"/>
      <c r="H146" s="85"/>
      <c r="I146" s="369"/>
      <c r="J146" s="85"/>
      <c r="K146" s="369"/>
      <c r="L146" s="369"/>
      <c r="M146" s="369"/>
      <c r="N146" s="369"/>
      <c r="O146" s="369"/>
      <c r="P146" s="369"/>
      <c r="Q146" s="369"/>
      <c r="R146" s="403"/>
      <c r="S146" s="403"/>
      <c r="T146" s="82"/>
      <c r="U146" s="403"/>
      <c r="V146" s="670"/>
    </row>
    <row r="147" spans="1:24" x14ac:dyDescent="0.3">
      <c r="A147" s="82"/>
      <c r="B147" s="384"/>
      <c r="C147" s="384"/>
      <c r="D147" s="397"/>
      <c r="E147" s="362"/>
      <c r="F147" s="397"/>
      <c r="G147" s="362"/>
      <c r="H147" s="397"/>
      <c r="I147" s="362"/>
      <c r="J147" s="397"/>
      <c r="K147" s="362"/>
      <c r="L147" s="397"/>
      <c r="N147" s="369"/>
      <c r="P147" s="369"/>
      <c r="R147" s="369"/>
      <c r="T147" s="369"/>
    </row>
    <row r="148" spans="1:24" x14ac:dyDescent="0.3">
      <c r="A148" s="82"/>
      <c r="B148" s="384"/>
      <c r="C148" s="384"/>
      <c r="D148" s="397"/>
      <c r="E148" s="362"/>
      <c r="F148" s="397"/>
      <c r="G148" s="362"/>
      <c r="H148" s="397"/>
      <c r="I148" s="362"/>
      <c r="J148" s="397"/>
      <c r="K148" s="362"/>
      <c r="L148" s="397"/>
      <c r="N148" s="369"/>
      <c r="P148" s="369"/>
      <c r="R148" s="369"/>
      <c r="T148" s="369"/>
    </row>
    <row r="149" spans="1:24" ht="27.6" x14ac:dyDescent="0.3">
      <c r="A149" s="82"/>
      <c r="B149" s="189" t="s">
        <v>500</v>
      </c>
      <c r="C149" s="113" t="s">
        <v>506</v>
      </c>
      <c r="D149" s="112" t="s">
        <v>433</v>
      </c>
      <c r="E149" s="125"/>
      <c r="F149" s="110" t="s">
        <v>184</v>
      </c>
      <c r="G149" s="113"/>
      <c r="H149" s="168" t="s">
        <v>277</v>
      </c>
      <c r="I149" s="125"/>
      <c r="J149" s="110" t="s">
        <v>511</v>
      </c>
      <c r="K149" s="113"/>
      <c r="L149" s="168" t="s">
        <v>183</v>
      </c>
      <c r="M149" s="189"/>
      <c r="N149" s="142" t="s">
        <v>205</v>
      </c>
      <c r="O149" s="168"/>
      <c r="P149" s="168" t="s">
        <v>507</v>
      </c>
      <c r="Q149" s="189"/>
      <c r="R149" s="110" t="s">
        <v>206</v>
      </c>
      <c r="S149" s="189"/>
      <c r="T149" s="110" t="s">
        <v>182</v>
      </c>
      <c r="U149" s="189"/>
      <c r="V149" s="110" t="s">
        <v>675</v>
      </c>
      <c r="W149" s="189"/>
      <c r="X149" s="110" t="s">
        <v>1051</v>
      </c>
    </row>
    <row r="150" spans="1:24" ht="15" thickBot="1" x14ac:dyDescent="0.35">
      <c r="A150" s="82"/>
      <c r="B150" s="173" t="s">
        <v>268</v>
      </c>
      <c r="C150" s="171" t="s">
        <v>269</v>
      </c>
      <c r="D150" s="171"/>
      <c r="E150" s="178"/>
      <c r="F150" s="174" t="s">
        <v>270</v>
      </c>
      <c r="G150" s="172"/>
      <c r="H150" s="171" t="s">
        <v>271</v>
      </c>
      <c r="I150" s="178"/>
      <c r="J150" s="174"/>
      <c r="K150" s="172"/>
      <c r="L150" s="171" t="s">
        <v>272</v>
      </c>
      <c r="M150" s="178"/>
      <c r="N150" s="174" t="s">
        <v>273</v>
      </c>
      <c r="O150" s="172"/>
      <c r="P150" s="171" t="s">
        <v>274</v>
      </c>
      <c r="Q150" s="178"/>
      <c r="R150" s="174" t="s">
        <v>275</v>
      </c>
      <c r="S150" s="178"/>
      <c r="T150" s="174" t="s">
        <v>276</v>
      </c>
      <c r="U150" s="178"/>
      <c r="V150" s="174" t="s">
        <v>676</v>
      </c>
      <c r="W150" s="173"/>
      <c r="X150" s="174" t="s">
        <v>774</v>
      </c>
    </row>
    <row r="151" spans="1:24" s="364" customFormat="1" ht="28.2" thickTop="1" x14ac:dyDescent="0.3">
      <c r="A151" s="378"/>
      <c r="B151" s="135" t="s">
        <v>680</v>
      </c>
      <c r="C151" s="378" t="s">
        <v>563</v>
      </c>
      <c r="D151" s="378" t="s">
        <v>435</v>
      </c>
      <c r="E151" s="418"/>
      <c r="F151" s="378" t="s">
        <v>482</v>
      </c>
      <c r="G151" s="418"/>
      <c r="H151" s="378" t="s">
        <v>564</v>
      </c>
      <c r="I151" s="490" t="s">
        <v>919</v>
      </c>
      <c r="J151" s="496">
        <v>7151.02</v>
      </c>
      <c r="K151" s="490" t="s">
        <v>919</v>
      </c>
      <c r="L151" s="693">
        <f>J151*P151*(0.1175/745.6)/N151</f>
        <v>6.5738040392525035</v>
      </c>
      <c r="M151" s="418"/>
      <c r="N151" s="459">
        <f t="shared" ref="N151:N156" si="0">IF(J151&lt;2000,0.5,IF(J151&lt;10000,0.6,0.62))</f>
        <v>0.6</v>
      </c>
      <c r="O151" s="418"/>
      <c r="P151" s="802">
        <v>3.5</v>
      </c>
      <c r="Q151" s="420"/>
      <c r="R151" s="803">
        <v>7.5</v>
      </c>
      <c r="S151" s="418"/>
      <c r="T151" s="835">
        <v>0.91700000000000004</v>
      </c>
      <c r="U151" s="409" t="s">
        <v>14</v>
      </c>
      <c r="V151" s="410" t="s">
        <v>14</v>
      </c>
      <c r="W151" s="416"/>
      <c r="X151" s="535" t="s">
        <v>974</v>
      </c>
    </row>
    <row r="152" spans="1:24" s="364" customFormat="1" ht="27.6" x14ac:dyDescent="0.3">
      <c r="A152" s="378"/>
      <c r="B152" s="135" t="s">
        <v>681</v>
      </c>
      <c r="C152" s="378" t="s">
        <v>577</v>
      </c>
      <c r="D152" s="378" t="s">
        <v>435</v>
      </c>
      <c r="E152" s="419"/>
      <c r="F152" s="378" t="s">
        <v>482</v>
      </c>
      <c r="G152" s="419"/>
      <c r="H152" s="378" t="s">
        <v>564</v>
      </c>
      <c r="I152" s="491" t="s">
        <v>919</v>
      </c>
      <c r="J152" s="496">
        <v>8324.5300000000007</v>
      </c>
      <c r="K152" s="491" t="s">
        <v>919</v>
      </c>
      <c r="L152" s="693">
        <f>J152*P152*(0.1175/745.6)/N152</f>
        <v>7.6525906708243925</v>
      </c>
      <c r="M152" s="418"/>
      <c r="N152" s="459">
        <f t="shared" si="0"/>
        <v>0.6</v>
      </c>
      <c r="O152" s="418"/>
      <c r="P152" s="802">
        <v>3.5</v>
      </c>
      <c r="Q152" s="418"/>
      <c r="R152" s="805">
        <v>10</v>
      </c>
      <c r="S152" s="418"/>
      <c r="T152" s="836">
        <v>0.91700000000000004</v>
      </c>
      <c r="U152" s="409" t="s">
        <v>14</v>
      </c>
      <c r="V152" s="410" t="s">
        <v>14</v>
      </c>
      <c r="W152" s="418"/>
      <c r="X152" s="535" t="s">
        <v>974</v>
      </c>
    </row>
    <row r="153" spans="1:24" s="364" customFormat="1" ht="27.6" x14ac:dyDescent="0.3">
      <c r="A153" s="378"/>
      <c r="B153" s="135" t="s">
        <v>682</v>
      </c>
      <c r="C153" s="378" t="s">
        <v>578</v>
      </c>
      <c r="D153" s="378" t="s">
        <v>435</v>
      </c>
      <c r="E153" s="419"/>
      <c r="F153" s="378" t="s">
        <v>482</v>
      </c>
      <c r="G153" s="419"/>
      <c r="H153" s="378" t="s">
        <v>564</v>
      </c>
      <c r="I153" s="491" t="s">
        <v>919</v>
      </c>
      <c r="J153" s="496">
        <v>8663.41</v>
      </c>
      <c r="K153" s="491" t="s">
        <v>919</v>
      </c>
      <c r="L153" s="693">
        <f>J153*P153*(0.1175/745.6)/N153</f>
        <v>7.964116958378038</v>
      </c>
      <c r="M153" s="419"/>
      <c r="N153" s="459">
        <f t="shared" si="0"/>
        <v>0.6</v>
      </c>
      <c r="O153" s="419"/>
      <c r="P153" s="802">
        <v>3.5</v>
      </c>
      <c r="Q153" s="418"/>
      <c r="R153" s="805">
        <v>10</v>
      </c>
      <c r="S153" s="419"/>
      <c r="T153" s="836">
        <v>0.91700000000000004</v>
      </c>
      <c r="U153" s="409" t="s">
        <v>14</v>
      </c>
      <c r="V153" s="410" t="s">
        <v>14</v>
      </c>
      <c r="W153" s="89"/>
      <c r="X153" s="535" t="s">
        <v>974</v>
      </c>
    </row>
    <row r="154" spans="1:24" s="364" customFormat="1" ht="27.6" x14ac:dyDescent="0.3">
      <c r="A154" s="378"/>
      <c r="B154" s="135" t="s">
        <v>649</v>
      </c>
      <c r="C154" s="378" t="s">
        <v>677</v>
      </c>
      <c r="D154" s="378" t="s">
        <v>435</v>
      </c>
      <c r="E154" s="419"/>
      <c r="F154" s="378" t="s">
        <v>482</v>
      </c>
      <c r="G154" s="419"/>
      <c r="H154" s="378" t="s">
        <v>674</v>
      </c>
      <c r="I154" s="491" t="s">
        <v>919</v>
      </c>
      <c r="J154" s="496">
        <v>38118.400000000001</v>
      </c>
      <c r="K154" s="491" t="s">
        <v>919</v>
      </c>
      <c r="L154" s="693">
        <f>V154*J154*T154/745.6</f>
        <v>23.297418025751071</v>
      </c>
      <c r="M154" s="419"/>
      <c r="N154" s="459">
        <f t="shared" si="0"/>
        <v>0.62</v>
      </c>
      <c r="O154" s="419"/>
      <c r="P154" s="459">
        <f>(0.39*N154*T154/0.1175)*(0.49/0.39)</f>
        <v>2.404544680851064</v>
      </c>
      <c r="Q154" s="491" t="s">
        <v>919</v>
      </c>
      <c r="R154" s="694">
        <v>20</v>
      </c>
      <c r="S154" s="419"/>
      <c r="T154" s="837">
        <v>0.93</v>
      </c>
      <c r="U154" s="419"/>
      <c r="V154" s="197">
        <v>0.49</v>
      </c>
      <c r="W154" s="89"/>
      <c r="X154" s="535" t="s">
        <v>975</v>
      </c>
    </row>
    <row r="155" spans="1:24" s="364" customFormat="1" ht="27.6" x14ac:dyDescent="0.3">
      <c r="A155" s="378"/>
      <c r="B155" s="135" t="s">
        <v>650</v>
      </c>
      <c r="C155" s="378" t="s">
        <v>678</v>
      </c>
      <c r="D155" s="378" t="s">
        <v>435</v>
      </c>
      <c r="E155" s="419"/>
      <c r="F155" s="378" t="s">
        <v>482</v>
      </c>
      <c r="G155" s="419"/>
      <c r="H155" s="378" t="s">
        <v>674</v>
      </c>
      <c r="I155" s="491" t="s">
        <v>919</v>
      </c>
      <c r="J155" s="496">
        <v>37976.199999999997</v>
      </c>
      <c r="K155" s="491" t="s">
        <v>919</v>
      </c>
      <c r="L155" s="693">
        <f>V155*J155*T155/745.6</f>
        <v>23.210507430257508</v>
      </c>
      <c r="M155" s="419"/>
      <c r="N155" s="459">
        <f t="shared" si="0"/>
        <v>0.62</v>
      </c>
      <c r="O155" s="419"/>
      <c r="P155" s="459">
        <f>(0.39*N155*T155/0.1175)*(0.49/0.39)</f>
        <v>2.404544680851064</v>
      </c>
      <c r="Q155" s="491" t="s">
        <v>919</v>
      </c>
      <c r="R155" s="694">
        <v>20</v>
      </c>
      <c r="S155" s="419"/>
      <c r="T155" s="837">
        <v>0.93</v>
      </c>
      <c r="U155" s="419"/>
      <c r="V155" s="197">
        <v>0.49</v>
      </c>
      <c r="W155" s="89"/>
      <c r="X155" s="535" t="s">
        <v>975</v>
      </c>
    </row>
    <row r="156" spans="1:24" s="364" customFormat="1" ht="27.6" x14ac:dyDescent="0.3">
      <c r="A156" s="378"/>
      <c r="B156" s="135" t="s">
        <v>651</v>
      </c>
      <c r="C156" s="378" t="s">
        <v>679</v>
      </c>
      <c r="D156" s="378" t="s">
        <v>435</v>
      </c>
      <c r="E156" s="419"/>
      <c r="F156" s="378" t="s">
        <v>482</v>
      </c>
      <c r="G156" s="419"/>
      <c r="H156" s="378" t="s">
        <v>674</v>
      </c>
      <c r="I156" s="497" t="s">
        <v>919</v>
      </c>
      <c r="J156" s="496">
        <v>38336.699999999997</v>
      </c>
      <c r="K156" s="497" t="s">
        <v>919</v>
      </c>
      <c r="L156" s="695">
        <f>V156*J156*T156/745.6</f>
        <v>23.582006555793988</v>
      </c>
      <c r="M156" s="419"/>
      <c r="N156" s="459">
        <f t="shared" si="0"/>
        <v>0.62</v>
      </c>
      <c r="O156" s="419"/>
      <c r="P156" s="459">
        <f>(0.39*N156*T156/0.1175)*(0.49/0.39)</f>
        <v>2.420057872340426</v>
      </c>
      <c r="Q156" s="497" t="s">
        <v>919</v>
      </c>
      <c r="R156" s="694">
        <v>25</v>
      </c>
      <c r="S156" s="419"/>
      <c r="T156" s="837">
        <v>0.93600000000000005</v>
      </c>
      <c r="U156" s="89"/>
      <c r="V156" s="197">
        <v>0.49</v>
      </c>
      <c r="W156" s="89"/>
      <c r="X156" s="535" t="s">
        <v>975</v>
      </c>
    </row>
    <row r="157" spans="1:24" s="364" customFormat="1" ht="13.8" x14ac:dyDescent="0.3">
      <c r="A157" s="378"/>
      <c r="B157" s="135" t="s">
        <v>680</v>
      </c>
      <c r="C157" s="378" t="s">
        <v>791</v>
      </c>
      <c r="D157" s="378" t="s">
        <v>435</v>
      </c>
      <c r="E157" s="419"/>
      <c r="F157" s="378" t="s">
        <v>482</v>
      </c>
      <c r="G157" s="419"/>
      <c r="H157" s="378" t="s">
        <v>564</v>
      </c>
      <c r="I157" s="497" t="s">
        <v>919</v>
      </c>
      <c r="J157" s="496">
        <v>6786.56</v>
      </c>
      <c r="K157" s="497" t="s">
        <v>919</v>
      </c>
      <c r="L157" s="695">
        <f>J157*P157*(0.1175/745.6)/N157</f>
        <v>2.00531652360515</v>
      </c>
      <c r="M157" s="419"/>
      <c r="N157" s="797">
        <f>IF(J157&lt;10000,0.4,0.5)</f>
        <v>0.4</v>
      </c>
      <c r="O157" s="419"/>
      <c r="P157" s="797">
        <f>IF(J157&lt;10000,0.75,1)</f>
        <v>0.75</v>
      </c>
      <c r="Q157" s="419"/>
      <c r="R157" s="805">
        <v>3</v>
      </c>
      <c r="S157" s="419"/>
      <c r="T157" s="837">
        <v>0.89500000000000002</v>
      </c>
      <c r="U157" s="409" t="s">
        <v>14</v>
      </c>
      <c r="V157" s="410" t="s">
        <v>14</v>
      </c>
      <c r="W157" s="89"/>
      <c r="X157" s="197" t="s">
        <v>976</v>
      </c>
    </row>
    <row r="158" spans="1:24" s="364" customFormat="1" ht="13.8" x14ac:dyDescent="0.3">
      <c r="A158" s="378"/>
      <c r="B158" s="135" t="s">
        <v>681</v>
      </c>
      <c r="C158" s="378" t="s">
        <v>793</v>
      </c>
      <c r="D158" s="378" t="s">
        <v>435</v>
      </c>
      <c r="E158" s="419"/>
      <c r="F158" s="378" t="s">
        <v>482</v>
      </c>
      <c r="G158" s="419"/>
      <c r="H158" s="378" t="s">
        <v>564</v>
      </c>
      <c r="I158" s="497" t="s">
        <v>919</v>
      </c>
      <c r="J158" s="496">
        <v>7960.07</v>
      </c>
      <c r="K158" s="497" t="s">
        <v>919</v>
      </c>
      <c r="L158" s="695">
        <f>J158*P158*(0.1175/745.6)/N158</f>
        <v>2.3520693694675425</v>
      </c>
      <c r="M158" s="419"/>
      <c r="N158" s="797">
        <f t="shared" ref="N158:N159" si="1">IF(J158&lt;10000,0.4,0.5)</f>
        <v>0.4</v>
      </c>
      <c r="O158" s="419"/>
      <c r="P158" s="797">
        <f t="shared" ref="P158:P159" si="2">IF(J158&lt;10000,0.75,1)</f>
        <v>0.75</v>
      </c>
      <c r="Q158" s="419"/>
      <c r="R158" s="805">
        <v>3</v>
      </c>
      <c r="S158" s="419"/>
      <c r="T158" s="837">
        <v>0.89500000000000002</v>
      </c>
      <c r="U158" s="409" t="s">
        <v>14</v>
      </c>
      <c r="V158" s="410" t="s">
        <v>14</v>
      </c>
      <c r="W158" s="89"/>
      <c r="X158" s="197" t="s">
        <v>976</v>
      </c>
    </row>
    <row r="159" spans="1:24" s="362" customFormat="1" ht="13.8" x14ac:dyDescent="0.3">
      <c r="A159" s="82"/>
      <c r="B159" s="175" t="s">
        <v>682</v>
      </c>
      <c r="C159" s="150" t="s">
        <v>794</v>
      </c>
      <c r="D159" s="150" t="s">
        <v>435</v>
      </c>
      <c r="E159" s="417"/>
      <c r="F159" s="155" t="s">
        <v>482</v>
      </c>
      <c r="G159" s="417"/>
      <c r="H159" s="160" t="s">
        <v>564</v>
      </c>
      <c r="I159" s="465" t="s">
        <v>919</v>
      </c>
      <c r="J159" s="511">
        <v>8298.9500000000007</v>
      </c>
      <c r="K159" s="465" t="s">
        <v>919</v>
      </c>
      <c r="L159" s="696">
        <f>J159*P159*(0.1175/745.6)/N159</f>
        <v>2.4522028190383582</v>
      </c>
      <c r="M159" s="417"/>
      <c r="N159" s="689">
        <f t="shared" si="1"/>
        <v>0.4</v>
      </c>
      <c r="O159" s="417"/>
      <c r="P159" s="689">
        <f t="shared" si="2"/>
        <v>0.75</v>
      </c>
      <c r="Q159" s="417"/>
      <c r="R159" s="838">
        <v>3</v>
      </c>
      <c r="S159" s="417"/>
      <c r="T159" s="839">
        <v>0.89500000000000002</v>
      </c>
      <c r="U159" s="411" t="s">
        <v>14</v>
      </c>
      <c r="V159" s="412" t="s">
        <v>14</v>
      </c>
      <c r="W159" s="153"/>
      <c r="X159" s="199" t="s">
        <v>976</v>
      </c>
    </row>
    <row r="160" spans="1:24" x14ac:dyDescent="0.3">
      <c r="A160" s="82"/>
      <c r="B160" s="82"/>
      <c r="C160" s="384"/>
      <c r="D160" s="82"/>
      <c r="E160" s="82"/>
      <c r="F160" s="82"/>
      <c r="G160" s="82"/>
      <c r="H160" s="82"/>
      <c r="I160" s="82"/>
      <c r="J160" s="82"/>
      <c r="K160" s="82"/>
      <c r="L160" s="436"/>
      <c r="M160" s="82"/>
      <c r="N160" s="82"/>
      <c r="O160" s="82"/>
      <c r="P160" s="82"/>
      <c r="Q160" s="82"/>
      <c r="R160" s="82"/>
      <c r="S160" s="82"/>
      <c r="T160" s="82"/>
      <c r="V160" s="447"/>
    </row>
    <row r="161" spans="1:22" x14ac:dyDescent="0.3">
      <c r="A161" s="397"/>
      <c r="B161" s="397"/>
      <c r="C161" s="397"/>
      <c r="D161" s="397"/>
      <c r="E161" s="362"/>
      <c r="F161" s="397"/>
      <c r="G161" s="362"/>
      <c r="H161" s="397"/>
      <c r="I161" s="362"/>
      <c r="J161" s="397"/>
      <c r="K161" s="397"/>
      <c r="L161" s="397"/>
      <c r="M161" s="82"/>
      <c r="N161" s="82"/>
      <c r="O161" s="397"/>
      <c r="P161" s="397"/>
      <c r="Q161" s="397"/>
      <c r="R161" s="397"/>
      <c r="S161" s="397"/>
      <c r="T161" s="397"/>
    </row>
    <row r="162" spans="1:22" x14ac:dyDescent="0.3">
      <c r="A162" s="397"/>
      <c r="B162" s="108" t="s">
        <v>501</v>
      </c>
      <c r="C162" s="113"/>
      <c r="D162" s="112" t="s">
        <v>433</v>
      </c>
      <c r="E162" s="125"/>
      <c r="F162" s="142" t="s">
        <v>538</v>
      </c>
      <c r="G162" s="125"/>
      <c r="H162" s="142" t="s">
        <v>295</v>
      </c>
      <c r="I162" s="125"/>
      <c r="J162" s="142" t="s">
        <v>972</v>
      </c>
      <c r="K162" s="125"/>
      <c r="L162" s="142" t="s">
        <v>973</v>
      </c>
      <c r="M162" s="82"/>
      <c r="N162" s="82"/>
      <c r="O162" s="397"/>
      <c r="P162" s="397"/>
      <c r="Q162" s="397"/>
      <c r="R162" s="397"/>
      <c r="S162" s="397"/>
      <c r="T162" s="397"/>
    </row>
    <row r="163" spans="1:22" ht="15" thickBot="1" x14ac:dyDescent="0.35">
      <c r="A163" s="397"/>
      <c r="B163" s="173" t="s">
        <v>258</v>
      </c>
      <c r="C163" s="171"/>
      <c r="D163" s="174"/>
      <c r="E163" s="208"/>
      <c r="F163" s="174" t="s">
        <v>289</v>
      </c>
      <c r="G163" s="208"/>
      <c r="H163" s="174" t="s">
        <v>290</v>
      </c>
      <c r="I163" s="208"/>
      <c r="J163" s="174" t="s">
        <v>1077</v>
      </c>
      <c r="K163" s="208"/>
      <c r="L163" s="174" t="s">
        <v>1078</v>
      </c>
      <c r="M163" s="82"/>
      <c r="N163" s="82"/>
      <c r="O163" s="397"/>
      <c r="P163" s="397"/>
      <c r="Q163" s="397"/>
      <c r="R163" s="397"/>
      <c r="S163" s="397"/>
      <c r="T163" s="397"/>
    </row>
    <row r="164" spans="1:22" s="362" customFormat="1" ht="15" thickTop="1" x14ac:dyDescent="0.3">
      <c r="B164" s="135" t="s">
        <v>554</v>
      </c>
      <c r="C164" s="378"/>
      <c r="D164" s="378" t="s">
        <v>435</v>
      </c>
      <c r="E164" s="418"/>
      <c r="F164" s="378" t="s">
        <v>539</v>
      </c>
      <c r="G164" s="418"/>
      <c r="H164" s="263" t="s">
        <v>480</v>
      </c>
      <c r="I164" s="409" t="s">
        <v>14</v>
      </c>
      <c r="J164" s="410" t="s">
        <v>14</v>
      </c>
      <c r="K164" s="409" t="s">
        <v>14</v>
      </c>
      <c r="L164" s="410" t="s">
        <v>14</v>
      </c>
      <c r="M164" s="82"/>
      <c r="N164" s="82"/>
      <c r="O164" s="397"/>
      <c r="P164" s="397"/>
      <c r="Q164" s="397"/>
      <c r="R164" s="397"/>
      <c r="S164" s="397"/>
      <c r="T164" s="397"/>
      <c r="U164" s="369"/>
      <c r="V164" s="397"/>
    </row>
    <row r="165" spans="1:22" s="362" customFormat="1" x14ac:dyDescent="0.3">
      <c r="B165" s="135" t="s">
        <v>565</v>
      </c>
      <c r="C165" s="378"/>
      <c r="D165" s="378" t="s">
        <v>435</v>
      </c>
      <c r="E165" s="418"/>
      <c r="F165" s="378" t="s">
        <v>539</v>
      </c>
      <c r="G165" s="418"/>
      <c r="H165" s="274" t="s">
        <v>480</v>
      </c>
      <c r="I165" s="409" t="s">
        <v>14</v>
      </c>
      <c r="J165" s="410" t="s">
        <v>14</v>
      </c>
      <c r="K165" s="409" t="s">
        <v>14</v>
      </c>
      <c r="L165" s="410" t="s">
        <v>14</v>
      </c>
      <c r="M165" s="82"/>
      <c r="N165" s="82"/>
      <c r="O165" s="397"/>
      <c r="P165" s="397"/>
      <c r="Q165" s="397"/>
      <c r="R165" s="397"/>
      <c r="S165" s="397"/>
      <c r="T165" s="397"/>
      <c r="U165" s="369"/>
      <c r="V165" s="397"/>
    </row>
    <row r="166" spans="1:22" s="362" customFormat="1" x14ac:dyDescent="0.3">
      <c r="B166" s="135" t="s">
        <v>566</v>
      </c>
      <c r="C166" s="378"/>
      <c r="D166" s="378" t="s">
        <v>435</v>
      </c>
      <c r="E166" s="419"/>
      <c r="F166" s="378" t="s">
        <v>539</v>
      </c>
      <c r="G166" s="419"/>
      <c r="H166" s="274" t="s">
        <v>480</v>
      </c>
      <c r="I166" s="409" t="s">
        <v>14</v>
      </c>
      <c r="J166" s="410" t="s">
        <v>14</v>
      </c>
      <c r="K166" s="409" t="s">
        <v>14</v>
      </c>
      <c r="L166" s="410" t="s">
        <v>14</v>
      </c>
      <c r="M166" s="82"/>
      <c r="N166" s="82"/>
      <c r="O166" s="397"/>
      <c r="P166" s="397"/>
      <c r="Q166" s="397"/>
      <c r="R166" s="397"/>
      <c r="S166" s="397"/>
      <c r="T166" s="397"/>
      <c r="U166" s="369"/>
      <c r="V166" s="397"/>
    </row>
    <row r="167" spans="1:22" s="362" customFormat="1" x14ac:dyDescent="0.3">
      <c r="B167" s="135" t="s">
        <v>670</v>
      </c>
      <c r="C167" s="378"/>
      <c r="D167" s="378" t="s">
        <v>435</v>
      </c>
      <c r="E167" s="419"/>
      <c r="F167" s="378" t="s">
        <v>539</v>
      </c>
      <c r="G167" s="419"/>
      <c r="H167" s="274" t="s">
        <v>480</v>
      </c>
      <c r="I167" s="409" t="s">
        <v>14</v>
      </c>
      <c r="J167" s="410" t="s">
        <v>14</v>
      </c>
      <c r="K167" s="409" t="s">
        <v>14</v>
      </c>
      <c r="L167" s="410" t="s">
        <v>14</v>
      </c>
      <c r="M167" s="82"/>
      <c r="N167" s="82"/>
      <c r="O167" s="397"/>
      <c r="P167" s="397"/>
      <c r="Q167" s="397"/>
      <c r="R167" s="397"/>
      <c r="S167" s="397"/>
      <c r="T167" s="397"/>
      <c r="U167" s="369"/>
      <c r="V167" s="397"/>
    </row>
    <row r="168" spans="1:22" s="362" customFormat="1" x14ac:dyDescent="0.3">
      <c r="B168" s="135" t="s">
        <v>671</v>
      </c>
      <c r="C168" s="378"/>
      <c r="D168" s="378" t="s">
        <v>435</v>
      </c>
      <c r="E168" s="419"/>
      <c r="F168" s="378" t="s">
        <v>539</v>
      </c>
      <c r="G168" s="419"/>
      <c r="H168" s="274" t="s">
        <v>480</v>
      </c>
      <c r="I168" s="409" t="s">
        <v>14</v>
      </c>
      <c r="J168" s="410" t="s">
        <v>14</v>
      </c>
      <c r="K168" s="409" t="s">
        <v>14</v>
      </c>
      <c r="L168" s="410" t="s">
        <v>14</v>
      </c>
      <c r="M168" s="82"/>
      <c r="N168" s="82"/>
      <c r="O168" s="397"/>
      <c r="P168" s="397"/>
      <c r="Q168" s="397"/>
      <c r="R168" s="397"/>
      <c r="S168" s="397"/>
      <c r="T168" s="397"/>
      <c r="U168" s="369"/>
      <c r="V168" s="397"/>
    </row>
    <row r="169" spans="1:22" s="362" customFormat="1" x14ac:dyDescent="0.3">
      <c r="B169" s="175" t="s">
        <v>672</v>
      </c>
      <c r="C169" s="150"/>
      <c r="D169" s="150" t="s">
        <v>435</v>
      </c>
      <c r="E169" s="417"/>
      <c r="F169" s="155" t="s">
        <v>539</v>
      </c>
      <c r="G169" s="417"/>
      <c r="H169" s="267" t="s">
        <v>480</v>
      </c>
      <c r="I169" s="411" t="s">
        <v>14</v>
      </c>
      <c r="J169" s="412" t="s">
        <v>14</v>
      </c>
      <c r="K169" s="411" t="s">
        <v>14</v>
      </c>
      <c r="L169" s="412" t="s">
        <v>14</v>
      </c>
      <c r="M169" s="82"/>
      <c r="N169" s="82"/>
      <c r="O169" s="397"/>
      <c r="P169" s="397"/>
      <c r="Q169" s="397"/>
      <c r="R169" s="397"/>
      <c r="S169" s="397"/>
      <c r="T169" s="397"/>
      <c r="U169" s="369"/>
      <c r="V169" s="397"/>
    </row>
    <row r="170" spans="1:22" x14ac:dyDescent="0.3">
      <c r="A170" s="397"/>
      <c r="B170" s="85"/>
      <c r="D170" s="85"/>
      <c r="E170" s="85"/>
      <c r="F170" s="85"/>
      <c r="G170" s="85"/>
      <c r="H170" s="85"/>
      <c r="I170" s="85"/>
      <c r="J170" s="397"/>
      <c r="K170" s="397"/>
      <c r="L170" s="397"/>
      <c r="M170" s="82"/>
      <c r="N170" s="82"/>
      <c r="O170" s="397"/>
      <c r="P170" s="397"/>
      <c r="Q170" s="397"/>
      <c r="R170" s="397"/>
      <c r="S170" s="397"/>
      <c r="T170" s="397"/>
    </row>
    <row r="171" spans="1:22" x14ac:dyDescent="0.3">
      <c r="A171" s="82"/>
      <c r="B171" s="85"/>
      <c r="C171" s="83"/>
      <c r="D171" s="397"/>
      <c r="E171" s="82"/>
      <c r="F171" s="82"/>
      <c r="G171" s="82"/>
      <c r="H171" s="82"/>
      <c r="I171" s="82"/>
      <c r="J171" s="397"/>
      <c r="K171" s="397"/>
      <c r="L171" s="397"/>
      <c r="M171" s="82"/>
      <c r="N171" s="82"/>
      <c r="O171" s="397"/>
      <c r="P171" s="397"/>
      <c r="Q171" s="397"/>
      <c r="R171" s="397"/>
      <c r="S171" s="397"/>
      <c r="T171" s="397"/>
    </row>
    <row r="172" spans="1:22" ht="27.6" x14ac:dyDescent="0.3">
      <c r="A172" s="82"/>
      <c r="B172" s="108" t="s">
        <v>505</v>
      </c>
      <c r="C172" s="113" t="s">
        <v>291</v>
      </c>
      <c r="D172" s="112" t="s">
        <v>433</v>
      </c>
      <c r="E172" s="207"/>
      <c r="F172" s="142" t="s">
        <v>292</v>
      </c>
      <c r="G172" s="125"/>
      <c r="H172" s="142" t="s">
        <v>293</v>
      </c>
      <c r="I172" s="397"/>
      <c r="J172" s="397"/>
      <c r="K172" s="397"/>
      <c r="L172" s="397"/>
      <c r="M172" s="82"/>
      <c r="N172" s="82"/>
      <c r="O172" s="397"/>
      <c r="P172" s="397"/>
      <c r="Q172" s="397"/>
      <c r="R172" s="397"/>
      <c r="S172" s="397"/>
      <c r="T172" s="397"/>
    </row>
    <row r="173" spans="1:22" ht="15" thickBot="1" x14ac:dyDescent="0.35">
      <c r="A173" s="82"/>
      <c r="B173" s="173" t="s">
        <v>285</v>
      </c>
      <c r="C173" s="171" t="s">
        <v>286</v>
      </c>
      <c r="D173" s="376"/>
      <c r="E173" s="208"/>
      <c r="F173" s="174" t="s">
        <v>287</v>
      </c>
      <c r="G173" s="208"/>
      <c r="H173" s="174" t="s">
        <v>288</v>
      </c>
      <c r="I173" s="397"/>
      <c r="J173" s="397"/>
      <c r="K173" s="397"/>
      <c r="L173" s="397"/>
      <c r="M173" s="82"/>
      <c r="N173" s="82"/>
      <c r="O173" s="397"/>
      <c r="P173" s="397"/>
      <c r="Q173" s="397"/>
      <c r="R173" s="397"/>
      <c r="S173" s="397"/>
      <c r="T173" s="397"/>
    </row>
    <row r="174" spans="1:22" s="369" customFormat="1" thickTop="1" x14ac:dyDescent="0.3">
      <c r="A174" s="82"/>
      <c r="B174" s="135" t="s">
        <v>683</v>
      </c>
      <c r="C174" s="378" t="s">
        <v>297</v>
      </c>
      <c r="D174" s="180" t="s">
        <v>435</v>
      </c>
      <c r="E174" s="418"/>
      <c r="F174" s="378" t="s">
        <v>413</v>
      </c>
      <c r="G174" s="418"/>
      <c r="H174" s="263" t="s">
        <v>414</v>
      </c>
      <c r="I174" s="362"/>
      <c r="J174" s="362"/>
      <c r="K174" s="362"/>
      <c r="L174" s="362"/>
      <c r="M174" s="82"/>
      <c r="N174" s="82"/>
      <c r="O174" s="362"/>
      <c r="P174" s="362"/>
      <c r="Q174" s="362"/>
      <c r="R174" s="362"/>
      <c r="S174" s="362"/>
      <c r="T174" s="362"/>
    </row>
    <row r="175" spans="1:22" s="369" customFormat="1" ht="13.8" x14ac:dyDescent="0.3">
      <c r="A175" s="82"/>
      <c r="B175" s="135" t="s">
        <v>663</v>
      </c>
      <c r="C175" s="378" t="s">
        <v>297</v>
      </c>
      <c r="D175" s="180" t="s">
        <v>435</v>
      </c>
      <c r="E175" s="418"/>
      <c r="F175" s="378" t="s">
        <v>664</v>
      </c>
      <c r="G175" s="418"/>
      <c r="H175" s="274" t="s">
        <v>665</v>
      </c>
      <c r="I175" s="362"/>
      <c r="J175" s="362"/>
      <c r="K175" s="362"/>
      <c r="L175" s="362"/>
      <c r="M175" s="82"/>
      <c r="N175" s="82"/>
      <c r="O175" s="362"/>
      <c r="P175" s="362"/>
      <c r="Q175" s="362"/>
      <c r="R175" s="362"/>
      <c r="S175" s="362"/>
      <c r="T175" s="362"/>
    </row>
    <row r="176" spans="1:22" s="369" customFormat="1" ht="13.8" x14ac:dyDescent="0.3">
      <c r="A176" s="82"/>
      <c r="B176" s="175" t="s">
        <v>580</v>
      </c>
      <c r="C176" s="150" t="s">
        <v>337</v>
      </c>
      <c r="D176" s="151" t="s">
        <v>435</v>
      </c>
      <c r="E176" s="152" t="s">
        <v>14</v>
      </c>
      <c r="F176" s="157" t="s">
        <v>14</v>
      </c>
      <c r="G176" s="152" t="s">
        <v>14</v>
      </c>
      <c r="H176" s="157" t="s">
        <v>14</v>
      </c>
      <c r="I176" s="362"/>
      <c r="J176" s="362"/>
      <c r="K176" s="362"/>
      <c r="L176" s="362"/>
      <c r="M176" s="82"/>
      <c r="N176" s="82"/>
      <c r="O176" s="362"/>
      <c r="P176" s="362"/>
      <c r="Q176" s="362"/>
      <c r="R176" s="362"/>
      <c r="S176" s="362"/>
      <c r="T176" s="362"/>
    </row>
    <row r="177" spans="1:24" s="369" customFormat="1" ht="13.8" x14ac:dyDescent="0.3">
      <c r="A177" s="82"/>
      <c r="C177" s="85"/>
      <c r="E177" s="76"/>
      <c r="F177" s="371"/>
      <c r="G177" s="76"/>
      <c r="H177" s="29"/>
      <c r="J177" s="85"/>
      <c r="L177" s="85"/>
      <c r="N177" s="85"/>
      <c r="P177" s="85"/>
      <c r="R177" s="85"/>
      <c r="T177" s="85"/>
    </row>
    <row r="178" spans="1:24" s="369" customFormat="1" ht="13.8" x14ac:dyDescent="0.3">
      <c r="A178" s="82"/>
      <c r="C178" s="85"/>
      <c r="E178" s="76"/>
      <c r="F178" s="371"/>
      <c r="G178" s="76"/>
      <c r="H178" s="29"/>
      <c r="J178" s="85"/>
      <c r="L178" s="85"/>
      <c r="N178" s="85"/>
      <c r="P178" s="85"/>
      <c r="R178" s="85"/>
      <c r="T178" s="85"/>
    </row>
    <row r="179" spans="1:24" x14ac:dyDescent="0.3">
      <c r="A179" s="24"/>
      <c r="B179" s="24" t="s">
        <v>487</v>
      </c>
      <c r="C179" s="397"/>
      <c r="D179" s="397"/>
      <c r="E179" s="362"/>
      <c r="F179" s="397"/>
      <c r="G179" s="362"/>
      <c r="H179" s="397"/>
      <c r="I179" s="362"/>
      <c r="J179" s="397"/>
      <c r="K179" s="362"/>
      <c r="L179" s="397"/>
      <c r="M179" s="362"/>
      <c r="N179" s="397"/>
      <c r="O179" s="121"/>
      <c r="P179" s="111"/>
      <c r="Q179" s="82"/>
      <c r="R179" s="82"/>
      <c r="S179" s="82"/>
      <c r="T179" s="82"/>
      <c r="U179" s="363"/>
      <c r="V179" s="363"/>
      <c r="W179" s="363"/>
      <c r="X179" s="363"/>
    </row>
    <row r="180" spans="1:24" ht="27.6" x14ac:dyDescent="0.3">
      <c r="A180" s="397"/>
      <c r="B180" s="108" t="s">
        <v>488</v>
      </c>
      <c r="C180" s="112"/>
      <c r="D180" s="113" t="s">
        <v>433</v>
      </c>
      <c r="E180" s="231"/>
      <c r="F180" s="116" t="s">
        <v>836</v>
      </c>
      <c r="G180" s="231"/>
      <c r="H180" s="116" t="s">
        <v>489</v>
      </c>
      <c r="I180" s="231"/>
      <c r="J180" s="109" t="s">
        <v>490</v>
      </c>
      <c r="K180" s="455"/>
      <c r="L180" s="456" t="s">
        <v>491</v>
      </c>
      <c r="M180" s="231"/>
      <c r="N180" s="109" t="s">
        <v>739</v>
      </c>
      <c r="O180" s="121"/>
      <c r="P180" s="111"/>
      <c r="Q180" s="82"/>
      <c r="R180" s="82"/>
      <c r="S180" s="82"/>
      <c r="T180" s="82"/>
      <c r="U180" s="363"/>
      <c r="V180" s="363"/>
      <c r="W180" s="363"/>
      <c r="X180" s="363"/>
    </row>
    <row r="181" spans="1:24" ht="15" thickBot="1" x14ac:dyDescent="0.35">
      <c r="A181" s="397"/>
      <c r="B181" s="212"/>
      <c r="C181" s="118"/>
      <c r="D181" s="376"/>
      <c r="E181" s="375"/>
      <c r="F181" s="354" t="s">
        <v>1057</v>
      </c>
      <c r="G181" s="375"/>
      <c r="H181" s="354" t="s">
        <v>1058</v>
      </c>
      <c r="I181" s="230"/>
      <c r="J181" s="355" t="s">
        <v>1059</v>
      </c>
      <c r="K181" s="211"/>
      <c r="L181" s="354" t="s">
        <v>611</v>
      </c>
      <c r="M181" s="230"/>
      <c r="N181" s="355" t="s">
        <v>1060</v>
      </c>
      <c r="O181" s="121"/>
      <c r="P181" s="111"/>
      <c r="Q181" s="82"/>
      <c r="R181" s="82"/>
      <c r="S181" s="82"/>
      <c r="T181" s="82"/>
      <c r="U181" s="363"/>
      <c r="V181" s="363"/>
      <c r="W181" s="363"/>
      <c r="X181" s="363"/>
    </row>
    <row r="182" spans="1:24" s="362" customFormat="1" thickTop="1" x14ac:dyDescent="0.3">
      <c r="B182" s="356">
        <v>2</v>
      </c>
      <c r="C182" s="392"/>
      <c r="D182" s="458" t="s">
        <v>435</v>
      </c>
      <c r="E182" s="766"/>
      <c r="F182" s="767">
        <v>126995</v>
      </c>
      <c r="G182" s="165"/>
      <c r="H182" s="162">
        <v>0.82250000000000001</v>
      </c>
      <c r="I182" s="165"/>
      <c r="J182" s="155" t="s">
        <v>475</v>
      </c>
      <c r="K182" s="164"/>
      <c r="L182" s="160" t="s">
        <v>493</v>
      </c>
      <c r="M182" s="165"/>
      <c r="N182" s="155">
        <v>0.25</v>
      </c>
      <c r="O182" s="121"/>
      <c r="P182" s="121"/>
      <c r="Q182" s="82"/>
      <c r="R182" s="82"/>
      <c r="S182" s="82"/>
      <c r="T182" s="82"/>
      <c r="U182" s="364"/>
      <c r="V182" s="364"/>
      <c r="W182" s="364"/>
      <c r="X182" s="364"/>
    </row>
    <row r="183" spans="1:24" s="369" customFormat="1" ht="13.8" x14ac:dyDescent="0.3">
      <c r="A183" s="82"/>
      <c r="C183" s="85"/>
      <c r="E183" s="76"/>
      <c r="F183" s="371"/>
      <c r="G183" s="76"/>
      <c r="H183" s="29"/>
      <c r="J183" s="85"/>
      <c r="L183" s="85"/>
      <c r="N183" s="85"/>
      <c r="P183" s="85"/>
      <c r="R183" s="85"/>
      <c r="T183" s="85"/>
    </row>
    <row r="184" spans="1:24" s="369" customFormat="1" ht="13.8" x14ac:dyDescent="0.3">
      <c r="A184" s="82"/>
      <c r="C184" s="85"/>
      <c r="E184" s="76"/>
      <c r="F184" s="371"/>
      <c r="G184" s="76"/>
      <c r="H184" s="29"/>
      <c r="J184" s="85"/>
      <c r="L184" s="85"/>
      <c r="N184" s="85"/>
      <c r="P184" s="85"/>
      <c r="R184" s="85"/>
      <c r="T184" s="85"/>
    </row>
    <row r="185" spans="1:24" s="369" customFormat="1" ht="13.8" x14ac:dyDescent="0.3">
      <c r="A185" s="82"/>
      <c r="C185" s="85"/>
      <c r="E185" s="76"/>
      <c r="F185" s="371"/>
      <c r="G185" s="76"/>
      <c r="H185" s="29"/>
      <c r="J185" s="85"/>
      <c r="L185" s="85"/>
      <c r="N185" s="85"/>
      <c r="P185" s="85"/>
      <c r="R185" s="85"/>
      <c r="T185" s="85"/>
    </row>
    <row r="186" spans="1:24" s="369" customFormat="1" ht="13.8" x14ac:dyDescent="0.3">
      <c r="A186" s="82"/>
      <c r="C186" s="85"/>
      <c r="E186" s="76"/>
      <c r="F186" s="371"/>
      <c r="G186" s="76"/>
      <c r="H186" s="29"/>
      <c r="J186" s="31"/>
      <c r="L186" s="85"/>
      <c r="N186" s="85"/>
      <c r="P186" s="85"/>
      <c r="R186" s="85"/>
      <c r="T186" s="85"/>
    </row>
    <row r="187" spans="1:24" s="369" customFormat="1" ht="13.8" x14ac:dyDescent="0.3">
      <c r="A187" s="82"/>
      <c r="C187" s="85"/>
      <c r="E187" s="76"/>
      <c r="F187" s="371"/>
      <c r="G187" s="76"/>
      <c r="H187" s="29"/>
      <c r="J187" s="85"/>
      <c r="L187" s="85"/>
      <c r="N187" s="85"/>
      <c r="P187" s="85"/>
      <c r="R187" s="85"/>
      <c r="T187" s="85"/>
    </row>
    <row r="188" spans="1:24" s="369" customFormat="1" ht="13.8" x14ac:dyDescent="0.3">
      <c r="A188" s="82"/>
      <c r="C188" s="85"/>
      <c r="E188" s="76"/>
      <c r="F188" s="371"/>
      <c r="G188" s="76"/>
      <c r="H188" s="29"/>
      <c r="J188" s="85"/>
      <c r="L188" s="85"/>
      <c r="N188" s="85"/>
      <c r="P188" s="85"/>
      <c r="R188" s="85"/>
      <c r="T188" s="85"/>
    </row>
    <row r="189" spans="1:24" s="369" customFormat="1" ht="13.8" x14ac:dyDescent="0.3">
      <c r="A189" s="82"/>
      <c r="C189" s="85"/>
      <c r="E189" s="76"/>
      <c r="F189" s="371"/>
      <c r="G189" s="76"/>
      <c r="H189" s="29"/>
      <c r="J189" s="85"/>
      <c r="L189" s="85"/>
      <c r="N189" s="85"/>
      <c r="P189" s="85"/>
      <c r="R189" s="85"/>
      <c r="T189" s="85"/>
    </row>
    <row r="190" spans="1:24" s="369" customFormat="1" ht="13.8" x14ac:dyDescent="0.3">
      <c r="A190" s="82"/>
      <c r="C190" s="85"/>
      <c r="E190" s="76"/>
      <c r="F190" s="371"/>
      <c r="G190" s="76"/>
      <c r="H190" s="29"/>
      <c r="J190" s="85"/>
      <c r="L190" s="85"/>
      <c r="N190" s="85"/>
      <c r="P190" s="85"/>
      <c r="R190" s="85"/>
      <c r="T190" s="85"/>
    </row>
    <row r="191" spans="1:24" s="369" customFormat="1" ht="13.8" x14ac:dyDescent="0.3">
      <c r="A191" s="82"/>
      <c r="C191" s="85"/>
      <c r="E191" s="76"/>
      <c r="F191" s="371"/>
      <c r="G191" s="76"/>
      <c r="H191" s="29"/>
      <c r="J191" s="85"/>
      <c r="L191" s="85"/>
      <c r="N191" s="85"/>
      <c r="P191" s="85"/>
      <c r="R191" s="85"/>
      <c r="T191" s="85"/>
    </row>
    <row r="192" spans="1:24" s="369" customFormat="1" ht="13.8" x14ac:dyDescent="0.3">
      <c r="A192" s="82"/>
      <c r="C192" s="85"/>
      <c r="E192" s="76"/>
      <c r="F192" s="371"/>
      <c r="G192" s="76"/>
      <c r="H192" s="29"/>
      <c r="J192" s="85"/>
      <c r="L192" s="85"/>
      <c r="N192" s="85"/>
      <c r="P192" s="85"/>
      <c r="R192" s="85"/>
      <c r="T192" s="85"/>
    </row>
    <row r="193" spans="1:20" s="369" customFormat="1" ht="13.8" x14ac:dyDescent="0.3">
      <c r="A193" s="82"/>
      <c r="C193" s="85"/>
      <c r="E193" s="76"/>
      <c r="F193" s="371"/>
      <c r="G193" s="76"/>
      <c r="H193" s="29"/>
      <c r="J193" s="85"/>
      <c r="L193" s="85"/>
      <c r="N193" s="85"/>
      <c r="P193" s="85"/>
      <c r="R193" s="85"/>
      <c r="T193" s="85"/>
    </row>
    <row r="194" spans="1:20" s="369" customFormat="1" ht="13.8" x14ac:dyDescent="0.3">
      <c r="A194" s="82"/>
      <c r="C194" s="85"/>
      <c r="E194" s="76"/>
      <c r="F194" s="371"/>
      <c r="G194" s="76"/>
      <c r="H194" s="29"/>
      <c r="J194" s="85"/>
      <c r="L194" s="85"/>
      <c r="N194" s="85"/>
      <c r="P194" s="85"/>
      <c r="R194" s="85"/>
      <c r="T194" s="85"/>
    </row>
    <row r="195" spans="1:20" s="369" customFormat="1" ht="13.8" x14ac:dyDescent="0.3">
      <c r="A195" s="82"/>
      <c r="C195" s="85"/>
      <c r="E195" s="76"/>
      <c r="F195" s="371"/>
      <c r="G195" s="76"/>
      <c r="H195" s="29"/>
      <c r="J195" s="85"/>
      <c r="L195" s="85"/>
      <c r="N195" s="85"/>
      <c r="P195" s="85"/>
      <c r="R195" s="85"/>
      <c r="T195" s="85"/>
    </row>
    <row r="196" spans="1:20" s="369" customFormat="1" ht="13.8" x14ac:dyDescent="0.3">
      <c r="A196" s="82"/>
      <c r="C196" s="85"/>
      <c r="E196" s="76"/>
      <c r="F196" s="371"/>
      <c r="G196" s="76"/>
      <c r="H196" s="29"/>
      <c r="J196" s="85"/>
      <c r="L196" s="85"/>
      <c r="N196" s="85"/>
      <c r="P196" s="85"/>
      <c r="R196" s="85"/>
      <c r="T196" s="85"/>
    </row>
    <row r="197" spans="1:20" s="369" customFormat="1" ht="13.8" x14ac:dyDescent="0.3">
      <c r="A197" s="82"/>
      <c r="C197" s="85"/>
      <c r="E197" s="76"/>
      <c r="F197" s="371"/>
      <c r="G197" s="76"/>
      <c r="H197" s="29"/>
      <c r="J197" s="85"/>
      <c r="L197" s="85"/>
      <c r="N197" s="85"/>
      <c r="P197" s="85"/>
      <c r="R197" s="85"/>
      <c r="T197" s="85"/>
    </row>
    <row r="198" spans="1:20" s="369" customFormat="1" ht="13.8" x14ac:dyDescent="0.3">
      <c r="A198" s="82"/>
      <c r="C198" s="85"/>
      <c r="E198" s="76"/>
      <c r="F198" s="371"/>
      <c r="G198" s="76"/>
      <c r="H198" s="29"/>
      <c r="J198" s="85"/>
      <c r="L198" s="85"/>
      <c r="N198" s="85"/>
      <c r="P198" s="85"/>
      <c r="R198" s="85"/>
      <c r="T198" s="85"/>
    </row>
    <row r="199" spans="1:20" s="369" customFormat="1" ht="13.8" x14ac:dyDescent="0.3">
      <c r="A199" s="82"/>
      <c r="C199" s="85"/>
      <c r="E199" s="76"/>
      <c r="F199" s="371"/>
      <c r="G199" s="76"/>
      <c r="H199" s="29"/>
      <c r="J199" s="85"/>
      <c r="L199" s="85"/>
      <c r="N199" s="85"/>
      <c r="P199" s="85"/>
      <c r="R199" s="85"/>
      <c r="T199" s="85"/>
    </row>
    <row r="200" spans="1:20" s="369" customFormat="1" ht="13.8" x14ac:dyDescent="0.3">
      <c r="A200" s="82"/>
      <c r="C200" s="85"/>
      <c r="E200" s="76"/>
      <c r="F200" s="371"/>
      <c r="G200" s="76"/>
      <c r="H200" s="29"/>
      <c r="J200" s="85"/>
      <c r="L200" s="85"/>
      <c r="N200" s="85"/>
      <c r="P200" s="85"/>
      <c r="R200" s="85"/>
      <c r="T200" s="85"/>
    </row>
  </sheetData>
  <pageMargins left="0.7" right="0.7" top="0.75" bottom="0.75" header="0.3" footer="0.3"/>
  <pageSetup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pageSetUpPr fitToPage="1"/>
  </sheetPr>
  <dimension ref="A1:Z190"/>
  <sheetViews>
    <sheetView zoomScale="85" zoomScaleNormal="85" workbookViewId="0"/>
  </sheetViews>
  <sheetFormatPr defaultColWidth="9.109375" defaultRowHeight="14.4" x14ac:dyDescent="0.3"/>
  <cols>
    <col min="1" max="1" width="3.6640625" style="369" customWidth="1"/>
    <col min="2" max="2" width="27" style="369" bestFit="1" customWidth="1"/>
    <col min="3" max="3" width="25.44140625" style="85" bestFit="1" customWidth="1"/>
    <col min="4" max="4" width="11.6640625" style="369" bestFit="1" customWidth="1"/>
    <col min="5" max="5" width="2.6640625" style="76" customWidth="1"/>
    <col min="6" max="6" width="27.5546875" style="371" customWidth="1"/>
    <col min="7" max="7" width="2.6640625" style="76" customWidth="1"/>
    <col min="8" max="8" width="29.6640625" style="29" customWidth="1"/>
    <col min="9" max="9" width="2.6640625" style="369" customWidth="1"/>
    <col min="10" max="10" width="26" style="85" customWidth="1"/>
    <col min="11" max="11" width="2.6640625" style="369" customWidth="1"/>
    <col min="12" max="12" width="26.5546875" style="85" customWidth="1"/>
    <col min="13" max="13" width="2.6640625" style="369" customWidth="1"/>
    <col min="14" max="14" width="26" style="85" customWidth="1"/>
    <col min="15" max="15" width="2.6640625" style="369" customWidth="1"/>
    <col min="16" max="16" width="27.6640625" style="85" customWidth="1"/>
    <col min="17" max="17" width="2.6640625" style="369" customWidth="1"/>
    <col min="18" max="18" width="23.5546875" style="85" customWidth="1"/>
    <col min="19" max="19" width="2.6640625" style="369" customWidth="1"/>
    <col min="20" max="20" width="16.33203125" style="85" customWidth="1"/>
    <col min="21" max="21" width="2.6640625" style="369" customWidth="1"/>
    <col min="22" max="22" width="22.33203125" style="85" customWidth="1"/>
    <col min="23" max="23" width="2.6640625" style="369" customWidth="1"/>
    <col min="24" max="24" width="28.88671875" style="85" bestFit="1" customWidth="1"/>
    <col min="25" max="16384" width="9.109375" style="397"/>
  </cols>
  <sheetData>
    <row r="1" spans="1:24" ht="12.75" customHeight="1" x14ac:dyDescent="0.3">
      <c r="V1" s="397"/>
      <c r="W1" s="397"/>
      <c r="X1" s="397"/>
    </row>
    <row r="2" spans="1:24" x14ac:dyDescent="0.3">
      <c r="B2" s="567" t="s">
        <v>5</v>
      </c>
      <c r="C2" s="84"/>
      <c r="D2" s="567"/>
      <c r="E2" s="574"/>
      <c r="F2" s="568" t="s">
        <v>6</v>
      </c>
      <c r="G2" s="369"/>
      <c r="K2" s="567"/>
      <c r="L2" s="568" t="s">
        <v>1101</v>
      </c>
    </row>
    <row r="3" spans="1:24" ht="12.75" customHeight="1" x14ac:dyDescent="0.3">
      <c r="B3" s="369" t="s">
        <v>0</v>
      </c>
      <c r="C3" s="65" t="s">
        <v>1093</v>
      </c>
      <c r="E3" s="369"/>
      <c r="F3" s="85" t="s">
        <v>8</v>
      </c>
      <c r="G3" s="369"/>
      <c r="H3" s="65"/>
      <c r="K3" s="136"/>
      <c r="L3" s="369" t="s">
        <v>1106</v>
      </c>
    </row>
    <row r="4" spans="1:24" ht="12.75" customHeight="1" x14ac:dyDescent="0.3">
      <c r="B4" s="369" t="s">
        <v>1</v>
      </c>
      <c r="C4" s="85" t="str">
        <f>C3&amp;".cibd16"</f>
        <v>040006S-OffLrg-Run20.cibd16</v>
      </c>
      <c r="F4" s="85" t="s">
        <v>110</v>
      </c>
      <c r="H4" s="396" t="str">
        <f>'Documentation Main Sheet'!I3</f>
        <v>Release package</v>
      </c>
      <c r="I4" s="62"/>
      <c r="K4" s="569"/>
      <c r="L4" s="369" t="s">
        <v>1102</v>
      </c>
      <c r="T4" s="9"/>
      <c r="V4" s="9"/>
      <c r="X4" s="9"/>
    </row>
    <row r="5" spans="1:24" ht="12.75" customHeight="1" x14ac:dyDescent="0.3">
      <c r="B5" s="369" t="s">
        <v>54</v>
      </c>
      <c r="C5" s="85" t="s">
        <v>56</v>
      </c>
      <c r="F5" s="85" t="s">
        <v>7</v>
      </c>
      <c r="H5" s="396" t="str">
        <f>'Documentation Main Sheet'!I4</f>
        <v>CBECC-Com 209.1.0 release</v>
      </c>
      <c r="I5" s="62"/>
      <c r="K5" s="571">
        <v>1</v>
      </c>
      <c r="L5" s="378" t="s">
        <v>1103</v>
      </c>
      <c r="T5" s="9"/>
      <c r="V5" s="9"/>
      <c r="X5" s="9"/>
    </row>
    <row r="6" spans="1:24" ht="12.75" customHeight="1" x14ac:dyDescent="0.3">
      <c r="B6" s="369" t="s">
        <v>390</v>
      </c>
      <c r="C6" s="85" t="s">
        <v>396</v>
      </c>
      <c r="F6" s="85" t="s">
        <v>2</v>
      </c>
      <c r="H6" s="394"/>
      <c r="K6" s="582">
        <v>1</v>
      </c>
      <c r="L6" s="381" t="s">
        <v>1104</v>
      </c>
    </row>
    <row r="7" spans="1:24" ht="12.75" customHeight="1" x14ac:dyDescent="0.3">
      <c r="B7" s="369" t="s">
        <v>432</v>
      </c>
      <c r="C7" s="85" t="s">
        <v>648</v>
      </c>
      <c r="F7" s="85" t="s">
        <v>3</v>
      </c>
      <c r="H7" s="396" t="str">
        <f>'Documentation Main Sheet'!I6</f>
        <v>Jireh Peng</v>
      </c>
      <c r="K7" s="583">
        <v>1</v>
      </c>
      <c r="L7" s="378" t="s">
        <v>1105</v>
      </c>
    </row>
    <row r="8" spans="1:24" ht="12.75" customHeight="1" x14ac:dyDescent="0.3">
      <c r="B8" s="369" t="s">
        <v>952</v>
      </c>
      <c r="C8" s="85" t="s">
        <v>648</v>
      </c>
      <c r="F8" s="369"/>
      <c r="G8" s="369"/>
      <c r="H8" s="369"/>
      <c r="K8" s="840">
        <v>1</v>
      </c>
      <c r="L8" s="369" t="s">
        <v>1396</v>
      </c>
    </row>
    <row r="9" spans="1:24" x14ac:dyDescent="0.3">
      <c r="F9" s="369"/>
      <c r="G9" s="369"/>
      <c r="H9" s="369"/>
    </row>
    <row r="10" spans="1:24" x14ac:dyDescent="0.3">
      <c r="A10" s="286"/>
      <c r="B10" s="287" t="s">
        <v>37</v>
      </c>
      <c r="C10" s="288"/>
      <c r="D10" s="286"/>
      <c r="E10" s="286"/>
      <c r="F10" s="289"/>
      <c r="G10" s="286"/>
      <c r="H10" s="288"/>
      <c r="I10" s="286"/>
      <c r="J10" s="288"/>
      <c r="K10" s="286"/>
      <c r="L10" s="288"/>
      <c r="M10" s="286"/>
      <c r="N10" s="288"/>
      <c r="O10" s="286"/>
      <c r="P10" s="288"/>
      <c r="Q10" s="286"/>
      <c r="R10" s="288"/>
      <c r="S10" s="286"/>
      <c r="T10" s="288"/>
      <c r="U10" s="288"/>
      <c r="V10" s="288"/>
    </row>
    <row r="11" spans="1:24" x14ac:dyDescent="0.3">
      <c r="A11" s="26"/>
      <c r="B11" s="28" t="s">
        <v>517</v>
      </c>
      <c r="C11" s="83"/>
      <c r="D11" s="397"/>
      <c r="E11" s="369"/>
      <c r="F11" s="369"/>
      <c r="G11" s="369"/>
      <c r="H11" s="369"/>
      <c r="J11" s="369"/>
      <c r="L11" s="66"/>
      <c r="N11" s="66"/>
      <c r="P11" s="66"/>
      <c r="R11" s="66"/>
      <c r="T11" s="66"/>
    </row>
    <row r="12" spans="1:24" ht="41.4" x14ac:dyDescent="0.3">
      <c r="A12" s="82"/>
      <c r="B12" s="108" t="s">
        <v>500</v>
      </c>
      <c r="C12" s="116" t="s">
        <v>501</v>
      </c>
      <c r="D12" s="112" t="s">
        <v>433</v>
      </c>
      <c r="E12" s="177"/>
      <c r="F12" s="113" t="s">
        <v>437</v>
      </c>
      <c r="G12" s="177"/>
      <c r="H12" s="116" t="s">
        <v>137</v>
      </c>
      <c r="I12" s="177"/>
      <c r="J12" s="109" t="s">
        <v>186</v>
      </c>
      <c r="K12" s="125"/>
      <c r="L12" s="142" t="s">
        <v>510</v>
      </c>
      <c r="M12" s="113"/>
      <c r="N12" s="113" t="s">
        <v>509</v>
      </c>
      <c r="O12" s="207"/>
      <c r="P12" s="142" t="s">
        <v>508</v>
      </c>
      <c r="Q12" s="125"/>
      <c r="R12" s="142" t="s">
        <v>486</v>
      </c>
      <c r="S12" s="125"/>
      <c r="T12" s="142" t="s">
        <v>534</v>
      </c>
    </row>
    <row r="13" spans="1:24" ht="15" thickBot="1" x14ac:dyDescent="0.35">
      <c r="A13" s="82"/>
      <c r="B13" s="173" t="s">
        <v>259</v>
      </c>
      <c r="C13" s="171" t="s">
        <v>258</v>
      </c>
      <c r="D13" s="376"/>
      <c r="E13" s="178"/>
      <c r="F13" s="376"/>
      <c r="G13" s="375"/>
      <c r="H13" s="171" t="s">
        <v>260</v>
      </c>
      <c r="I13" s="178"/>
      <c r="J13" s="174" t="s">
        <v>261</v>
      </c>
      <c r="K13" s="208"/>
      <c r="L13" s="174" t="s">
        <v>646</v>
      </c>
      <c r="M13" s="205"/>
      <c r="N13" s="171" t="s">
        <v>647</v>
      </c>
      <c r="O13" s="208"/>
      <c r="P13" s="174" t="s">
        <v>1387</v>
      </c>
      <c r="Q13" s="230"/>
      <c r="R13" s="174" t="s">
        <v>1127</v>
      </c>
      <c r="S13" s="230"/>
      <c r="T13" s="174" t="s">
        <v>1128</v>
      </c>
    </row>
    <row r="14" spans="1:24" s="364" customFormat="1" thickTop="1" x14ac:dyDescent="0.3">
      <c r="A14" s="378"/>
      <c r="B14" s="135" t="s">
        <v>697</v>
      </c>
      <c r="C14" s="378" t="s">
        <v>692</v>
      </c>
      <c r="D14" s="378" t="s">
        <v>435</v>
      </c>
      <c r="E14" s="131"/>
      <c r="F14" s="371" t="s">
        <v>698</v>
      </c>
      <c r="G14" s="134"/>
      <c r="H14" s="378" t="s">
        <v>167</v>
      </c>
      <c r="I14" s="134"/>
      <c r="J14" s="378" t="s">
        <v>655</v>
      </c>
      <c r="K14" s="349"/>
      <c r="L14" s="378">
        <v>60</v>
      </c>
      <c r="M14" s="480" t="s">
        <v>14</v>
      </c>
      <c r="N14" s="428" t="s">
        <v>14</v>
      </c>
      <c r="O14" s="349"/>
      <c r="P14" s="274" t="s">
        <v>300</v>
      </c>
      <c r="Q14" s="480" t="s">
        <v>14</v>
      </c>
      <c r="R14" s="410" t="s">
        <v>14</v>
      </c>
      <c r="S14" s="480" t="s">
        <v>14</v>
      </c>
      <c r="T14" s="410" t="s">
        <v>14</v>
      </c>
      <c r="U14" s="369"/>
      <c r="V14" s="85"/>
      <c r="W14" s="369"/>
      <c r="X14" s="85"/>
    </row>
    <row r="15" spans="1:24" s="364" customFormat="1" ht="13.8" x14ac:dyDescent="0.3">
      <c r="A15" s="378"/>
      <c r="B15" s="135" t="s">
        <v>568</v>
      </c>
      <c r="C15" s="378" t="s">
        <v>693</v>
      </c>
      <c r="D15" s="378" t="s">
        <v>435</v>
      </c>
      <c r="E15" s="131"/>
      <c r="F15" s="371" t="s">
        <v>567</v>
      </c>
      <c r="G15" s="136"/>
      <c r="H15" s="378" t="s">
        <v>689</v>
      </c>
      <c r="I15" s="136"/>
      <c r="J15" s="378" t="s">
        <v>187</v>
      </c>
      <c r="K15" s="136"/>
      <c r="L15" s="378">
        <v>55</v>
      </c>
      <c r="M15" s="136"/>
      <c r="N15" s="378">
        <v>60</v>
      </c>
      <c r="O15" s="136"/>
      <c r="P15" s="197" t="s">
        <v>930</v>
      </c>
      <c r="Q15" s="136"/>
      <c r="R15" s="206">
        <v>60</v>
      </c>
      <c r="S15" s="136"/>
      <c r="T15" s="206">
        <v>55</v>
      </c>
      <c r="U15" s="369"/>
      <c r="V15" s="85"/>
      <c r="W15" s="369"/>
      <c r="X15" s="85"/>
    </row>
    <row r="16" spans="1:24" s="362" customFormat="1" ht="13.8" x14ac:dyDescent="0.3">
      <c r="A16" s="82"/>
      <c r="B16" s="135" t="s">
        <v>569</v>
      </c>
      <c r="C16" s="378" t="s">
        <v>694</v>
      </c>
      <c r="D16" s="378" t="s">
        <v>435</v>
      </c>
      <c r="E16" s="131"/>
      <c r="F16" s="371" t="s">
        <v>571</v>
      </c>
      <c r="G16" s="136"/>
      <c r="H16" s="378" t="s">
        <v>689</v>
      </c>
      <c r="I16" s="136"/>
      <c r="J16" s="378" t="s">
        <v>187</v>
      </c>
      <c r="K16" s="136"/>
      <c r="L16" s="378">
        <v>55</v>
      </c>
      <c r="M16" s="136"/>
      <c r="N16" s="378">
        <v>60</v>
      </c>
      <c r="O16" s="136"/>
      <c r="P16" s="197" t="s">
        <v>930</v>
      </c>
      <c r="Q16" s="136"/>
      <c r="R16" s="206">
        <v>60</v>
      </c>
      <c r="S16" s="136"/>
      <c r="T16" s="206">
        <v>55</v>
      </c>
      <c r="U16" s="369"/>
      <c r="V16" s="85"/>
      <c r="W16" s="369"/>
      <c r="X16" s="85"/>
    </row>
    <row r="17" spans="1:26" s="362" customFormat="1" ht="13.8" x14ac:dyDescent="0.3">
      <c r="A17" s="82"/>
      <c r="B17" s="135" t="s">
        <v>691</v>
      </c>
      <c r="C17" s="378" t="s">
        <v>695</v>
      </c>
      <c r="D17" s="378" t="s">
        <v>435</v>
      </c>
      <c r="E17" s="131"/>
      <c r="F17" s="378" t="s">
        <v>690</v>
      </c>
      <c r="G17" s="136"/>
      <c r="H17" s="378" t="s">
        <v>689</v>
      </c>
      <c r="I17" s="136"/>
      <c r="J17" s="378" t="s">
        <v>187</v>
      </c>
      <c r="K17" s="136"/>
      <c r="L17" s="378">
        <v>55</v>
      </c>
      <c r="M17" s="136"/>
      <c r="N17" s="378">
        <v>60</v>
      </c>
      <c r="O17" s="136"/>
      <c r="P17" s="197" t="s">
        <v>930</v>
      </c>
      <c r="Q17" s="136"/>
      <c r="R17" s="206">
        <v>60</v>
      </c>
      <c r="S17" s="136"/>
      <c r="T17" s="206">
        <v>55</v>
      </c>
      <c r="U17" s="369"/>
      <c r="V17" s="85"/>
      <c r="W17" s="369"/>
      <c r="X17" s="85"/>
    </row>
    <row r="18" spans="1:26" s="362" customFormat="1" ht="13.8" x14ac:dyDescent="0.3">
      <c r="A18" s="82"/>
      <c r="B18" s="316" t="s">
        <v>570</v>
      </c>
      <c r="C18" s="158" t="s">
        <v>696</v>
      </c>
      <c r="D18" s="158" t="s">
        <v>435</v>
      </c>
      <c r="E18" s="233"/>
      <c r="F18" s="158" t="s">
        <v>572</v>
      </c>
      <c r="G18" s="153"/>
      <c r="H18" s="158" t="s">
        <v>689</v>
      </c>
      <c r="I18" s="153"/>
      <c r="J18" s="158" t="s">
        <v>187</v>
      </c>
      <c r="K18" s="153"/>
      <c r="L18" s="158">
        <v>55</v>
      </c>
      <c r="M18" s="153"/>
      <c r="N18" s="158">
        <v>60</v>
      </c>
      <c r="O18" s="153"/>
      <c r="P18" s="199" t="s">
        <v>930</v>
      </c>
      <c r="Q18" s="153"/>
      <c r="R18" s="209">
        <v>60</v>
      </c>
      <c r="S18" s="153"/>
      <c r="T18" s="209">
        <v>55</v>
      </c>
      <c r="U18" s="369"/>
      <c r="V18" s="85"/>
      <c r="W18" s="369"/>
      <c r="X18" s="85"/>
    </row>
    <row r="19" spans="1:26" x14ac:dyDescent="0.3">
      <c r="A19" s="82"/>
      <c r="B19" s="77"/>
      <c r="C19" s="75"/>
      <c r="D19" s="29"/>
      <c r="E19" s="369"/>
      <c r="F19" s="369"/>
      <c r="G19" s="369"/>
      <c r="H19" s="369"/>
      <c r="J19" s="369"/>
      <c r="K19" s="84"/>
      <c r="L19" s="82"/>
      <c r="N19" s="369"/>
      <c r="P19" s="369"/>
      <c r="R19" s="369"/>
      <c r="T19" s="369"/>
    </row>
    <row r="20" spans="1:26" x14ac:dyDescent="0.3">
      <c r="A20" s="82"/>
      <c r="B20" s="77"/>
      <c r="C20" s="84"/>
      <c r="D20" s="82"/>
      <c r="E20" s="84"/>
      <c r="F20" s="82"/>
      <c r="G20" s="84"/>
      <c r="H20" s="82"/>
      <c r="I20" s="84"/>
      <c r="J20" s="82"/>
      <c r="K20" s="84"/>
      <c r="L20" s="82"/>
      <c r="N20" s="369"/>
      <c r="P20" s="369"/>
      <c r="R20" s="369"/>
      <c r="T20" s="369"/>
    </row>
    <row r="21" spans="1:26" ht="41.4" x14ac:dyDescent="0.3">
      <c r="A21" s="82"/>
      <c r="B21" s="108" t="s">
        <v>501</v>
      </c>
      <c r="C21" s="116" t="s">
        <v>502</v>
      </c>
      <c r="D21" s="112" t="s">
        <v>433</v>
      </c>
      <c r="E21" s="177"/>
      <c r="F21" s="110" t="s">
        <v>137</v>
      </c>
      <c r="G21" s="170"/>
      <c r="H21" s="168" t="s">
        <v>503</v>
      </c>
      <c r="I21" s="170"/>
      <c r="J21" s="168" t="s">
        <v>1125</v>
      </c>
      <c r="K21" s="189"/>
      <c r="L21" s="110" t="s">
        <v>204</v>
      </c>
      <c r="M21" s="440"/>
      <c r="N21" s="110" t="s">
        <v>1053</v>
      </c>
      <c r="O21" s="442"/>
      <c r="P21" s="110" t="s">
        <v>1054</v>
      </c>
      <c r="Q21" s="441"/>
      <c r="R21" s="110" t="s">
        <v>1055</v>
      </c>
      <c r="T21" s="369"/>
      <c r="V21" s="369"/>
      <c r="X21" s="369"/>
      <c r="Y21" s="369"/>
      <c r="Z21" s="369"/>
    </row>
    <row r="22" spans="1:26" ht="15" thickBot="1" x14ac:dyDescent="0.35">
      <c r="A22" s="82"/>
      <c r="B22" s="173" t="s">
        <v>280</v>
      </c>
      <c r="C22" s="171" t="s">
        <v>262</v>
      </c>
      <c r="D22" s="376"/>
      <c r="E22" s="178"/>
      <c r="F22" s="174" t="s">
        <v>264</v>
      </c>
      <c r="G22" s="172"/>
      <c r="H22" s="171" t="s">
        <v>933</v>
      </c>
      <c r="I22" s="172"/>
      <c r="J22" s="171" t="s">
        <v>1126</v>
      </c>
      <c r="K22" s="178"/>
      <c r="L22" s="174" t="s">
        <v>263</v>
      </c>
      <c r="M22" s="184"/>
      <c r="N22" s="171" t="s">
        <v>629</v>
      </c>
      <c r="O22" s="173"/>
      <c r="P22" s="174" t="s">
        <v>630</v>
      </c>
      <c r="Q22" s="171"/>
      <c r="R22" s="174" t="s">
        <v>631</v>
      </c>
      <c r="T22" s="369"/>
      <c r="V22" s="369"/>
      <c r="X22" s="369"/>
      <c r="Y22" s="369"/>
      <c r="Z22" s="369"/>
    </row>
    <row r="23" spans="1:26" s="364" customFormat="1" ht="28.2" thickTop="1" x14ac:dyDescent="0.3">
      <c r="A23" s="378"/>
      <c r="B23" s="135" t="s">
        <v>692</v>
      </c>
      <c r="C23" s="378" t="s">
        <v>699</v>
      </c>
      <c r="D23" s="378" t="s">
        <v>435</v>
      </c>
      <c r="E23" s="349"/>
      <c r="F23" s="378" t="s">
        <v>173</v>
      </c>
      <c r="G23" s="349"/>
      <c r="H23" s="378">
        <v>11.4</v>
      </c>
      <c r="I23" s="349"/>
      <c r="J23" s="378">
        <v>13.16</v>
      </c>
      <c r="K23" s="409" t="s">
        <v>14</v>
      </c>
      <c r="L23" s="410" t="s">
        <v>14</v>
      </c>
      <c r="M23" s="418"/>
      <c r="N23" s="378" t="s">
        <v>454</v>
      </c>
      <c r="O23" s="418"/>
      <c r="P23" s="378" t="s">
        <v>530</v>
      </c>
      <c r="Q23" s="418"/>
      <c r="R23" s="656" t="s">
        <v>281</v>
      </c>
      <c r="S23" s="369"/>
      <c r="T23" s="369"/>
      <c r="U23" s="369"/>
      <c r="V23" s="369"/>
      <c r="W23" s="378"/>
      <c r="X23" s="378"/>
      <c r="Y23" s="378"/>
      <c r="Z23" s="378"/>
    </row>
    <row r="24" spans="1:26" s="364" customFormat="1" ht="13.8" x14ac:dyDescent="0.3">
      <c r="A24" s="378"/>
      <c r="B24" s="135" t="s">
        <v>693</v>
      </c>
      <c r="C24" s="378" t="s">
        <v>700</v>
      </c>
      <c r="D24" s="378" t="s">
        <v>435</v>
      </c>
      <c r="E24" s="136"/>
      <c r="F24" s="378" t="s">
        <v>704</v>
      </c>
      <c r="G24" s="409" t="s">
        <v>14</v>
      </c>
      <c r="H24" s="410" t="s">
        <v>14</v>
      </c>
      <c r="I24" s="409" t="s">
        <v>14</v>
      </c>
      <c r="J24" s="410" t="s">
        <v>14</v>
      </c>
      <c r="K24" s="409" t="s">
        <v>14</v>
      </c>
      <c r="L24" s="410" t="s">
        <v>14</v>
      </c>
      <c r="M24" s="409" t="s">
        <v>14</v>
      </c>
      <c r="N24" s="410" t="s">
        <v>14</v>
      </c>
      <c r="O24" s="409" t="s">
        <v>14</v>
      </c>
      <c r="P24" s="410" t="s">
        <v>14</v>
      </c>
      <c r="Q24" s="409" t="s">
        <v>14</v>
      </c>
      <c r="R24" s="410" t="s">
        <v>14</v>
      </c>
      <c r="S24" s="369"/>
      <c r="T24" s="369"/>
      <c r="U24" s="369"/>
      <c r="V24" s="369"/>
      <c r="W24" s="378"/>
      <c r="X24" s="378"/>
      <c r="Y24" s="378"/>
      <c r="Z24" s="378"/>
    </row>
    <row r="25" spans="1:26" s="364" customFormat="1" ht="13.8" x14ac:dyDescent="0.3">
      <c r="A25" s="378"/>
      <c r="B25" s="135" t="s">
        <v>694</v>
      </c>
      <c r="C25" s="378" t="s">
        <v>701</v>
      </c>
      <c r="D25" s="378" t="s">
        <v>435</v>
      </c>
      <c r="E25" s="136"/>
      <c r="F25" s="378" t="s">
        <v>704</v>
      </c>
      <c r="G25" s="409" t="s">
        <v>14</v>
      </c>
      <c r="H25" s="410" t="s">
        <v>14</v>
      </c>
      <c r="I25" s="409" t="s">
        <v>14</v>
      </c>
      <c r="J25" s="410" t="s">
        <v>14</v>
      </c>
      <c r="K25" s="409" t="s">
        <v>14</v>
      </c>
      <c r="L25" s="410" t="s">
        <v>14</v>
      </c>
      <c r="M25" s="409" t="s">
        <v>14</v>
      </c>
      <c r="N25" s="410" t="s">
        <v>14</v>
      </c>
      <c r="O25" s="409" t="s">
        <v>14</v>
      </c>
      <c r="P25" s="410" t="s">
        <v>14</v>
      </c>
      <c r="Q25" s="409" t="s">
        <v>14</v>
      </c>
      <c r="R25" s="410" t="s">
        <v>14</v>
      </c>
      <c r="S25" s="369"/>
      <c r="T25" s="369"/>
      <c r="U25" s="369"/>
      <c r="V25" s="369"/>
      <c r="W25" s="378"/>
      <c r="X25" s="378"/>
      <c r="Y25" s="378"/>
      <c r="Z25" s="378"/>
    </row>
    <row r="26" spans="1:26" s="364" customFormat="1" ht="13.8" x14ac:dyDescent="0.3">
      <c r="A26" s="378"/>
      <c r="B26" s="135" t="s">
        <v>695</v>
      </c>
      <c r="C26" s="378" t="s">
        <v>702</v>
      </c>
      <c r="D26" s="378" t="s">
        <v>435</v>
      </c>
      <c r="E26" s="136"/>
      <c r="F26" s="378" t="s">
        <v>704</v>
      </c>
      <c r="G26" s="409" t="s">
        <v>14</v>
      </c>
      <c r="H26" s="410" t="s">
        <v>14</v>
      </c>
      <c r="I26" s="409" t="s">
        <v>14</v>
      </c>
      <c r="J26" s="410" t="s">
        <v>14</v>
      </c>
      <c r="K26" s="409" t="s">
        <v>14</v>
      </c>
      <c r="L26" s="410" t="s">
        <v>14</v>
      </c>
      <c r="M26" s="409" t="s">
        <v>14</v>
      </c>
      <c r="N26" s="410" t="s">
        <v>14</v>
      </c>
      <c r="O26" s="409" t="s">
        <v>14</v>
      </c>
      <c r="P26" s="410" t="s">
        <v>14</v>
      </c>
      <c r="Q26" s="409" t="s">
        <v>14</v>
      </c>
      <c r="R26" s="410" t="s">
        <v>14</v>
      </c>
      <c r="S26" s="369"/>
      <c r="T26" s="369"/>
      <c r="U26" s="369"/>
      <c r="V26" s="369"/>
      <c r="W26" s="378"/>
      <c r="X26" s="378"/>
      <c r="Y26" s="378"/>
      <c r="Z26" s="378"/>
    </row>
    <row r="27" spans="1:26" s="362" customFormat="1" ht="13.8" x14ac:dyDescent="0.3">
      <c r="A27" s="82"/>
      <c r="B27" s="175" t="s">
        <v>696</v>
      </c>
      <c r="C27" s="150" t="s">
        <v>703</v>
      </c>
      <c r="D27" s="158" t="s">
        <v>435</v>
      </c>
      <c r="E27" s="153"/>
      <c r="F27" s="150" t="s">
        <v>704</v>
      </c>
      <c r="G27" s="411" t="s">
        <v>14</v>
      </c>
      <c r="H27" s="412" t="s">
        <v>14</v>
      </c>
      <c r="I27" s="411" t="s">
        <v>14</v>
      </c>
      <c r="J27" s="412" t="s">
        <v>14</v>
      </c>
      <c r="K27" s="411" t="s">
        <v>14</v>
      </c>
      <c r="L27" s="412" t="s">
        <v>14</v>
      </c>
      <c r="M27" s="411" t="s">
        <v>14</v>
      </c>
      <c r="N27" s="412" t="s">
        <v>14</v>
      </c>
      <c r="O27" s="411" t="s">
        <v>14</v>
      </c>
      <c r="P27" s="412" t="s">
        <v>14</v>
      </c>
      <c r="Q27" s="411" t="s">
        <v>14</v>
      </c>
      <c r="R27" s="412" t="s">
        <v>14</v>
      </c>
      <c r="S27" s="369"/>
      <c r="T27" s="369"/>
      <c r="U27" s="369"/>
      <c r="V27" s="369"/>
      <c r="W27" s="369"/>
      <c r="X27" s="369"/>
      <c r="Y27" s="369"/>
      <c r="Z27" s="369"/>
    </row>
    <row r="28" spans="1:26" x14ac:dyDescent="0.3">
      <c r="A28" s="82"/>
      <c r="B28" s="77"/>
      <c r="C28" s="75"/>
      <c r="D28" s="82"/>
      <c r="E28" s="84"/>
      <c r="F28" s="82"/>
      <c r="G28" s="84"/>
      <c r="H28" s="82"/>
      <c r="I28" s="84"/>
      <c r="J28" s="82"/>
      <c r="K28" s="29"/>
      <c r="L28" s="369"/>
      <c r="N28" s="369"/>
      <c r="P28" s="369"/>
      <c r="R28" s="369"/>
      <c r="T28" s="369"/>
      <c r="V28" s="369"/>
      <c r="X28" s="369"/>
    </row>
    <row r="29" spans="1:26" x14ac:dyDescent="0.3">
      <c r="G29" s="369"/>
      <c r="H29" s="85"/>
      <c r="S29" s="397"/>
      <c r="T29" s="397"/>
      <c r="U29" s="397"/>
      <c r="V29" s="397"/>
      <c r="W29" s="397"/>
      <c r="X29" s="397"/>
    </row>
    <row r="30" spans="1:26" x14ac:dyDescent="0.3">
      <c r="A30" s="82"/>
      <c r="B30" s="108" t="s">
        <v>501</v>
      </c>
      <c r="C30" s="116" t="s">
        <v>504</v>
      </c>
      <c r="D30" s="112" t="s">
        <v>433</v>
      </c>
      <c r="E30" s="177"/>
      <c r="F30" s="110" t="s">
        <v>474</v>
      </c>
      <c r="G30" s="369"/>
      <c r="H30" s="85"/>
      <c r="L30" s="369"/>
      <c r="N30" s="369"/>
      <c r="P30" s="369"/>
      <c r="R30" s="369"/>
      <c r="S30" s="397"/>
      <c r="T30" s="397"/>
      <c r="U30" s="397"/>
      <c r="V30" s="397"/>
      <c r="W30" s="397"/>
      <c r="X30" s="397"/>
    </row>
    <row r="31" spans="1:26" ht="15" thickBot="1" x14ac:dyDescent="0.35">
      <c r="A31" s="82"/>
      <c r="B31" s="173" t="s">
        <v>282</v>
      </c>
      <c r="C31" s="171" t="s">
        <v>265</v>
      </c>
      <c r="D31" s="171"/>
      <c r="E31" s="178"/>
      <c r="F31" s="174" t="s">
        <v>266</v>
      </c>
      <c r="G31" s="369"/>
      <c r="H31" s="85"/>
      <c r="L31" s="369"/>
      <c r="N31" s="369"/>
      <c r="P31" s="369"/>
      <c r="R31" s="369"/>
      <c r="S31" s="397"/>
      <c r="T31" s="397"/>
      <c r="U31" s="397"/>
      <c r="V31" s="397"/>
      <c r="W31" s="397"/>
      <c r="X31" s="397"/>
    </row>
    <row r="32" spans="1:26" s="364" customFormat="1" thickTop="1" x14ac:dyDescent="0.3">
      <c r="A32" s="378"/>
      <c r="B32" s="135" t="s">
        <v>440</v>
      </c>
      <c r="C32" s="378" t="s">
        <v>456</v>
      </c>
      <c r="D32" s="378"/>
      <c r="E32" s="416"/>
      <c r="F32" s="274" t="s">
        <v>562</v>
      </c>
      <c r="G32" s="378"/>
      <c r="H32" s="371"/>
      <c r="I32" s="378"/>
      <c r="J32" s="371"/>
      <c r="K32" s="378"/>
      <c r="L32" s="378"/>
      <c r="M32" s="378"/>
      <c r="N32" s="378"/>
      <c r="O32" s="378"/>
      <c r="P32" s="378"/>
      <c r="Q32" s="378"/>
      <c r="R32" s="378"/>
    </row>
    <row r="33" spans="1:24" s="364" customFormat="1" ht="13.8" x14ac:dyDescent="0.3">
      <c r="A33" s="378"/>
      <c r="B33" s="135" t="s">
        <v>441</v>
      </c>
      <c r="C33" s="378" t="s">
        <v>462</v>
      </c>
      <c r="D33" s="378"/>
      <c r="E33" s="416"/>
      <c r="F33" s="274" t="s">
        <v>562</v>
      </c>
      <c r="G33" s="378"/>
      <c r="H33" s="371"/>
      <c r="I33" s="378"/>
      <c r="J33" s="371"/>
      <c r="K33" s="378"/>
      <c r="L33" s="378"/>
      <c r="M33" s="378"/>
      <c r="N33" s="378"/>
      <c r="O33" s="378"/>
      <c r="P33" s="378"/>
      <c r="Q33" s="378"/>
      <c r="R33" s="378"/>
    </row>
    <row r="34" spans="1:24" s="364" customFormat="1" ht="13.8" x14ac:dyDescent="0.3">
      <c r="A34" s="378"/>
      <c r="B34" s="135" t="s">
        <v>705</v>
      </c>
      <c r="C34" s="378" t="s">
        <v>706</v>
      </c>
      <c r="D34" s="378"/>
      <c r="E34" s="416"/>
      <c r="F34" s="274" t="s">
        <v>562</v>
      </c>
      <c r="G34" s="378"/>
      <c r="H34" s="371"/>
      <c r="I34" s="378"/>
      <c r="J34" s="371"/>
      <c r="K34" s="378"/>
      <c r="L34" s="378"/>
      <c r="M34" s="378"/>
      <c r="N34" s="378"/>
      <c r="O34" s="378"/>
      <c r="P34" s="378"/>
      <c r="Q34" s="378"/>
      <c r="R34" s="378"/>
    </row>
    <row r="35" spans="1:24" s="364" customFormat="1" ht="13.8" x14ac:dyDescent="0.3">
      <c r="A35" s="378"/>
      <c r="B35" s="135" t="s">
        <v>442</v>
      </c>
      <c r="C35" s="378" t="s">
        <v>468</v>
      </c>
      <c r="D35" s="378"/>
      <c r="E35" s="416"/>
      <c r="F35" s="274" t="s">
        <v>562</v>
      </c>
      <c r="G35" s="378"/>
      <c r="H35" s="371"/>
      <c r="I35" s="378"/>
      <c r="J35" s="371"/>
      <c r="K35" s="378"/>
      <c r="L35" s="378"/>
      <c r="M35" s="378"/>
      <c r="N35" s="378"/>
      <c r="O35" s="378"/>
      <c r="P35" s="378"/>
      <c r="Q35" s="378"/>
      <c r="R35" s="378"/>
    </row>
    <row r="36" spans="1:24" s="364" customFormat="1" ht="13.8" x14ac:dyDescent="0.3">
      <c r="A36" s="378"/>
      <c r="B36" s="135" t="s">
        <v>440</v>
      </c>
      <c r="C36" s="378" t="s">
        <v>587</v>
      </c>
      <c r="D36" s="378"/>
      <c r="E36" s="416"/>
      <c r="F36" s="274" t="s">
        <v>562</v>
      </c>
      <c r="G36" s="378"/>
      <c r="H36" s="371"/>
      <c r="I36" s="378"/>
      <c r="J36" s="371"/>
      <c r="K36" s="378"/>
      <c r="L36" s="378"/>
      <c r="M36" s="378"/>
      <c r="N36" s="378"/>
      <c r="O36" s="378"/>
      <c r="P36" s="378"/>
      <c r="Q36" s="378"/>
      <c r="R36" s="378"/>
    </row>
    <row r="37" spans="1:24" s="364" customFormat="1" ht="13.8" x14ac:dyDescent="0.3">
      <c r="A37" s="378"/>
      <c r="B37" s="135" t="s">
        <v>441</v>
      </c>
      <c r="C37" s="378" t="s">
        <v>587</v>
      </c>
      <c r="D37" s="378"/>
      <c r="E37" s="416"/>
      <c r="F37" s="274" t="s">
        <v>562</v>
      </c>
      <c r="G37" s="378"/>
      <c r="H37" s="371"/>
      <c r="I37" s="378"/>
      <c r="J37" s="371"/>
      <c r="K37" s="378"/>
      <c r="L37" s="378"/>
      <c r="M37" s="378"/>
      <c r="N37" s="378"/>
      <c r="O37" s="378"/>
      <c r="P37" s="378"/>
      <c r="Q37" s="378"/>
      <c r="R37" s="378"/>
    </row>
    <row r="38" spans="1:24" s="364" customFormat="1" ht="13.8" x14ac:dyDescent="0.3">
      <c r="A38" s="378"/>
      <c r="B38" s="135" t="s">
        <v>707</v>
      </c>
      <c r="C38" s="378" t="s">
        <v>587</v>
      </c>
      <c r="D38" s="378"/>
      <c r="E38" s="416"/>
      <c r="F38" s="274" t="s">
        <v>562</v>
      </c>
      <c r="G38" s="378"/>
      <c r="H38" s="371"/>
      <c r="I38" s="378"/>
      <c r="J38" s="371"/>
      <c r="K38" s="378"/>
      <c r="L38" s="378"/>
      <c r="M38" s="378"/>
      <c r="N38" s="378"/>
      <c r="O38" s="378"/>
      <c r="P38" s="378"/>
      <c r="Q38" s="378"/>
      <c r="R38" s="378"/>
    </row>
    <row r="39" spans="1:24" s="364" customFormat="1" ht="13.8" x14ac:dyDescent="0.3">
      <c r="A39" s="378"/>
      <c r="B39" s="284" t="s">
        <v>442</v>
      </c>
      <c r="C39" s="160" t="s">
        <v>587</v>
      </c>
      <c r="D39" s="475"/>
      <c r="E39" s="417"/>
      <c r="F39" s="193" t="s">
        <v>562</v>
      </c>
      <c r="G39" s="378"/>
      <c r="H39" s="371"/>
      <c r="I39" s="378"/>
      <c r="J39" s="371"/>
      <c r="K39" s="378"/>
      <c r="L39" s="378"/>
      <c r="M39" s="378"/>
      <c r="N39" s="378"/>
      <c r="O39" s="378"/>
      <c r="P39" s="378"/>
      <c r="Q39" s="378"/>
      <c r="R39" s="378"/>
    </row>
    <row r="40" spans="1:24" x14ac:dyDescent="0.3">
      <c r="A40" s="82"/>
      <c r="B40" s="384"/>
      <c r="C40" s="384"/>
      <c r="D40" s="397"/>
      <c r="E40" s="362"/>
      <c r="F40" s="397"/>
      <c r="G40" s="362"/>
      <c r="H40" s="397"/>
      <c r="I40" s="362"/>
      <c r="J40" s="397"/>
      <c r="K40" s="362"/>
      <c r="L40" s="397"/>
      <c r="N40" s="369"/>
      <c r="P40" s="369"/>
      <c r="R40" s="369"/>
      <c r="T40" s="369"/>
      <c r="U40" s="363"/>
      <c r="V40" s="363"/>
      <c r="W40" s="363"/>
      <c r="X40" s="363"/>
    </row>
    <row r="41" spans="1:24" x14ac:dyDescent="0.3">
      <c r="A41" s="82"/>
      <c r="B41" s="83"/>
      <c r="C41" s="86"/>
      <c r="D41" s="82"/>
      <c r="E41" s="84"/>
      <c r="F41" s="82"/>
      <c r="G41" s="84"/>
      <c r="H41" s="82"/>
      <c r="I41" s="84"/>
      <c r="J41" s="82"/>
      <c r="K41" s="84"/>
      <c r="L41" s="82"/>
      <c r="M41" s="84"/>
      <c r="N41" s="82"/>
      <c r="O41" s="84"/>
      <c r="P41" s="82"/>
      <c r="Q41" s="84"/>
      <c r="R41" s="82"/>
      <c r="S41" s="84"/>
      <c r="T41" s="82"/>
      <c r="U41" s="363"/>
      <c r="V41" s="363"/>
      <c r="W41" s="363"/>
      <c r="X41" s="363"/>
    </row>
    <row r="42" spans="1:24" ht="27.6" x14ac:dyDescent="0.3">
      <c r="A42" s="82"/>
      <c r="B42" s="108" t="s">
        <v>500</v>
      </c>
      <c r="C42" s="116" t="s">
        <v>506</v>
      </c>
      <c r="D42" s="113" t="s">
        <v>433</v>
      </c>
      <c r="E42" s="177"/>
      <c r="F42" s="110" t="s">
        <v>184</v>
      </c>
      <c r="G42" s="113"/>
      <c r="H42" s="168" t="s">
        <v>277</v>
      </c>
      <c r="I42" s="125"/>
      <c r="J42" s="110" t="s">
        <v>511</v>
      </c>
      <c r="K42" s="125"/>
      <c r="L42" s="110" t="s">
        <v>183</v>
      </c>
      <c r="M42" s="168"/>
      <c r="N42" s="113" t="s">
        <v>205</v>
      </c>
      <c r="O42" s="189"/>
      <c r="P42" s="110" t="s">
        <v>507</v>
      </c>
      <c r="Q42" s="168"/>
      <c r="R42" s="168" t="s">
        <v>206</v>
      </c>
      <c r="S42" s="189"/>
      <c r="T42" s="110" t="s">
        <v>182</v>
      </c>
      <c r="U42" s="363"/>
      <c r="V42" s="363"/>
      <c r="W42" s="363"/>
      <c r="X42" s="363"/>
    </row>
    <row r="43" spans="1:24" ht="15" thickBot="1" x14ac:dyDescent="0.35">
      <c r="A43" s="82"/>
      <c r="B43" s="173" t="s">
        <v>268</v>
      </c>
      <c r="C43" s="171" t="s">
        <v>269</v>
      </c>
      <c r="D43" s="171"/>
      <c r="E43" s="178"/>
      <c r="F43" s="174" t="s">
        <v>270</v>
      </c>
      <c r="G43" s="172"/>
      <c r="H43" s="171" t="s">
        <v>271</v>
      </c>
      <c r="I43" s="178"/>
      <c r="J43" s="174"/>
      <c r="K43" s="178"/>
      <c r="L43" s="174" t="s">
        <v>272</v>
      </c>
      <c r="M43" s="172"/>
      <c r="N43" s="171" t="s">
        <v>273</v>
      </c>
      <c r="O43" s="178"/>
      <c r="P43" s="174" t="s">
        <v>274</v>
      </c>
      <c r="Q43" s="172"/>
      <c r="R43" s="171" t="s">
        <v>275</v>
      </c>
      <c r="S43" s="178"/>
      <c r="T43" s="174" t="s">
        <v>276</v>
      </c>
      <c r="U43" s="363"/>
      <c r="V43" s="363"/>
      <c r="W43" s="363"/>
      <c r="X43" s="363"/>
    </row>
    <row r="44" spans="1:24" s="364" customFormat="1" thickTop="1" x14ac:dyDescent="0.3">
      <c r="A44" s="378"/>
      <c r="B44" s="135" t="s">
        <v>697</v>
      </c>
      <c r="C44" s="378" t="s">
        <v>708</v>
      </c>
      <c r="D44" s="378" t="s">
        <v>435</v>
      </c>
      <c r="E44" s="416"/>
      <c r="F44" s="378" t="s">
        <v>485</v>
      </c>
      <c r="G44" s="416"/>
      <c r="H44" s="378" t="s">
        <v>279</v>
      </c>
      <c r="I44" s="490" t="s">
        <v>919</v>
      </c>
      <c r="J44" s="697">
        <v>190000</v>
      </c>
      <c r="K44" s="416"/>
      <c r="L44" s="443">
        <f>J44*P44*(0.1175/745.6)/N44</f>
        <v>169.02927280908207</v>
      </c>
      <c r="M44" s="416"/>
      <c r="N44" s="274">
        <v>0.62</v>
      </c>
      <c r="O44" s="416"/>
      <c r="P44" s="378">
        <v>3.5</v>
      </c>
      <c r="Q44" s="416"/>
      <c r="R44" s="274">
        <v>200</v>
      </c>
      <c r="S44" s="416"/>
      <c r="T44" s="445">
        <v>0.96199999999999997</v>
      </c>
    </row>
    <row r="45" spans="1:24" s="364" customFormat="1" ht="13.8" x14ac:dyDescent="0.3">
      <c r="A45" s="378"/>
      <c r="B45" s="135" t="s">
        <v>568</v>
      </c>
      <c r="C45" s="378" t="s">
        <v>709</v>
      </c>
      <c r="D45" s="378" t="s">
        <v>435</v>
      </c>
      <c r="E45" s="419"/>
      <c r="F45" s="378" t="s">
        <v>482</v>
      </c>
      <c r="G45" s="418"/>
      <c r="H45" s="378" t="s">
        <v>279</v>
      </c>
      <c r="I45" s="491" t="s">
        <v>919</v>
      </c>
      <c r="J45" s="90">
        <v>38624.300000000003</v>
      </c>
      <c r="K45" s="418"/>
      <c r="L45" s="443">
        <f>J45*P45*(0.1175/745.6)/N45</f>
        <v>44.178748929201852</v>
      </c>
      <c r="M45" s="418"/>
      <c r="N45" s="378">
        <v>0.62</v>
      </c>
      <c r="O45" s="418"/>
      <c r="P45" s="378">
        <v>4.5</v>
      </c>
      <c r="Q45" s="418"/>
      <c r="R45" s="378">
        <v>50</v>
      </c>
      <c r="S45" s="418"/>
      <c r="T45" s="431">
        <v>0.94499999999999995</v>
      </c>
    </row>
    <row r="46" spans="1:24" s="364" customFormat="1" ht="13.8" x14ac:dyDescent="0.3">
      <c r="A46" s="378"/>
      <c r="B46" s="135" t="s">
        <v>569</v>
      </c>
      <c r="C46" s="378" t="s">
        <v>710</v>
      </c>
      <c r="D46" s="378" t="s">
        <v>435</v>
      </c>
      <c r="E46" s="419"/>
      <c r="F46" s="378" t="s">
        <v>482</v>
      </c>
      <c r="G46" s="418"/>
      <c r="H46" s="378" t="s">
        <v>279</v>
      </c>
      <c r="I46" s="491" t="s">
        <v>919</v>
      </c>
      <c r="J46" s="90">
        <v>40232.300000000003</v>
      </c>
      <c r="K46" s="418"/>
      <c r="L46" s="443">
        <f>J46*P46*(0.1175/745.6)/N46</f>
        <v>46.017990760850751</v>
      </c>
      <c r="M46" s="418"/>
      <c r="N46" s="378">
        <v>0.62</v>
      </c>
      <c r="O46" s="418"/>
      <c r="P46" s="378">
        <v>4.5</v>
      </c>
      <c r="Q46" s="418"/>
      <c r="R46" s="378">
        <v>50</v>
      </c>
      <c r="S46" s="418"/>
      <c r="T46" s="431">
        <v>0.94499999999999995</v>
      </c>
    </row>
    <row r="47" spans="1:24" s="364" customFormat="1" ht="13.8" x14ac:dyDescent="0.3">
      <c r="A47" s="378"/>
      <c r="B47" s="135" t="s">
        <v>691</v>
      </c>
      <c r="C47" s="378" t="s">
        <v>711</v>
      </c>
      <c r="D47" s="378" t="s">
        <v>435</v>
      </c>
      <c r="E47" s="419"/>
      <c r="F47" s="378" t="s">
        <v>482</v>
      </c>
      <c r="G47" s="419"/>
      <c r="H47" s="378" t="s">
        <v>279</v>
      </c>
      <c r="I47" s="491" t="s">
        <v>919</v>
      </c>
      <c r="J47" s="90">
        <v>40232.300000000003</v>
      </c>
      <c r="K47" s="136"/>
      <c r="L47" s="443">
        <f>J47*P47*(0.1175/745.6)/N47</f>
        <v>46.017990760850751</v>
      </c>
      <c r="M47" s="89"/>
      <c r="N47" s="378">
        <v>0.62</v>
      </c>
      <c r="O47" s="136"/>
      <c r="P47" s="378">
        <v>4.5</v>
      </c>
      <c r="Q47" s="419"/>
      <c r="R47" s="378">
        <v>50</v>
      </c>
      <c r="S47" s="419"/>
      <c r="T47" s="431">
        <v>0.94499999999999995</v>
      </c>
    </row>
    <row r="48" spans="1:24" s="369" customFormat="1" ht="13.8" x14ac:dyDescent="0.3">
      <c r="A48" s="82"/>
      <c r="B48" s="316" t="s">
        <v>570</v>
      </c>
      <c r="C48" s="158" t="s">
        <v>712</v>
      </c>
      <c r="D48" s="158" t="s">
        <v>435</v>
      </c>
      <c r="E48" s="417"/>
      <c r="F48" s="158" t="s">
        <v>482</v>
      </c>
      <c r="G48" s="417"/>
      <c r="H48" s="158" t="s">
        <v>279</v>
      </c>
      <c r="I48" s="465" t="s">
        <v>919</v>
      </c>
      <c r="J48" s="195">
        <v>42188.3</v>
      </c>
      <c r="K48" s="417"/>
      <c r="L48" s="444">
        <f>J48*P48*(0.1175/745.6)/N48</f>
        <v>48.25527746651322</v>
      </c>
      <c r="M48" s="417"/>
      <c r="N48" s="158">
        <v>0.62</v>
      </c>
      <c r="O48" s="417"/>
      <c r="P48" s="158">
        <v>4.5</v>
      </c>
      <c r="Q48" s="417"/>
      <c r="R48" s="158">
        <v>50</v>
      </c>
      <c r="S48" s="417"/>
      <c r="T48" s="433">
        <v>0.94499999999999995</v>
      </c>
      <c r="U48" s="364"/>
      <c r="V48" s="364"/>
      <c r="W48" s="364"/>
      <c r="X48" s="364"/>
    </row>
    <row r="49" spans="1:24" s="369" customFormat="1" x14ac:dyDescent="0.3">
      <c r="A49" s="82"/>
      <c r="B49" s="82"/>
      <c r="C49" s="384"/>
      <c r="D49" s="82"/>
      <c r="E49" s="82"/>
      <c r="F49" s="82"/>
      <c r="G49" s="82"/>
      <c r="H49" s="82"/>
      <c r="I49" s="82"/>
      <c r="J49" s="82"/>
      <c r="K49" s="82"/>
      <c r="L49" s="82"/>
      <c r="M49" s="82"/>
      <c r="N49" s="82"/>
      <c r="O49" s="82"/>
      <c r="P49" s="82"/>
      <c r="Q49" s="82"/>
      <c r="R49" s="82"/>
      <c r="S49" s="82"/>
      <c r="U49" s="363"/>
      <c r="V49" s="363"/>
      <c r="W49" s="363"/>
      <c r="X49" s="363"/>
    </row>
    <row r="50" spans="1:24" s="369" customFormat="1" x14ac:dyDescent="0.3">
      <c r="A50" s="397"/>
      <c r="B50" s="397"/>
      <c r="C50" s="397"/>
      <c r="D50" s="397"/>
      <c r="E50" s="362"/>
      <c r="F50" s="397"/>
      <c r="G50" s="362"/>
      <c r="H50" s="397"/>
      <c r="I50" s="362"/>
      <c r="J50" s="397"/>
      <c r="K50" s="397"/>
      <c r="L50" s="397"/>
      <c r="M50" s="362"/>
      <c r="N50" s="397"/>
      <c r="O50" s="121"/>
      <c r="P50" s="111"/>
      <c r="Q50" s="82"/>
      <c r="R50" s="82"/>
      <c r="S50" s="82"/>
      <c r="T50" s="82"/>
      <c r="U50" s="363"/>
      <c r="V50" s="363"/>
      <c r="W50" s="363"/>
      <c r="X50" s="363"/>
    </row>
    <row r="51" spans="1:24" s="369" customFormat="1" x14ac:dyDescent="0.3">
      <c r="A51" s="397"/>
      <c r="B51" s="108" t="s">
        <v>501</v>
      </c>
      <c r="C51" s="113"/>
      <c r="D51" s="113" t="s">
        <v>433</v>
      </c>
      <c r="E51" s="207"/>
      <c r="F51" s="142" t="s">
        <v>538</v>
      </c>
      <c r="G51" s="125"/>
      <c r="H51" s="142" t="s">
        <v>295</v>
      </c>
      <c r="I51" s="362"/>
      <c r="J51" s="397"/>
      <c r="K51" s="397"/>
      <c r="L51" s="397"/>
      <c r="M51" s="362"/>
      <c r="N51" s="397"/>
      <c r="O51" s="121"/>
      <c r="P51" s="111"/>
      <c r="Q51" s="82"/>
      <c r="R51" s="82"/>
      <c r="S51" s="82"/>
      <c r="T51" s="82"/>
      <c r="U51" s="363"/>
      <c r="V51" s="363"/>
      <c r="W51" s="363"/>
      <c r="X51" s="363"/>
    </row>
    <row r="52" spans="1:24" s="369" customFormat="1" ht="15" thickBot="1" x14ac:dyDescent="0.35">
      <c r="A52" s="397"/>
      <c r="B52" s="173" t="s">
        <v>282</v>
      </c>
      <c r="C52" s="171"/>
      <c r="D52" s="171"/>
      <c r="E52" s="208"/>
      <c r="F52" s="174" t="s">
        <v>289</v>
      </c>
      <c r="G52" s="208"/>
      <c r="H52" s="174" t="s">
        <v>290</v>
      </c>
      <c r="I52" s="362"/>
      <c r="J52" s="397"/>
      <c r="K52" s="397"/>
      <c r="L52" s="397"/>
      <c r="M52" s="362"/>
      <c r="N52" s="397"/>
      <c r="O52" s="121"/>
      <c r="P52" s="111"/>
      <c r="Q52" s="82"/>
      <c r="R52" s="82"/>
      <c r="S52" s="82"/>
      <c r="T52" s="82"/>
      <c r="U52" s="363"/>
      <c r="V52" s="363"/>
      <c r="W52" s="363"/>
      <c r="X52" s="363"/>
    </row>
    <row r="53" spans="1:24" s="369" customFormat="1" thickTop="1" x14ac:dyDescent="0.3">
      <c r="A53" s="362"/>
      <c r="B53" s="434" t="s">
        <v>692</v>
      </c>
      <c r="C53" s="264"/>
      <c r="D53" s="264"/>
      <c r="E53" s="416"/>
      <c r="F53" s="378" t="s">
        <v>388</v>
      </c>
      <c r="G53" s="420"/>
      <c r="H53" s="263" t="s">
        <v>713</v>
      </c>
      <c r="I53" s="362"/>
      <c r="J53" s="362"/>
      <c r="K53" s="362"/>
      <c r="L53" s="362"/>
      <c r="M53" s="362"/>
      <c r="N53" s="362"/>
      <c r="O53" s="121"/>
      <c r="P53" s="121"/>
      <c r="Q53" s="82"/>
      <c r="R53" s="82"/>
      <c r="S53" s="82"/>
      <c r="T53" s="82"/>
      <c r="U53" s="364"/>
      <c r="V53" s="364"/>
      <c r="W53" s="364"/>
      <c r="X53" s="364"/>
    </row>
    <row r="54" spans="1:24" s="369" customFormat="1" ht="13.8" x14ac:dyDescent="0.3">
      <c r="A54" s="362"/>
      <c r="B54" s="135" t="s">
        <v>693</v>
      </c>
      <c r="C54" s="378"/>
      <c r="D54" s="378"/>
      <c r="E54" s="419"/>
      <c r="F54" s="378" t="s">
        <v>539</v>
      </c>
      <c r="G54" s="419"/>
      <c r="H54" s="274" t="s">
        <v>480</v>
      </c>
      <c r="I54" s="362"/>
      <c r="J54" s="362"/>
      <c r="K54" s="362"/>
      <c r="L54" s="362"/>
      <c r="M54" s="362"/>
      <c r="N54" s="362"/>
      <c r="O54" s="121"/>
      <c r="P54" s="121"/>
      <c r="Q54" s="82"/>
      <c r="R54" s="82"/>
      <c r="S54" s="82"/>
      <c r="T54" s="82"/>
      <c r="U54" s="364"/>
      <c r="V54" s="364"/>
      <c r="W54" s="364"/>
      <c r="X54" s="364"/>
    </row>
    <row r="55" spans="1:24" s="369" customFormat="1" ht="13.8" x14ac:dyDescent="0.3">
      <c r="A55" s="362"/>
      <c r="B55" s="135" t="s">
        <v>694</v>
      </c>
      <c r="C55" s="378"/>
      <c r="D55" s="378"/>
      <c r="E55" s="419"/>
      <c r="F55" s="378" t="s">
        <v>539</v>
      </c>
      <c r="G55" s="419"/>
      <c r="H55" s="274" t="s">
        <v>480</v>
      </c>
      <c r="I55" s="362"/>
      <c r="J55" s="362"/>
      <c r="K55" s="362"/>
      <c r="L55" s="362"/>
      <c r="M55" s="362"/>
      <c r="N55" s="362"/>
      <c r="O55" s="121"/>
      <c r="P55" s="121"/>
      <c r="Q55" s="82"/>
      <c r="R55" s="82"/>
      <c r="S55" s="82"/>
      <c r="T55" s="82"/>
      <c r="U55" s="364"/>
      <c r="V55" s="364"/>
      <c r="W55" s="364"/>
      <c r="X55" s="364"/>
    </row>
    <row r="56" spans="1:24" s="369" customFormat="1" ht="13.8" x14ac:dyDescent="0.3">
      <c r="A56" s="362"/>
      <c r="B56" s="135" t="s">
        <v>695</v>
      </c>
      <c r="C56" s="378"/>
      <c r="D56" s="378"/>
      <c r="E56" s="419"/>
      <c r="F56" s="378" t="s">
        <v>539</v>
      </c>
      <c r="G56" s="419"/>
      <c r="H56" s="274" t="s">
        <v>480</v>
      </c>
      <c r="I56" s="362"/>
      <c r="J56" s="362"/>
      <c r="K56" s="362"/>
      <c r="L56" s="362"/>
      <c r="M56" s="362"/>
      <c r="N56" s="362"/>
      <c r="O56" s="121"/>
      <c r="P56" s="121"/>
      <c r="Q56" s="82"/>
      <c r="R56" s="82"/>
      <c r="S56" s="82"/>
      <c r="T56" s="82"/>
      <c r="U56" s="364"/>
      <c r="V56" s="364"/>
      <c r="W56" s="364"/>
      <c r="X56" s="364"/>
    </row>
    <row r="57" spans="1:24" s="369" customFormat="1" ht="13.8" x14ac:dyDescent="0.3">
      <c r="A57" s="362"/>
      <c r="B57" s="316" t="s">
        <v>696</v>
      </c>
      <c r="C57" s="158"/>
      <c r="D57" s="158"/>
      <c r="E57" s="417"/>
      <c r="F57" s="158" t="s">
        <v>539</v>
      </c>
      <c r="G57" s="417"/>
      <c r="H57" s="252" t="s">
        <v>480</v>
      </c>
      <c r="I57" s="362"/>
      <c r="J57" s="362"/>
      <c r="K57" s="362"/>
      <c r="L57" s="362"/>
      <c r="M57" s="362"/>
      <c r="N57" s="362"/>
      <c r="O57" s="121"/>
      <c r="P57" s="121"/>
      <c r="Q57" s="82"/>
      <c r="R57" s="82"/>
      <c r="S57" s="82"/>
      <c r="T57" s="82"/>
      <c r="U57" s="364"/>
      <c r="V57" s="364"/>
      <c r="W57" s="364"/>
      <c r="X57" s="364"/>
    </row>
    <row r="58" spans="1:24" s="369" customFormat="1" x14ac:dyDescent="0.3">
      <c r="A58" s="397"/>
      <c r="B58" s="85"/>
      <c r="C58" s="85"/>
      <c r="D58" s="85"/>
      <c r="E58" s="85"/>
      <c r="F58" s="85"/>
      <c r="G58" s="85"/>
      <c r="H58" s="85"/>
      <c r="I58" s="85"/>
      <c r="J58" s="397"/>
      <c r="K58" s="397"/>
      <c r="L58" s="397"/>
      <c r="M58" s="362"/>
      <c r="N58" s="397"/>
      <c r="O58" s="121"/>
      <c r="P58" s="111"/>
      <c r="Q58" s="82"/>
      <c r="R58" s="82"/>
      <c r="S58" s="82"/>
      <c r="T58" s="82"/>
      <c r="U58" s="363"/>
      <c r="V58" s="363"/>
      <c r="W58" s="363"/>
      <c r="X58" s="363"/>
    </row>
    <row r="59" spans="1:24" s="369" customFormat="1" x14ac:dyDescent="0.3">
      <c r="A59" s="82"/>
      <c r="B59" s="85"/>
      <c r="C59" s="83"/>
      <c r="D59" s="397"/>
      <c r="E59" s="82"/>
      <c r="F59" s="82"/>
      <c r="G59" s="82"/>
      <c r="H59" s="82"/>
      <c r="I59" s="82"/>
      <c r="J59" s="82"/>
      <c r="K59" s="82"/>
      <c r="L59" s="82"/>
      <c r="M59" s="82"/>
      <c r="N59" s="82"/>
      <c r="O59" s="82"/>
      <c r="P59" s="82"/>
      <c r="Q59" s="82"/>
      <c r="R59" s="82"/>
      <c r="S59" s="82"/>
      <c r="T59" s="82"/>
      <c r="U59" s="363"/>
      <c r="V59" s="363"/>
      <c r="W59" s="363"/>
      <c r="X59" s="363"/>
    </row>
    <row r="60" spans="1:24" s="369" customFormat="1" x14ac:dyDescent="0.3">
      <c r="A60" s="82"/>
      <c r="B60" s="108" t="s">
        <v>505</v>
      </c>
      <c r="C60" s="113" t="s">
        <v>291</v>
      </c>
      <c r="D60" s="113" t="s">
        <v>433</v>
      </c>
      <c r="E60" s="207"/>
      <c r="F60" s="142" t="s">
        <v>292</v>
      </c>
      <c r="G60" s="125"/>
      <c r="H60" s="142" t="s">
        <v>293</v>
      </c>
      <c r="I60" s="397"/>
      <c r="J60" s="397"/>
      <c r="K60" s="397"/>
      <c r="L60" s="397"/>
      <c r="M60" s="82"/>
      <c r="N60" s="82"/>
      <c r="O60" s="397"/>
      <c r="P60" s="397"/>
      <c r="Q60" s="397"/>
      <c r="R60" s="397"/>
      <c r="S60" s="397"/>
      <c r="T60" s="397"/>
      <c r="U60" s="363"/>
      <c r="V60" s="363"/>
      <c r="W60" s="363"/>
      <c r="X60" s="363"/>
    </row>
    <row r="61" spans="1:24" s="369" customFormat="1" ht="15" thickBot="1" x14ac:dyDescent="0.35">
      <c r="A61" s="82"/>
      <c r="B61" s="173" t="s">
        <v>285</v>
      </c>
      <c r="C61" s="171" t="s">
        <v>286</v>
      </c>
      <c r="D61" s="376"/>
      <c r="E61" s="208"/>
      <c r="F61" s="174" t="s">
        <v>287</v>
      </c>
      <c r="G61" s="208"/>
      <c r="H61" s="174" t="s">
        <v>288</v>
      </c>
      <c r="I61" s="397"/>
      <c r="J61" s="397"/>
      <c r="K61" s="397"/>
      <c r="L61" s="397"/>
      <c r="M61" s="82"/>
      <c r="N61" s="82"/>
      <c r="O61" s="397"/>
      <c r="P61" s="397"/>
      <c r="Q61" s="397"/>
      <c r="R61" s="397"/>
      <c r="S61" s="397"/>
      <c r="T61" s="397"/>
      <c r="U61" s="363"/>
      <c r="V61" s="363"/>
      <c r="W61" s="363"/>
      <c r="X61" s="363"/>
    </row>
    <row r="62" spans="1:24" s="362" customFormat="1" thickTop="1" x14ac:dyDescent="0.3">
      <c r="A62" s="82"/>
      <c r="B62" s="135" t="s">
        <v>697</v>
      </c>
      <c r="C62" s="378" t="s">
        <v>297</v>
      </c>
      <c r="D62" s="180"/>
      <c r="E62" s="418"/>
      <c r="F62" s="378" t="s">
        <v>664</v>
      </c>
      <c r="G62" s="418"/>
      <c r="H62" s="274" t="s">
        <v>665</v>
      </c>
      <c r="M62" s="82"/>
      <c r="N62" s="82"/>
      <c r="U62" s="364"/>
      <c r="V62" s="364"/>
      <c r="W62" s="364"/>
      <c r="X62" s="364"/>
    </row>
    <row r="63" spans="1:24" s="369" customFormat="1" ht="13.8" x14ac:dyDescent="0.3">
      <c r="A63" s="82"/>
      <c r="B63" s="135" t="s">
        <v>714</v>
      </c>
      <c r="C63" s="378" t="s">
        <v>297</v>
      </c>
      <c r="D63" s="180"/>
      <c r="E63" s="418"/>
      <c r="F63" s="378" t="s">
        <v>413</v>
      </c>
      <c r="G63" s="418"/>
      <c r="H63" s="274" t="s">
        <v>414</v>
      </c>
      <c r="I63" s="362"/>
      <c r="J63" s="362"/>
      <c r="K63" s="362"/>
      <c r="L63" s="362"/>
      <c r="M63" s="82"/>
      <c r="N63" s="82"/>
      <c r="O63" s="362"/>
      <c r="P63" s="362"/>
      <c r="Q63" s="362"/>
      <c r="R63" s="362"/>
      <c r="S63" s="362"/>
      <c r="T63" s="362"/>
      <c r="U63" s="364"/>
      <c r="V63" s="364"/>
      <c r="W63" s="364"/>
      <c r="X63" s="364"/>
    </row>
    <row r="64" spans="1:24" s="362" customFormat="1" ht="13.8" x14ac:dyDescent="0.3">
      <c r="A64" s="82"/>
      <c r="B64" s="175" t="s">
        <v>580</v>
      </c>
      <c r="C64" s="150" t="s">
        <v>337</v>
      </c>
      <c r="D64" s="151"/>
      <c r="E64" s="152" t="s">
        <v>14</v>
      </c>
      <c r="F64" s="157" t="s">
        <v>14</v>
      </c>
      <c r="G64" s="152" t="s">
        <v>14</v>
      </c>
      <c r="H64" s="157" t="s">
        <v>14</v>
      </c>
      <c r="M64" s="82"/>
      <c r="N64" s="82"/>
      <c r="U64" s="364"/>
      <c r="V64" s="364"/>
      <c r="W64" s="364"/>
      <c r="X64" s="364"/>
    </row>
    <row r="65" spans="1:26" x14ac:dyDescent="0.3">
      <c r="A65" s="397"/>
      <c r="B65" s="397"/>
      <c r="C65" s="397"/>
      <c r="D65" s="397"/>
      <c r="E65" s="397"/>
      <c r="F65" s="397"/>
      <c r="G65" s="397"/>
      <c r="H65" s="397"/>
      <c r="I65" s="362"/>
      <c r="J65" s="397"/>
      <c r="K65" s="397"/>
      <c r="L65" s="397"/>
      <c r="M65" s="362"/>
      <c r="N65" s="397"/>
      <c r="O65" s="121"/>
      <c r="P65" s="111"/>
      <c r="Q65" s="82"/>
      <c r="R65" s="82"/>
      <c r="S65" s="82"/>
      <c r="T65" s="82"/>
      <c r="U65" s="363"/>
      <c r="V65" s="363"/>
      <c r="W65" s="363"/>
      <c r="X65" s="363"/>
    </row>
    <row r="66" spans="1:26" x14ac:dyDescent="0.3">
      <c r="A66" s="397"/>
      <c r="B66" s="397"/>
      <c r="C66" s="397"/>
      <c r="D66" s="397"/>
      <c r="E66" s="397"/>
      <c r="F66" s="397"/>
      <c r="G66" s="397"/>
      <c r="H66" s="397"/>
      <c r="I66" s="362"/>
      <c r="J66" s="397"/>
      <c r="K66" s="397"/>
      <c r="L66" s="397"/>
      <c r="M66" s="362"/>
      <c r="N66" s="397"/>
      <c r="O66" s="121"/>
      <c r="P66" s="111"/>
      <c r="Q66" s="82"/>
      <c r="R66" s="82"/>
      <c r="S66" s="82"/>
      <c r="T66" s="82"/>
      <c r="U66" s="363"/>
      <c r="V66" s="363"/>
      <c r="W66" s="363"/>
      <c r="X66" s="363"/>
    </row>
    <row r="67" spans="1:26" x14ac:dyDescent="0.3">
      <c r="A67" s="26"/>
      <c r="B67" s="28" t="s">
        <v>487</v>
      </c>
      <c r="C67" s="397"/>
      <c r="D67" s="397"/>
      <c r="E67" s="362"/>
      <c r="F67" s="397"/>
      <c r="G67" s="362"/>
      <c r="H67" s="397"/>
      <c r="I67" s="362"/>
      <c r="J67" s="397"/>
      <c r="K67" s="362"/>
      <c r="L67" s="397"/>
      <c r="M67" s="362"/>
      <c r="N67" s="397"/>
      <c r="O67" s="121"/>
      <c r="P67" s="111"/>
      <c r="Q67" s="82"/>
      <c r="R67" s="82"/>
      <c r="S67" s="82"/>
      <c r="T67" s="82"/>
      <c r="U67" s="363"/>
      <c r="V67" s="363"/>
      <c r="W67" s="363"/>
      <c r="X67" s="363"/>
    </row>
    <row r="68" spans="1:26" ht="27.6" x14ac:dyDescent="0.3">
      <c r="A68" s="397"/>
      <c r="B68" s="108" t="s">
        <v>488</v>
      </c>
      <c r="C68" s="112" t="s">
        <v>433</v>
      </c>
      <c r="D68" s="113" t="s">
        <v>433</v>
      </c>
      <c r="E68" s="231"/>
      <c r="F68" s="116" t="s">
        <v>836</v>
      </c>
      <c r="G68" s="231"/>
      <c r="H68" s="116" t="s">
        <v>489</v>
      </c>
      <c r="I68" s="231"/>
      <c r="J68" s="109" t="s">
        <v>490</v>
      </c>
      <c r="K68" s="455"/>
      <c r="L68" s="456" t="s">
        <v>491</v>
      </c>
      <c r="M68" s="231"/>
      <c r="N68" s="109" t="s">
        <v>739</v>
      </c>
      <c r="O68" s="121"/>
      <c r="P68" s="111"/>
      <c r="Q68" s="82"/>
      <c r="R68" s="82"/>
      <c r="S68" s="82"/>
      <c r="T68" s="82"/>
      <c r="U68" s="363"/>
      <c r="V68" s="363"/>
      <c r="W68" s="363"/>
      <c r="X68" s="363"/>
    </row>
    <row r="69" spans="1:26" ht="15" thickBot="1" x14ac:dyDescent="0.35">
      <c r="A69" s="397"/>
      <c r="B69" s="212"/>
      <c r="C69" s="118"/>
      <c r="D69" s="376"/>
      <c r="E69" s="375"/>
      <c r="F69" s="354" t="s">
        <v>1057</v>
      </c>
      <c r="G69" s="375"/>
      <c r="H69" s="354" t="s">
        <v>1058</v>
      </c>
      <c r="I69" s="230"/>
      <c r="J69" s="355" t="s">
        <v>1059</v>
      </c>
      <c r="K69" s="211"/>
      <c r="L69" s="354" t="s">
        <v>611</v>
      </c>
      <c r="M69" s="230"/>
      <c r="N69" s="355" t="s">
        <v>1060</v>
      </c>
      <c r="O69" s="121"/>
      <c r="P69" s="111"/>
      <c r="Q69" s="82"/>
      <c r="R69" s="82"/>
      <c r="S69" s="82"/>
      <c r="T69" s="82"/>
      <c r="U69" s="363"/>
      <c r="V69" s="363"/>
      <c r="W69" s="363"/>
      <c r="X69" s="363"/>
    </row>
    <row r="70" spans="1:26" s="362" customFormat="1" thickTop="1" x14ac:dyDescent="0.3">
      <c r="B70" s="356">
        <v>2</v>
      </c>
      <c r="C70" s="392" t="s">
        <v>435</v>
      </c>
      <c r="D70" s="357"/>
      <c r="E70" s="465" t="s">
        <v>919</v>
      </c>
      <c r="F70" s="195">
        <v>2887230</v>
      </c>
      <c r="G70" s="165"/>
      <c r="H70" s="150">
        <v>0.82</v>
      </c>
      <c r="I70" s="165"/>
      <c r="J70" s="155" t="s">
        <v>475</v>
      </c>
      <c r="K70" s="164"/>
      <c r="L70" s="160" t="s">
        <v>493</v>
      </c>
      <c r="M70" s="165"/>
      <c r="N70" s="155">
        <v>0.25</v>
      </c>
      <c r="O70" s="121"/>
      <c r="P70" s="121"/>
      <c r="Q70" s="82"/>
      <c r="R70" s="82"/>
      <c r="S70" s="82"/>
      <c r="T70" s="82"/>
      <c r="U70" s="364"/>
      <c r="V70" s="364"/>
      <c r="W70" s="364"/>
      <c r="X70" s="364"/>
    </row>
    <row r="71" spans="1:26" s="86" customFormat="1" x14ac:dyDescent="0.3">
      <c r="A71" s="82"/>
      <c r="B71" s="85"/>
      <c r="C71" s="83"/>
      <c r="E71" s="362"/>
      <c r="G71" s="25"/>
      <c r="I71" s="87"/>
      <c r="K71" s="87"/>
      <c r="M71" s="87"/>
      <c r="O71" s="87"/>
      <c r="Q71" s="82"/>
      <c r="R71" s="82"/>
      <c r="S71" s="82"/>
      <c r="T71" s="82"/>
      <c r="U71" s="363"/>
      <c r="V71" s="363"/>
      <c r="W71" s="363"/>
      <c r="X71" s="363"/>
    </row>
    <row r="72" spans="1:26" s="86" customFormat="1" x14ac:dyDescent="0.3">
      <c r="A72" s="26"/>
      <c r="B72" s="28" t="s">
        <v>729</v>
      </c>
      <c r="C72" s="83"/>
      <c r="E72" s="362"/>
      <c r="G72" s="25"/>
      <c r="I72" s="87"/>
      <c r="K72" s="87"/>
      <c r="M72" s="87"/>
      <c r="O72" s="87"/>
      <c r="Q72" s="82"/>
      <c r="R72" s="82"/>
      <c r="S72" s="82"/>
      <c r="T72" s="82"/>
      <c r="U72" s="363"/>
      <c r="V72" s="363"/>
      <c r="W72" s="363"/>
      <c r="X72" s="363"/>
    </row>
    <row r="73" spans="1:26" s="36" customFormat="1" ht="27.6" x14ac:dyDescent="0.3">
      <c r="A73" s="82"/>
      <c r="B73" s="125" t="s">
        <v>730</v>
      </c>
      <c r="C73" s="113" t="s">
        <v>742</v>
      </c>
      <c r="D73" s="113" t="s">
        <v>433</v>
      </c>
      <c r="E73" s="125"/>
      <c r="F73" s="142" t="s">
        <v>736</v>
      </c>
      <c r="G73" s="125"/>
      <c r="H73" s="142" t="s">
        <v>1389</v>
      </c>
      <c r="I73" s="113"/>
      <c r="J73" s="113" t="s">
        <v>1397</v>
      </c>
      <c r="K73" s="207"/>
      <c r="L73" s="113" t="s">
        <v>1108</v>
      </c>
      <c r="M73" s="207"/>
      <c r="N73" s="142" t="s">
        <v>771</v>
      </c>
      <c r="O73" s="113"/>
      <c r="P73" s="113" t="s">
        <v>734</v>
      </c>
      <c r="Q73" s="125"/>
      <c r="R73" s="142" t="s">
        <v>738</v>
      </c>
      <c r="S73" s="82"/>
      <c r="T73" s="82"/>
      <c r="U73" s="82"/>
      <c r="V73" s="82"/>
      <c r="W73" s="363"/>
      <c r="X73" s="363"/>
      <c r="Y73" s="363"/>
      <c r="Z73" s="363"/>
    </row>
    <row r="74" spans="1:26" s="448" customFormat="1" ht="15" thickBot="1" x14ac:dyDescent="0.35">
      <c r="A74" s="82"/>
      <c r="B74" s="178"/>
      <c r="C74" s="171"/>
      <c r="D74" s="172"/>
      <c r="E74" s="173"/>
      <c r="F74" s="174" t="s">
        <v>1074</v>
      </c>
      <c r="G74" s="173"/>
      <c r="H74" s="174" t="s">
        <v>1390</v>
      </c>
      <c r="I74" s="171"/>
      <c r="J74" s="174" t="s">
        <v>1071</v>
      </c>
      <c r="K74" s="173"/>
      <c r="L74" s="174" t="s">
        <v>1072</v>
      </c>
      <c r="M74" s="173"/>
      <c r="N74" s="174" t="s">
        <v>1073</v>
      </c>
      <c r="O74" s="171"/>
      <c r="P74" s="171" t="s">
        <v>1076</v>
      </c>
      <c r="Q74" s="173"/>
      <c r="R74" s="174" t="s">
        <v>1075</v>
      </c>
      <c r="S74" s="82"/>
      <c r="T74" s="82"/>
      <c r="U74" s="82"/>
      <c r="V74" s="82"/>
      <c r="W74" s="363"/>
      <c r="X74" s="363"/>
      <c r="Y74" s="363"/>
      <c r="Z74" s="363"/>
    </row>
    <row r="75" spans="1:26" s="378" customFormat="1" thickTop="1" x14ac:dyDescent="0.3">
      <c r="B75" s="434" t="s">
        <v>731</v>
      </c>
      <c r="C75" s="264" t="s">
        <v>743</v>
      </c>
      <c r="D75" s="264" t="s">
        <v>435</v>
      </c>
      <c r="E75" s="420"/>
      <c r="F75" s="264" t="s">
        <v>733</v>
      </c>
      <c r="G75" s="420"/>
      <c r="H75" s="264" t="s">
        <v>1376</v>
      </c>
      <c r="I75" s="420"/>
      <c r="J75" s="264" t="s">
        <v>737</v>
      </c>
      <c r="K75" s="490" t="s">
        <v>919</v>
      </c>
      <c r="L75" s="584">
        <v>5268800</v>
      </c>
      <c r="M75" s="420"/>
      <c r="N75" s="698" t="str">
        <f>ROUND(12/0.585/3.412,2)&amp;" (0.585 kW/ton)"</f>
        <v>6.01 (0.585 kW/ton)</v>
      </c>
      <c r="O75" s="420"/>
      <c r="P75" s="699">
        <v>0.38</v>
      </c>
      <c r="Q75" s="420"/>
      <c r="R75" s="263">
        <v>0.1</v>
      </c>
      <c r="S75" s="82"/>
      <c r="T75" s="82"/>
      <c r="U75" s="82"/>
      <c r="V75" s="82"/>
      <c r="W75" s="364"/>
      <c r="X75" s="364"/>
      <c r="Y75" s="364"/>
      <c r="Z75" s="364"/>
    </row>
    <row r="76" spans="1:26" s="378" customFormat="1" ht="13.8" x14ac:dyDescent="0.3">
      <c r="B76" s="316" t="s">
        <v>732</v>
      </c>
      <c r="C76" s="158" t="s">
        <v>743</v>
      </c>
      <c r="D76" s="158" t="s">
        <v>435</v>
      </c>
      <c r="E76" s="417"/>
      <c r="F76" s="158" t="s">
        <v>733</v>
      </c>
      <c r="G76" s="417"/>
      <c r="H76" s="158" t="s">
        <v>1376</v>
      </c>
      <c r="I76" s="417"/>
      <c r="J76" s="158" t="s">
        <v>737</v>
      </c>
      <c r="K76" s="465" t="s">
        <v>919</v>
      </c>
      <c r="L76" s="196">
        <v>5268800</v>
      </c>
      <c r="M76" s="417"/>
      <c r="N76" s="663" t="str">
        <f>ROUND(12/0.585/3.412,2)&amp;" (0.585 kW/ton)"</f>
        <v>6.01 (0.585 kW/ton)</v>
      </c>
      <c r="O76" s="417"/>
      <c r="P76" s="234">
        <v>0.38</v>
      </c>
      <c r="Q76" s="417"/>
      <c r="R76" s="252">
        <v>0.1</v>
      </c>
      <c r="S76" s="82"/>
      <c r="T76" s="82"/>
      <c r="U76" s="82"/>
      <c r="V76" s="82"/>
      <c r="W76" s="364"/>
      <c r="X76" s="364"/>
      <c r="Y76" s="364"/>
      <c r="Z76" s="364"/>
    </row>
    <row r="77" spans="1:26" s="86" customFormat="1" x14ac:dyDescent="0.3">
      <c r="A77" s="82"/>
      <c r="B77" s="85"/>
      <c r="C77" s="83"/>
      <c r="E77" s="362"/>
      <c r="G77" s="25"/>
      <c r="K77" s="87"/>
      <c r="M77" s="87"/>
      <c r="O77" s="87"/>
      <c r="Q77" s="82"/>
      <c r="R77" s="82"/>
      <c r="S77" s="82"/>
      <c r="T77" s="82"/>
      <c r="U77" s="363"/>
      <c r="V77" s="363"/>
      <c r="W77" s="363"/>
      <c r="X77" s="363"/>
    </row>
    <row r="78" spans="1:26" s="86" customFormat="1" ht="13.8" x14ac:dyDescent="0.3">
      <c r="A78" s="82"/>
      <c r="B78" s="85"/>
      <c r="C78" s="83"/>
      <c r="E78" s="362"/>
      <c r="G78" s="25"/>
      <c r="I78" s="87"/>
      <c r="K78" s="87"/>
      <c r="M78" s="87"/>
      <c r="O78" s="87"/>
      <c r="Q78" s="87"/>
      <c r="S78" s="87"/>
      <c r="U78" s="87"/>
      <c r="W78" s="87"/>
    </row>
    <row r="79" spans="1:26" s="36" customFormat="1" ht="27.6" x14ac:dyDescent="0.3">
      <c r="A79" s="82"/>
      <c r="B79" s="125" t="s">
        <v>730</v>
      </c>
      <c r="C79" s="113" t="s">
        <v>742</v>
      </c>
      <c r="D79" s="113" t="s">
        <v>433</v>
      </c>
      <c r="E79" s="125"/>
      <c r="F79" s="142" t="s">
        <v>735</v>
      </c>
      <c r="G79" s="207"/>
      <c r="H79" s="142" t="s">
        <v>779</v>
      </c>
      <c r="I79" s="113"/>
      <c r="J79" s="113" t="s">
        <v>781</v>
      </c>
      <c r="K79" s="113"/>
      <c r="L79" s="168" t="s">
        <v>740</v>
      </c>
      <c r="M79" s="457"/>
      <c r="N79" s="110" t="s">
        <v>741</v>
      </c>
      <c r="Q79" s="87"/>
      <c r="R79" s="86"/>
      <c r="S79" s="87"/>
      <c r="T79" s="86"/>
      <c r="U79" s="87"/>
      <c r="V79" s="86"/>
    </row>
    <row r="80" spans="1:26" s="448" customFormat="1" thickBot="1" x14ac:dyDescent="0.35">
      <c r="A80" s="82"/>
      <c r="B80" s="178"/>
      <c r="C80" s="171"/>
      <c r="D80" s="172"/>
      <c r="E80" s="173"/>
      <c r="F80" s="174" t="s">
        <v>783</v>
      </c>
      <c r="G80" s="173"/>
      <c r="H80" s="174" t="s">
        <v>767</v>
      </c>
      <c r="I80" s="171"/>
      <c r="J80" s="171" t="s">
        <v>766</v>
      </c>
      <c r="K80" s="171"/>
      <c r="L80" s="171" t="s">
        <v>935</v>
      </c>
      <c r="M80" s="173"/>
      <c r="N80" s="174" t="s">
        <v>934</v>
      </c>
      <c r="Q80" s="87"/>
      <c r="R80" s="86"/>
      <c r="S80" s="87"/>
      <c r="T80" s="86"/>
      <c r="U80" s="87"/>
      <c r="V80" s="86"/>
    </row>
    <row r="81" spans="1:26" s="378" customFormat="1" ht="28.2" thickTop="1" x14ac:dyDescent="0.3">
      <c r="B81" s="434" t="s">
        <v>731</v>
      </c>
      <c r="C81" s="264" t="s">
        <v>743</v>
      </c>
      <c r="D81" s="264" t="s">
        <v>435</v>
      </c>
      <c r="E81" s="420"/>
      <c r="F81" s="437" t="s">
        <v>782</v>
      </c>
      <c r="G81" s="420"/>
      <c r="H81" s="437" t="s">
        <v>768</v>
      </c>
      <c r="I81" s="420"/>
      <c r="J81" s="437" t="s">
        <v>780</v>
      </c>
      <c r="K81" s="420"/>
      <c r="L81" s="264" t="s">
        <v>770</v>
      </c>
      <c r="M81" s="420"/>
      <c r="N81" s="451" t="s">
        <v>769</v>
      </c>
      <c r="Q81" s="87"/>
      <c r="R81" s="86"/>
      <c r="S81" s="87"/>
      <c r="T81" s="86"/>
      <c r="U81" s="87"/>
      <c r="V81" s="86"/>
    </row>
    <row r="82" spans="1:26" s="378" customFormat="1" ht="27.6" x14ac:dyDescent="0.3">
      <c r="B82" s="316" t="s">
        <v>732</v>
      </c>
      <c r="C82" s="158" t="s">
        <v>743</v>
      </c>
      <c r="D82" s="158" t="s">
        <v>435</v>
      </c>
      <c r="E82" s="417"/>
      <c r="F82" s="160" t="s">
        <v>782</v>
      </c>
      <c r="G82" s="417"/>
      <c r="H82" s="160" t="s">
        <v>768</v>
      </c>
      <c r="I82" s="417"/>
      <c r="J82" s="160" t="s">
        <v>780</v>
      </c>
      <c r="K82" s="417"/>
      <c r="L82" s="158" t="s">
        <v>770</v>
      </c>
      <c r="M82" s="417"/>
      <c r="N82" s="199" t="s">
        <v>769</v>
      </c>
      <c r="Q82" s="87"/>
      <c r="R82" s="86"/>
      <c r="S82" s="87"/>
      <c r="T82" s="86"/>
      <c r="U82" s="87"/>
      <c r="V82" s="86"/>
    </row>
    <row r="83" spans="1:26" s="86" customFormat="1" ht="13.8" x14ac:dyDescent="0.3">
      <c r="A83" s="82"/>
      <c r="B83" s="85"/>
      <c r="C83" s="83"/>
      <c r="E83" s="362"/>
      <c r="G83" s="25"/>
      <c r="I83" s="87"/>
      <c r="K83" s="87"/>
      <c r="M83" s="87"/>
      <c r="O83" s="87"/>
      <c r="Q83" s="87"/>
      <c r="S83" s="87"/>
      <c r="U83" s="87"/>
      <c r="W83" s="87"/>
    </row>
    <row r="84" spans="1:26" s="86" customFormat="1" ht="13.8" x14ac:dyDescent="0.3">
      <c r="A84" s="82"/>
      <c r="B84" s="85"/>
      <c r="C84" s="83"/>
      <c r="E84" s="362"/>
      <c r="G84" s="25"/>
      <c r="I84" s="87"/>
      <c r="K84" s="87"/>
      <c r="M84" s="87"/>
      <c r="O84" s="87"/>
      <c r="Q84" s="87"/>
      <c r="S84" s="87"/>
      <c r="U84" s="87"/>
      <c r="W84" s="87"/>
    </row>
    <row r="85" spans="1:26" s="36" customFormat="1" ht="27.6" x14ac:dyDescent="0.3">
      <c r="A85" s="82"/>
      <c r="B85" s="125" t="s">
        <v>750</v>
      </c>
      <c r="C85" s="113" t="s">
        <v>751</v>
      </c>
      <c r="D85" s="113"/>
      <c r="E85" s="125"/>
      <c r="F85" s="142" t="s">
        <v>760</v>
      </c>
      <c r="G85" s="113"/>
      <c r="H85" s="113" t="s">
        <v>761</v>
      </c>
      <c r="I85" s="207"/>
      <c r="J85" s="113" t="s">
        <v>1109</v>
      </c>
      <c r="K85" s="207"/>
      <c r="L85" s="113" t="s">
        <v>764</v>
      </c>
      <c r="M85" s="207"/>
      <c r="N85" s="142" t="s">
        <v>772</v>
      </c>
      <c r="O85" s="113"/>
      <c r="P85" s="113" t="s">
        <v>773</v>
      </c>
      <c r="Q85" s="125"/>
      <c r="R85" s="142" t="s">
        <v>492</v>
      </c>
      <c r="S85" s="113"/>
      <c r="T85" s="142" t="s">
        <v>1051</v>
      </c>
      <c r="U85" s="87"/>
      <c r="V85" s="86"/>
      <c r="W85" s="87"/>
      <c r="X85" s="86"/>
      <c r="Y85" s="87"/>
      <c r="Z85" s="86"/>
    </row>
    <row r="86" spans="1:26" s="448" customFormat="1" thickBot="1" x14ac:dyDescent="0.35">
      <c r="A86" s="82"/>
      <c r="B86" s="178"/>
      <c r="C86" s="171"/>
      <c r="D86" s="172"/>
      <c r="E86" s="173"/>
      <c r="F86" s="355" t="s">
        <v>1061</v>
      </c>
      <c r="G86" s="171"/>
      <c r="H86" s="355" t="s">
        <v>1066</v>
      </c>
      <c r="I86" s="173"/>
      <c r="J86" s="174" t="s">
        <v>1110</v>
      </c>
      <c r="K86" s="173"/>
      <c r="L86" s="355" t="s">
        <v>1062</v>
      </c>
      <c r="M86" s="173"/>
      <c r="N86" s="355" t="s">
        <v>1063</v>
      </c>
      <c r="O86" s="171"/>
      <c r="P86" s="355" t="s">
        <v>1064</v>
      </c>
      <c r="Q86" s="173"/>
      <c r="R86" s="355" t="s">
        <v>1065</v>
      </c>
      <c r="S86" s="171"/>
      <c r="T86" s="174" t="s">
        <v>774</v>
      </c>
      <c r="U86" s="87"/>
      <c r="V86" s="86"/>
      <c r="W86" s="87"/>
      <c r="X86" s="86"/>
      <c r="Y86" s="87"/>
      <c r="Z86" s="86"/>
    </row>
    <row r="87" spans="1:26" s="364" customFormat="1" ht="12.75" customHeight="1" thickTop="1" x14ac:dyDescent="0.3">
      <c r="A87" s="378"/>
      <c r="B87" s="135" t="s">
        <v>752</v>
      </c>
      <c r="C87" s="371" t="s">
        <v>758</v>
      </c>
      <c r="D87" s="378" t="s">
        <v>435</v>
      </c>
      <c r="E87" s="418"/>
      <c r="F87" s="371" t="s">
        <v>494</v>
      </c>
      <c r="G87" s="418"/>
      <c r="H87" s="378" t="s">
        <v>762</v>
      </c>
      <c r="I87" s="490" t="s">
        <v>919</v>
      </c>
      <c r="J87" s="585">
        <f>ROUND(F70/500.19/40,2)</f>
        <v>144.31</v>
      </c>
      <c r="K87" s="418"/>
      <c r="L87" s="586" t="str">
        <f>ROUND(19*J87/1000,2)&amp;" (19 W/gpm)"</f>
        <v>2.74 (19 W/gpm)</v>
      </c>
      <c r="M87" s="418"/>
      <c r="N87" s="367">
        <v>5</v>
      </c>
      <c r="O87" s="429" t="s">
        <v>919</v>
      </c>
      <c r="P87" s="760">
        <f>ROUND(19/745.6*3960*R87*0.7,1)</f>
        <v>63.2</v>
      </c>
      <c r="Q87" s="418"/>
      <c r="R87" s="841">
        <v>0.89500000000000002</v>
      </c>
      <c r="S87" s="409" t="s">
        <v>14</v>
      </c>
      <c r="T87" s="410" t="s">
        <v>14</v>
      </c>
      <c r="U87" s="87"/>
      <c r="V87" s="86"/>
      <c r="W87" s="87"/>
      <c r="X87" s="86"/>
      <c r="Y87" s="87"/>
      <c r="Z87" s="86"/>
    </row>
    <row r="88" spans="1:26" s="364" customFormat="1" ht="12.75" customHeight="1" x14ac:dyDescent="0.3">
      <c r="A88" s="378"/>
      <c r="B88" s="135" t="s">
        <v>753</v>
      </c>
      <c r="C88" s="371" t="s">
        <v>759</v>
      </c>
      <c r="D88" s="378" t="s">
        <v>435</v>
      </c>
      <c r="E88" s="418"/>
      <c r="F88" s="371" t="s">
        <v>494</v>
      </c>
      <c r="G88" s="418"/>
      <c r="H88" s="378" t="s">
        <v>762</v>
      </c>
      <c r="I88" s="491" t="s">
        <v>919</v>
      </c>
      <c r="J88" s="587">
        <f>ROUND(F70/500.19/40,2)</f>
        <v>144.31</v>
      </c>
      <c r="K88" s="418"/>
      <c r="L88" s="586" t="str">
        <f>ROUND(19*J88/1000,2)&amp;" (19 W/gpm)"</f>
        <v>2.74 (19 W/gpm)</v>
      </c>
      <c r="M88" s="418"/>
      <c r="N88" s="367">
        <v>5</v>
      </c>
      <c r="O88" s="430" t="s">
        <v>919</v>
      </c>
      <c r="P88" s="760">
        <f>ROUND(19/745.6*3960*R88*0.7,1)</f>
        <v>63.2</v>
      </c>
      <c r="Q88" s="418"/>
      <c r="R88" s="841">
        <v>0.89500000000000002</v>
      </c>
      <c r="S88" s="409" t="s">
        <v>14</v>
      </c>
      <c r="T88" s="410" t="s">
        <v>14</v>
      </c>
      <c r="U88" s="87"/>
      <c r="V88" s="86"/>
      <c r="W88" s="87"/>
      <c r="X88" s="86"/>
      <c r="Y88" s="87"/>
      <c r="Z88" s="86"/>
    </row>
    <row r="89" spans="1:26" s="370" customFormat="1" ht="12.75" customHeight="1" x14ac:dyDescent="0.3">
      <c r="A89" s="378"/>
      <c r="B89" s="122" t="s">
        <v>754</v>
      </c>
      <c r="C89" s="378" t="s">
        <v>744</v>
      </c>
      <c r="D89" s="378" t="s">
        <v>435</v>
      </c>
      <c r="E89" s="416"/>
      <c r="F89" s="370" t="s">
        <v>494</v>
      </c>
      <c r="G89" s="416"/>
      <c r="H89" s="368" t="s">
        <v>762</v>
      </c>
      <c r="I89" s="491" t="s">
        <v>919</v>
      </c>
      <c r="J89" s="587">
        <f>ROUNDDOWN(J97/500.19/10,2)</f>
        <v>1229.8800000000001</v>
      </c>
      <c r="K89" s="416"/>
      <c r="L89" s="586" t="str">
        <f>ROUNDUP(J89*P89/3960/(0.7*R89)*745.6/1000,2)&amp;" ("&amp;ROUND(VALUE(P89/3960/(0.7*R89)*745.6),1)&amp;" W/gpm)"</f>
        <v>16.01 (13 W/gpm)</v>
      </c>
      <c r="M89" s="416"/>
      <c r="N89" s="366">
        <v>20</v>
      </c>
      <c r="O89" s="416"/>
      <c r="P89" s="304">
        <v>45</v>
      </c>
      <c r="Q89" s="416"/>
      <c r="R89" s="577">
        <v>0.93</v>
      </c>
      <c r="S89" s="409" t="s">
        <v>14</v>
      </c>
      <c r="T89" s="410" t="s">
        <v>14</v>
      </c>
      <c r="U89" s="87"/>
      <c r="V89" s="86"/>
      <c r="W89" s="87"/>
      <c r="X89" s="86"/>
      <c r="Y89" s="87"/>
      <c r="Z89" s="86"/>
    </row>
    <row r="90" spans="1:26" s="370" customFormat="1" ht="12.75" customHeight="1" x14ac:dyDescent="0.3">
      <c r="A90" s="378"/>
      <c r="B90" s="122" t="s">
        <v>755</v>
      </c>
      <c r="C90" s="378" t="s">
        <v>746</v>
      </c>
      <c r="D90" s="378" t="s">
        <v>435</v>
      </c>
      <c r="E90" s="418"/>
      <c r="F90" s="370" t="s">
        <v>494</v>
      </c>
      <c r="G90" s="418"/>
      <c r="H90" s="368" t="s">
        <v>762</v>
      </c>
      <c r="I90" s="491" t="s">
        <v>919</v>
      </c>
      <c r="J90" s="587">
        <f>ROUNDDOWN(J98/500.19/10,2)</f>
        <v>1229.8800000000001</v>
      </c>
      <c r="K90" s="418"/>
      <c r="L90" s="586" t="str">
        <f>ROUND(J90*P90/3960/(0.7*R90)*745.6/1000,2)&amp;" ("&amp;ROUND(VALUE(P90/3960/(0.7*R90)*745.6),1)&amp;" W/gpm)"</f>
        <v>16.01 (13 W/gpm)</v>
      </c>
      <c r="M90" s="418"/>
      <c r="N90" s="366">
        <v>20</v>
      </c>
      <c r="O90" s="418"/>
      <c r="P90" s="304">
        <v>45</v>
      </c>
      <c r="Q90" s="418"/>
      <c r="R90" s="577">
        <v>0.93</v>
      </c>
      <c r="S90" s="409" t="s">
        <v>14</v>
      </c>
      <c r="T90" s="410" t="s">
        <v>14</v>
      </c>
      <c r="U90" s="368"/>
      <c r="W90" s="368"/>
      <c r="Y90" s="368"/>
    </row>
    <row r="91" spans="1:26" s="370" customFormat="1" ht="41.4" x14ac:dyDescent="0.3">
      <c r="A91" s="378"/>
      <c r="B91" s="122" t="s">
        <v>756</v>
      </c>
      <c r="C91" s="378" t="s">
        <v>731</v>
      </c>
      <c r="D91" s="378" t="s">
        <v>435</v>
      </c>
      <c r="E91" s="416"/>
      <c r="F91" s="370" t="s">
        <v>494</v>
      </c>
      <c r="G91" s="416"/>
      <c r="H91" s="370" t="s">
        <v>763</v>
      </c>
      <c r="I91" s="491" t="s">
        <v>919</v>
      </c>
      <c r="J91" s="587">
        <f>ROUND(L75/500.19/20,2)</f>
        <v>526.67999999999995</v>
      </c>
      <c r="K91" s="416"/>
      <c r="L91" s="586" t="str">
        <f>ROUND(J91*P91/3960/(0.7*R91)*745.6/1000,2)&amp;" ("&amp;ROUND((P91/3960/(0.7*R91)*745.6),1)&amp;" W/gpm)"</f>
        <v>8.15 (15.5 W/gpm)</v>
      </c>
      <c r="M91" s="416"/>
      <c r="N91" s="366">
        <v>15</v>
      </c>
      <c r="O91" s="416"/>
      <c r="P91" s="588">
        <f>40+((0.03*L75)/12000)</f>
        <v>53.171999999999997</v>
      </c>
      <c r="Q91" s="416"/>
      <c r="R91" s="577">
        <v>0.92400000000000004</v>
      </c>
      <c r="S91" s="418"/>
      <c r="T91" s="365" t="s">
        <v>775</v>
      </c>
      <c r="U91" s="368"/>
      <c r="W91" s="368"/>
      <c r="Y91" s="368"/>
    </row>
    <row r="92" spans="1:26" s="370" customFormat="1" ht="41.4" x14ac:dyDescent="0.3">
      <c r="A92" s="378"/>
      <c r="B92" s="284" t="s">
        <v>757</v>
      </c>
      <c r="C92" s="158" t="s">
        <v>732</v>
      </c>
      <c r="D92" s="158" t="s">
        <v>435</v>
      </c>
      <c r="E92" s="417"/>
      <c r="F92" s="229" t="s">
        <v>494</v>
      </c>
      <c r="G92" s="417"/>
      <c r="H92" s="229" t="s">
        <v>763</v>
      </c>
      <c r="I92" s="465" t="s">
        <v>919</v>
      </c>
      <c r="J92" s="589">
        <f>ROUND(L76/500.19/20,2)</f>
        <v>526.67999999999995</v>
      </c>
      <c r="K92" s="417"/>
      <c r="L92" s="590" t="str">
        <f>ROUND(J92*P92/3960/(0.7*R92)*745.6/1000,2)&amp;" ("&amp;ROUND((P92/3960/(0.7*R92)*745.6),1)&amp;" W/gpm)"</f>
        <v>8.15 (15.5 W/gpm)</v>
      </c>
      <c r="M92" s="417"/>
      <c r="N92" s="402">
        <v>15</v>
      </c>
      <c r="O92" s="417"/>
      <c r="P92" s="591">
        <f>40+((0.03*L76)/12000)</f>
        <v>53.171999999999997</v>
      </c>
      <c r="Q92" s="417"/>
      <c r="R92" s="842">
        <v>0.92400000000000004</v>
      </c>
      <c r="S92" s="417"/>
      <c r="T92" s="193" t="s">
        <v>775</v>
      </c>
      <c r="U92" s="368"/>
      <c r="V92" s="18"/>
      <c r="W92" s="368"/>
      <c r="Y92" s="368"/>
    </row>
    <row r="93" spans="1:26" s="86" customFormat="1" ht="13.8" x14ac:dyDescent="0.3">
      <c r="A93" s="82"/>
      <c r="B93" s="85"/>
      <c r="C93" s="83"/>
      <c r="E93" s="362"/>
      <c r="G93" s="25"/>
      <c r="I93" s="87"/>
      <c r="J93" s="676"/>
      <c r="K93" s="87"/>
      <c r="L93" s="592"/>
      <c r="M93" s="87"/>
      <c r="O93" s="87"/>
      <c r="P93" s="86">
        <f>L93/J87*3960*0.7</f>
        <v>0</v>
      </c>
      <c r="Q93" s="87"/>
      <c r="S93" s="87"/>
      <c r="U93" s="87"/>
      <c r="W93" s="87"/>
    </row>
    <row r="94" spans="1:26" s="86" customFormat="1" ht="13.8" x14ac:dyDescent="0.3">
      <c r="A94" s="82"/>
      <c r="B94" s="85"/>
      <c r="C94" s="83"/>
      <c r="E94" s="362"/>
      <c r="G94" s="25"/>
      <c r="I94" s="87"/>
      <c r="J94" s="676"/>
      <c r="K94" s="87"/>
      <c r="M94" s="87"/>
      <c r="O94" s="87"/>
      <c r="P94" s="86">
        <f>(J87/745.6)*3960*R87*0.7</f>
        <v>480.18300885193128</v>
      </c>
      <c r="Q94" s="87"/>
      <c r="S94" s="87"/>
      <c r="U94" s="87"/>
      <c r="W94" s="87"/>
    </row>
    <row r="95" spans="1:26" s="36" customFormat="1" ht="27.6" x14ac:dyDescent="0.3">
      <c r="A95" s="82"/>
      <c r="B95" s="125" t="s">
        <v>747</v>
      </c>
      <c r="C95" s="113" t="s">
        <v>742</v>
      </c>
      <c r="D95" s="113" t="s">
        <v>433</v>
      </c>
      <c r="E95" s="125"/>
      <c r="F95" s="142" t="s">
        <v>748</v>
      </c>
      <c r="G95" s="113"/>
      <c r="H95" s="113" t="s">
        <v>765</v>
      </c>
      <c r="I95" s="125"/>
      <c r="J95" s="113" t="s">
        <v>1111</v>
      </c>
      <c r="K95" s="207"/>
      <c r="L95" s="116" t="s">
        <v>777</v>
      </c>
      <c r="M95" s="207"/>
      <c r="N95" s="142" t="s">
        <v>776</v>
      </c>
      <c r="O95" s="113"/>
      <c r="P95" s="142" t="s">
        <v>1052</v>
      </c>
      <c r="Q95" s="87"/>
      <c r="R95" s="86"/>
      <c r="S95" s="87"/>
      <c r="T95" s="86"/>
      <c r="U95" s="87"/>
      <c r="V95" s="86"/>
      <c r="W95" s="87"/>
      <c r="X95" s="86"/>
      <c r="Y95" s="87"/>
      <c r="Z95" s="86"/>
    </row>
    <row r="96" spans="1:26" s="448" customFormat="1" thickBot="1" x14ac:dyDescent="0.35">
      <c r="A96" s="82"/>
      <c r="B96" s="178"/>
      <c r="C96" s="171"/>
      <c r="D96" s="172"/>
      <c r="E96" s="173"/>
      <c r="F96" s="355" t="s">
        <v>1067</v>
      </c>
      <c r="G96" s="171"/>
      <c r="H96" s="354" t="s">
        <v>1112</v>
      </c>
      <c r="I96" s="173"/>
      <c r="J96" s="355" t="s">
        <v>1068</v>
      </c>
      <c r="K96" s="173"/>
      <c r="L96" s="355" t="s">
        <v>1069</v>
      </c>
      <c r="M96" s="173"/>
      <c r="N96" s="355" t="s">
        <v>1070</v>
      </c>
      <c r="O96" s="171"/>
      <c r="P96" s="174" t="s">
        <v>774</v>
      </c>
      <c r="Q96" s="87"/>
      <c r="R96" s="86"/>
      <c r="S96" s="87"/>
      <c r="T96" s="86"/>
      <c r="U96" s="87"/>
      <c r="V96" s="86"/>
      <c r="W96" s="87"/>
      <c r="X96" s="86"/>
      <c r="Y96" s="87"/>
      <c r="Z96" s="86"/>
    </row>
    <row r="97" spans="1:25" s="370" customFormat="1" thickTop="1" x14ac:dyDescent="0.3">
      <c r="A97" s="378"/>
      <c r="B97" s="122" t="s">
        <v>744</v>
      </c>
      <c r="C97" s="378" t="s">
        <v>745</v>
      </c>
      <c r="D97" s="378" t="s">
        <v>435</v>
      </c>
      <c r="E97" s="420"/>
      <c r="F97" s="370" t="s">
        <v>749</v>
      </c>
      <c r="G97" s="420"/>
      <c r="H97" s="450" t="s">
        <v>482</v>
      </c>
      <c r="I97" s="490" t="s">
        <v>919</v>
      </c>
      <c r="J97" s="700">
        <v>6151760</v>
      </c>
      <c r="K97" s="420"/>
      <c r="L97" s="586">
        <f>ROUNDDOWN(J97/500.19/10,2)</f>
        <v>1229.8800000000001</v>
      </c>
      <c r="M97" s="420"/>
      <c r="N97" s="453" t="str">
        <f>ROUNDUP(L97/60,2)&amp;" (60 gpm/HP)"</f>
        <v>20.5 (60 gpm/HP)</v>
      </c>
      <c r="O97" s="418"/>
      <c r="P97" s="365" t="s">
        <v>778</v>
      </c>
      <c r="Q97" s="368"/>
      <c r="S97" s="368"/>
      <c r="U97" s="368"/>
      <c r="W97" s="368"/>
      <c r="Y97" s="368"/>
    </row>
    <row r="98" spans="1:25" s="370" customFormat="1" ht="13.8" x14ac:dyDescent="0.3">
      <c r="A98" s="378"/>
      <c r="B98" s="284" t="s">
        <v>746</v>
      </c>
      <c r="C98" s="158" t="s">
        <v>745</v>
      </c>
      <c r="D98" s="158" t="s">
        <v>435</v>
      </c>
      <c r="E98" s="417"/>
      <c r="F98" s="229" t="s">
        <v>749</v>
      </c>
      <c r="G98" s="417"/>
      <c r="H98" s="452" t="s">
        <v>482</v>
      </c>
      <c r="I98" s="465" t="s">
        <v>919</v>
      </c>
      <c r="J98" s="701">
        <v>6151760</v>
      </c>
      <c r="K98" s="417"/>
      <c r="L98" s="593">
        <f>ROUNDDOWN(J98/500.19/10,2)</f>
        <v>1229.8800000000001</v>
      </c>
      <c r="M98" s="417"/>
      <c r="N98" s="454" t="str">
        <f>ROUNDUP(L98/60,2)&amp;" (60 gpm/HP)"</f>
        <v>20.5 (60 gpm/HP)</v>
      </c>
      <c r="O98" s="417"/>
      <c r="P98" s="193" t="s">
        <v>778</v>
      </c>
      <c r="Q98" s="368"/>
      <c r="S98" s="368"/>
      <c r="U98" s="368"/>
      <c r="W98" s="368"/>
      <c r="Y98" s="368"/>
    </row>
    <row r="99" spans="1:25" s="86" customFormat="1" ht="13.8" x14ac:dyDescent="0.3">
      <c r="A99" s="82"/>
      <c r="B99" s="85"/>
      <c r="C99" s="83"/>
      <c r="E99" s="362"/>
      <c r="G99" s="25"/>
      <c r="I99" s="87"/>
      <c r="K99" s="87"/>
      <c r="M99" s="87"/>
      <c r="O99" s="87"/>
      <c r="Q99" s="87"/>
      <c r="S99" s="87"/>
      <c r="U99" s="368"/>
      <c r="V99" s="370"/>
      <c r="W99" s="368"/>
      <c r="X99" s="370"/>
    </row>
    <row r="100" spans="1:25" s="86" customFormat="1" ht="13.8" x14ac:dyDescent="0.3">
      <c r="A100" s="82"/>
      <c r="B100" s="85"/>
      <c r="C100" s="83"/>
      <c r="E100" s="362"/>
      <c r="G100" s="25"/>
      <c r="I100" s="87"/>
      <c r="K100" s="87"/>
      <c r="M100" s="87"/>
      <c r="O100" s="87"/>
      <c r="Q100" s="87"/>
      <c r="S100" s="87"/>
      <c r="U100" s="368"/>
      <c r="V100" s="370"/>
      <c r="W100" s="368"/>
      <c r="X100" s="370"/>
    </row>
    <row r="101" spans="1:25" s="86" customFormat="1" ht="13.8" x14ac:dyDescent="0.3">
      <c r="A101" s="291"/>
      <c r="B101" s="291" t="s">
        <v>48</v>
      </c>
      <c r="C101" s="292"/>
      <c r="D101" s="290"/>
      <c r="E101" s="292"/>
      <c r="F101" s="290"/>
      <c r="G101" s="293"/>
      <c r="H101" s="290"/>
      <c r="I101" s="292"/>
      <c r="J101" s="290"/>
      <c r="K101" s="292"/>
      <c r="L101" s="290"/>
      <c r="M101" s="290"/>
      <c r="N101" s="290"/>
      <c r="O101" s="292"/>
      <c r="P101" s="290"/>
      <c r="Q101" s="292"/>
      <c r="R101" s="292"/>
      <c r="S101" s="292"/>
      <c r="T101" s="292"/>
      <c r="U101" s="292"/>
      <c r="V101" s="292"/>
      <c r="W101" s="368"/>
      <c r="X101" s="370"/>
    </row>
    <row r="102" spans="1:25" x14ac:dyDescent="0.3">
      <c r="A102" s="24"/>
      <c r="B102" s="24" t="s">
        <v>517</v>
      </c>
      <c r="U102" s="368"/>
      <c r="V102" s="370"/>
      <c r="W102" s="368"/>
      <c r="X102" s="370"/>
    </row>
    <row r="103" spans="1:25" ht="41.4" x14ac:dyDescent="0.3">
      <c r="A103" s="82"/>
      <c r="B103" s="108" t="s">
        <v>500</v>
      </c>
      <c r="C103" s="116" t="s">
        <v>501</v>
      </c>
      <c r="D103" s="112" t="s">
        <v>433</v>
      </c>
      <c r="E103" s="125"/>
      <c r="F103" s="142" t="s">
        <v>437</v>
      </c>
      <c r="G103" s="113"/>
      <c r="H103" s="168" t="s">
        <v>137</v>
      </c>
      <c r="I103" s="125"/>
      <c r="J103" s="110" t="s">
        <v>186</v>
      </c>
      <c r="K103" s="125"/>
      <c r="L103" s="142" t="s">
        <v>510</v>
      </c>
      <c r="M103" s="113"/>
      <c r="N103" s="113" t="s">
        <v>509</v>
      </c>
      <c r="O103" s="207"/>
      <c r="P103" s="142" t="s">
        <v>508</v>
      </c>
      <c r="Q103" s="125"/>
      <c r="R103" s="142" t="s">
        <v>486</v>
      </c>
      <c r="S103" s="125"/>
      <c r="T103" s="142" t="s">
        <v>534</v>
      </c>
      <c r="U103" s="368"/>
      <c r="V103" s="370"/>
      <c r="W103" s="368"/>
      <c r="X103" s="370"/>
    </row>
    <row r="104" spans="1:25" ht="15" thickBot="1" x14ac:dyDescent="0.35">
      <c r="A104" s="82"/>
      <c r="B104" s="173" t="s">
        <v>259</v>
      </c>
      <c r="C104" s="171" t="s">
        <v>258</v>
      </c>
      <c r="D104" s="376"/>
      <c r="E104" s="178"/>
      <c r="F104" s="174"/>
      <c r="G104" s="172"/>
      <c r="H104" s="174" t="s">
        <v>260</v>
      </c>
      <c r="I104" s="178"/>
      <c r="J104" s="174" t="s">
        <v>261</v>
      </c>
      <c r="K104" s="208"/>
      <c r="L104" s="174" t="s">
        <v>646</v>
      </c>
      <c r="M104" s="205"/>
      <c r="N104" s="171" t="s">
        <v>647</v>
      </c>
      <c r="O104" s="208"/>
      <c r="P104" s="174" t="s">
        <v>1387</v>
      </c>
      <c r="Q104" s="230"/>
      <c r="R104" s="174" t="s">
        <v>1127</v>
      </c>
      <c r="S104" s="230"/>
      <c r="T104" s="174" t="s">
        <v>1128</v>
      </c>
      <c r="U104" s="368"/>
      <c r="V104" s="370"/>
      <c r="W104" s="368"/>
      <c r="X104" s="370"/>
    </row>
    <row r="105" spans="1:25" s="364" customFormat="1" thickTop="1" x14ac:dyDescent="0.3">
      <c r="A105" s="378"/>
      <c r="B105" s="438" t="s">
        <v>568</v>
      </c>
      <c r="C105" s="378" t="s">
        <v>684</v>
      </c>
      <c r="D105" s="378" t="s">
        <v>435</v>
      </c>
      <c r="E105" s="131"/>
      <c r="F105" s="371" t="s">
        <v>567</v>
      </c>
      <c r="G105" s="418"/>
      <c r="H105" s="378" t="s">
        <v>689</v>
      </c>
      <c r="I105" s="418"/>
      <c r="J105" s="378" t="s">
        <v>187</v>
      </c>
      <c r="K105" s="418"/>
      <c r="L105" s="378">
        <v>55</v>
      </c>
      <c r="M105" s="418"/>
      <c r="N105" s="378">
        <v>60</v>
      </c>
      <c r="O105" s="418"/>
      <c r="P105" s="263" t="s">
        <v>930</v>
      </c>
      <c r="Q105" s="418"/>
      <c r="R105" s="206">
        <v>60</v>
      </c>
      <c r="S105" s="418"/>
      <c r="T105" s="206">
        <v>55</v>
      </c>
      <c r="U105" s="368"/>
      <c r="V105" s="370"/>
      <c r="W105" s="368"/>
      <c r="X105" s="370"/>
    </row>
    <row r="106" spans="1:25" s="364" customFormat="1" ht="13.8" x14ac:dyDescent="0.3">
      <c r="A106" s="378"/>
      <c r="B106" s="122" t="s">
        <v>569</v>
      </c>
      <c r="C106" s="378" t="s">
        <v>685</v>
      </c>
      <c r="D106" s="378" t="s">
        <v>435</v>
      </c>
      <c r="E106" s="131"/>
      <c r="F106" s="371" t="s">
        <v>571</v>
      </c>
      <c r="G106" s="419"/>
      <c r="H106" s="378" t="s">
        <v>689</v>
      </c>
      <c r="I106" s="419"/>
      <c r="J106" s="378" t="s">
        <v>187</v>
      </c>
      <c r="K106" s="419"/>
      <c r="L106" s="378">
        <v>55</v>
      </c>
      <c r="M106" s="419"/>
      <c r="N106" s="378">
        <v>60</v>
      </c>
      <c r="O106" s="419"/>
      <c r="P106" s="197" t="s">
        <v>930</v>
      </c>
      <c r="Q106" s="418"/>
      <c r="R106" s="206">
        <v>60</v>
      </c>
      <c r="S106" s="418"/>
      <c r="T106" s="206">
        <v>55</v>
      </c>
      <c r="U106" s="368"/>
      <c r="V106" s="370"/>
      <c r="W106" s="368"/>
      <c r="X106" s="370"/>
    </row>
    <row r="107" spans="1:25" s="364" customFormat="1" ht="13.8" x14ac:dyDescent="0.3">
      <c r="A107" s="378"/>
      <c r="B107" s="122" t="s">
        <v>691</v>
      </c>
      <c r="C107" s="378" t="s">
        <v>686</v>
      </c>
      <c r="D107" s="378" t="s">
        <v>435</v>
      </c>
      <c r="E107" s="131"/>
      <c r="F107" s="371" t="s">
        <v>690</v>
      </c>
      <c r="G107" s="419"/>
      <c r="H107" s="378" t="s">
        <v>689</v>
      </c>
      <c r="I107" s="419"/>
      <c r="J107" s="378" t="s">
        <v>187</v>
      </c>
      <c r="K107" s="419"/>
      <c r="L107" s="378">
        <v>55</v>
      </c>
      <c r="M107" s="419"/>
      <c r="N107" s="378">
        <v>60</v>
      </c>
      <c r="O107" s="419"/>
      <c r="P107" s="197" t="s">
        <v>930</v>
      </c>
      <c r="Q107" s="418"/>
      <c r="R107" s="206">
        <v>60</v>
      </c>
      <c r="S107" s="418"/>
      <c r="T107" s="206">
        <v>55</v>
      </c>
      <c r="U107" s="368"/>
      <c r="V107" s="370"/>
      <c r="W107" s="368"/>
      <c r="X107" s="370"/>
    </row>
    <row r="108" spans="1:25" s="364" customFormat="1" ht="13.8" x14ac:dyDescent="0.3">
      <c r="A108" s="378"/>
      <c r="B108" s="122" t="s">
        <v>570</v>
      </c>
      <c r="C108" s="378" t="s">
        <v>687</v>
      </c>
      <c r="D108" s="378" t="s">
        <v>435</v>
      </c>
      <c r="E108" s="131"/>
      <c r="F108" s="371" t="s">
        <v>572</v>
      </c>
      <c r="G108" s="419"/>
      <c r="H108" s="378" t="s">
        <v>689</v>
      </c>
      <c r="I108" s="419"/>
      <c r="J108" s="378" t="s">
        <v>187</v>
      </c>
      <c r="K108" s="419"/>
      <c r="L108" s="378">
        <v>55</v>
      </c>
      <c r="M108" s="419"/>
      <c r="N108" s="378">
        <v>60</v>
      </c>
      <c r="O108" s="419"/>
      <c r="P108" s="197" t="s">
        <v>930</v>
      </c>
      <c r="Q108" s="418"/>
      <c r="R108" s="206">
        <v>60</v>
      </c>
      <c r="S108" s="418"/>
      <c r="T108" s="206">
        <v>55</v>
      </c>
      <c r="U108" s="368"/>
      <c r="V108" s="370"/>
      <c r="W108" s="368"/>
      <c r="X108" s="370"/>
    </row>
    <row r="109" spans="1:25" s="362" customFormat="1" ht="13.8" x14ac:dyDescent="0.3">
      <c r="A109" s="82"/>
      <c r="B109" s="175" t="s">
        <v>697</v>
      </c>
      <c r="C109" s="150" t="s">
        <v>688</v>
      </c>
      <c r="D109" s="199" t="s">
        <v>435</v>
      </c>
      <c r="E109" s="179"/>
      <c r="F109" s="439" t="s">
        <v>698</v>
      </c>
      <c r="G109" s="153"/>
      <c r="H109" s="150" t="s">
        <v>666</v>
      </c>
      <c r="I109" s="153"/>
      <c r="J109" s="155" t="s">
        <v>655</v>
      </c>
      <c r="K109" s="153"/>
      <c r="L109" s="209">
        <v>60</v>
      </c>
      <c r="M109" s="153"/>
      <c r="N109" s="151">
        <v>95</v>
      </c>
      <c r="O109" s="153"/>
      <c r="P109" s="209" t="s">
        <v>300</v>
      </c>
      <c r="Q109" s="411" t="s">
        <v>14</v>
      </c>
      <c r="R109" s="412" t="s">
        <v>14</v>
      </c>
      <c r="S109" s="411" t="s">
        <v>14</v>
      </c>
      <c r="T109" s="412" t="s">
        <v>14</v>
      </c>
      <c r="U109" s="368"/>
      <c r="V109" s="370"/>
      <c r="W109" s="368"/>
      <c r="X109" s="370"/>
    </row>
    <row r="110" spans="1:25" x14ac:dyDescent="0.3">
      <c r="A110" s="82"/>
      <c r="B110" s="77"/>
      <c r="C110" s="75"/>
      <c r="D110" s="29"/>
      <c r="E110" s="369"/>
      <c r="F110" s="369"/>
      <c r="G110" s="369"/>
      <c r="H110" s="369"/>
      <c r="J110" s="369"/>
      <c r="K110" s="84"/>
      <c r="L110" s="82"/>
      <c r="N110" s="369"/>
      <c r="P110" s="369"/>
      <c r="R110" s="369"/>
      <c r="T110" s="369"/>
      <c r="U110" s="368"/>
      <c r="V110" s="370"/>
      <c r="W110" s="368"/>
      <c r="X110" s="370"/>
    </row>
    <row r="111" spans="1:25" x14ac:dyDescent="0.3">
      <c r="A111" s="82"/>
      <c r="B111" s="77"/>
      <c r="C111" s="75"/>
      <c r="D111" s="29"/>
      <c r="E111" s="369"/>
      <c r="F111" s="369"/>
      <c r="G111" s="369"/>
      <c r="H111" s="369"/>
      <c r="J111" s="369"/>
      <c r="K111" s="84"/>
      <c r="L111" s="82"/>
      <c r="N111" s="369"/>
      <c r="P111" s="369"/>
      <c r="R111" s="369"/>
      <c r="T111" s="369"/>
      <c r="U111" s="368"/>
      <c r="V111" s="370"/>
      <c r="W111" s="368"/>
      <c r="X111" s="370"/>
    </row>
    <row r="112" spans="1:25" ht="41.4" x14ac:dyDescent="0.3">
      <c r="A112" s="82"/>
      <c r="B112" s="108" t="s">
        <v>501</v>
      </c>
      <c r="C112" s="116" t="s">
        <v>502</v>
      </c>
      <c r="D112" s="112" t="s">
        <v>433</v>
      </c>
      <c r="E112" s="177"/>
      <c r="F112" s="110" t="s">
        <v>137</v>
      </c>
      <c r="G112" s="170"/>
      <c r="H112" s="168" t="s">
        <v>503</v>
      </c>
      <c r="I112" s="189"/>
      <c r="J112" s="110" t="s">
        <v>204</v>
      </c>
      <c r="K112" s="182"/>
      <c r="L112" s="110" t="s">
        <v>1053</v>
      </c>
      <c r="M112" s="442"/>
      <c r="N112" s="110" t="s">
        <v>1054</v>
      </c>
      <c r="O112" s="441"/>
      <c r="P112" s="110" t="s">
        <v>1055</v>
      </c>
      <c r="R112" s="369"/>
      <c r="T112" s="369"/>
      <c r="U112" s="368"/>
      <c r="V112" s="370"/>
      <c r="W112" s="368"/>
      <c r="X112" s="370"/>
    </row>
    <row r="113" spans="1:24" ht="15" thickBot="1" x14ac:dyDescent="0.35">
      <c r="A113" s="82"/>
      <c r="B113" s="173" t="s">
        <v>280</v>
      </c>
      <c r="C113" s="171" t="s">
        <v>262</v>
      </c>
      <c r="D113" s="376"/>
      <c r="E113" s="178"/>
      <c r="F113" s="174" t="s">
        <v>264</v>
      </c>
      <c r="G113" s="172"/>
      <c r="H113" s="171" t="s">
        <v>933</v>
      </c>
      <c r="I113" s="178"/>
      <c r="J113" s="174" t="s">
        <v>263</v>
      </c>
      <c r="K113" s="184"/>
      <c r="L113" s="171" t="s">
        <v>629</v>
      </c>
      <c r="M113" s="173"/>
      <c r="N113" s="174" t="s">
        <v>630</v>
      </c>
      <c r="O113" s="171"/>
      <c r="P113" s="174" t="s">
        <v>631</v>
      </c>
      <c r="R113" s="369"/>
      <c r="T113" s="369"/>
      <c r="U113" s="368"/>
      <c r="V113" s="370"/>
      <c r="W113" s="368"/>
      <c r="X113" s="370"/>
    </row>
    <row r="114" spans="1:24" s="364" customFormat="1" thickTop="1" x14ac:dyDescent="0.3">
      <c r="A114" s="378"/>
      <c r="B114" s="135" t="s">
        <v>684</v>
      </c>
      <c r="C114" s="378" t="s">
        <v>720</v>
      </c>
      <c r="D114" s="378" t="s">
        <v>435</v>
      </c>
      <c r="E114" s="418"/>
      <c r="F114" s="378" t="s">
        <v>704</v>
      </c>
      <c r="G114" s="409" t="s">
        <v>14</v>
      </c>
      <c r="H114" s="410" t="s">
        <v>14</v>
      </c>
      <c r="I114" s="418"/>
      <c r="J114" s="378">
        <v>1.1499999999999999</v>
      </c>
      <c r="K114" s="409" t="s">
        <v>14</v>
      </c>
      <c r="L114" s="410" t="s">
        <v>14</v>
      </c>
      <c r="M114" s="409" t="s">
        <v>14</v>
      </c>
      <c r="N114" s="410" t="s">
        <v>14</v>
      </c>
      <c r="O114" s="409" t="s">
        <v>14</v>
      </c>
      <c r="P114" s="410" t="s">
        <v>14</v>
      </c>
      <c r="Q114" s="378"/>
      <c r="R114" s="378"/>
      <c r="S114" s="378"/>
      <c r="T114" s="378"/>
      <c r="U114" s="378"/>
      <c r="V114" s="378"/>
      <c r="W114" s="378"/>
      <c r="X114" s="378"/>
    </row>
    <row r="115" spans="1:24" s="364" customFormat="1" ht="13.8" x14ac:dyDescent="0.3">
      <c r="A115" s="378"/>
      <c r="B115" s="135" t="s">
        <v>685</v>
      </c>
      <c r="C115" s="378" t="s">
        <v>721</v>
      </c>
      <c r="D115" s="378" t="s">
        <v>435</v>
      </c>
      <c r="E115" s="419"/>
      <c r="F115" s="378" t="s">
        <v>704</v>
      </c>
      <c r="G115" s="409" t="s">
        <v>14</v>
      </c>
      <c r="H115" s="410" t="s">
        <v>14</v>
      </c>
      <c r="I115" s="419"/>
      <c r="J115" s="378">
        <v>1.1499999999999999</v>
      </c>
      <c r="K115" s="409" t="s">
        <v>14</v>
      </c>
      <c r="L115" s="410" t="s">
        <v>14</v>
      </c>
      <c r="M115" s="409" t="s">
        <v>14</v>
      </c>
      <c r="N115" s="410" t="s">
        <v>14</v>
      </c>
      <c r="O115" s="409" t="s">
        <v>14</v>
      </c>
      <c r="P115" s="410" t="s">
        <v>14</v>
      </c>
      <c r="Q115" s="378"/>
      <c r="R115" s="378"/>
      <c r="S115" s="378"/>
      <c r="T115" s="378"/>
      <c r="U115" s="378"/>
      <c r="V115" s="378"/>
      <c r="W115" s="378"/>
      <c r="X115" s="378"/>
    </row>
    <row r="116" spans="1:24" s="364" customFormat="1" ht="13.8" x14ac:dyDescent="0.3">
      <c r="A116" s="378"/>
      <c r="B116" s="135" t="s">
        <v>686</v>
      </c>
      <c r="C116" s="378" t="s">
        <v>722</v>
      </c>
      <c r="D116" s="378" t="s">
        <v>435</v>
      </c>
      <c r="E116" s="419"/>
      <c r="F116" s="378" t="s">
        <v>704</v>
      </c>
      <c r="G116" s="409" t="s">
        <v>14</v>
      </c>
      <c r="H116" s="410" t="s">
        <v>14</v>
      </c>
      <c r="I116" s="419"/>
      <c r="J116" s="378">
        <v>1.1499999999999999</v>
      </c>
      <c r="K116" s="409" t="s">
        <v>14</v>
      </c>
      <c r="L116" s="410" t="s">
        <v>14</v>
      </c>
      <c r="M116" s="409" t="s">
        <v>14</v>
      </c>
      <c r="N116" s="410" t="s">
        <v>14</v>
      </c>
      <c r="O116" s="409" t="s">
        <v>14</v>
      </c>
      <c r="P116" s="410" t="s">
        <v>14</v>
      </c>
      <c r="Q116" s="378"/>
      <c r="R116" s="378"/>
      <c r="S116" s="378"/>
      <c r="T116" s="378"/>
      <c r="U116" s="378"/>
      <c r="V116" s="378"/>
      <c r="W116" s="378"/>
      <c r="X116" s="378"/>
    </row>
    <row r="117" spans="1:24" s="364" customFormat="1" ht="13.8" x14ac:dyDescent="0.3">
      <c r="A117" s="378"/>
      <c r="B117" s="135" t="s">
        <v>687</v>
      </c>
      <c r="C117" s="378" t="s">
        <v>723</v>
      </c>
      <c r="D117" s="378" t="s">
        <v>435</v>
      </c>
      <c r="E117" s="419"/>
      <c r="F117" s="378" t="s">
        <v>704</v>
      </c>
      <c r="G117" s="409" t="s">
        <v>14</v>
      </c>
      <c r="H117" s="410" t="s">
        <v>14</v>
      </c>
      <c r="I117" s="419"/>
      <c r="J117" s="378">
        <v>1.1499999999999999</v>
      </c>
      <c r="K117" s="409" t="s">
        <v>14</v>
      </c>
      <c r="L117" s="410" t="s">
        <v>14</v>
      </c>
      <c r="M117" s="409" t="s">
        <v>14</v>
      </c>
      <c r="N117" s="410" t="s">
        <v>14</v>
      </c>
      <c r="O117" s="409" t="s">
        <v>14</v>
      </c>
      <c r="P117" s="410" t="s">
        <v>14</v>
      </c>
      <c r="Q117" s="378"/>
      <c r="R117" s="378"/>
      <c r="S117" s="378"/>
      <c r="T117" s="378"/>
      <c r="U117" s="378"/>
      <c r="V117" s="378"/>
      <c r="W117" s="378"/>
      <c r="X117" s="378"/>
    </row>
    <row r="118" spans="1:24" s="362" customFormat="1" ht="13.8" x14ac:dyDescent="0.3">
      <c r="A118" s="82"/>
      <c r="B118" s="175" t="s">
        <v>688</v>
      </c>
      <c r="C118" s="150" t="s">
        <v>724</v>
      </c>
      <c r="D118" s="199" t="s">
        <v>435</v>
      </c>
      <c r="E118" s="153"/>
      <c r="F118" s="150" t="s">
        <v>704</v>
      </c>
      <c r="G118" s="411" t="s">
        <v>14</v>
      </c>
      <c r="H118" s="412" t="s">
        <v>14</v>
      </c>
      <c r="I118" s="153"/>
      <c r="J118" s="252">
        <v>1.1499999999999999</v>
      </c>
      <c r="K118" s="411" t="s">
        <v>14</v>
      </c>
      <c r="L118" s="412" t="s">
        <v>14</v>
      </c>
      <c r="M118" s="411" t="s">
        <v>14</v>
      </c>
      <c r="N118" s="412" t="s">
        <v>14</v>
      </c>
      <c r="O118" s="411" t="s">
        <v>14</v>
      </c>
      <c r="P118" s="412" t="s">
        <v>14</v>
      </c>
      <c r="Q118" s="369"/>
      <c r="R118" s="369"/>
      <c r="S118" s="369"/>
      <c r="T118" s="369"/>
      <c r="U118" s="369"/>
      <c r="V118" s="369"/>
      <c r="W118" s="369"/>
      <c r="X118" s="369"/>
    </row>
    <row r="119" spans="1:24" x14ac:dyDescent="0.3">
      <c r="A119" s="82"/>
      <c r="B119" s="77"/>
      <c r="C119" s="75"/>
      <c r="D119" s="82"/>
      <c r="E119" s="84"/>
      <c r="F119" s="82"/>
      <c r="G119" s="84"/>
      <c r="H119" s="82"/>
      <c r="I119" s="84"/>
      <c r="J119" s="82"/>
      <c r="K119" s="29"/>
      <c r="L119" s="369"/>
      <c r="N119" s="369"/>
      <c r="P119" s="369"/>
      <c r="R119" s="369"/>
      <c r="T119" s="369"/>
      <c r="V119" s="369"/>
      <c r="X119" s="369"/>
    </row>
    <row r="120" spans="1:24" x14ac:dyDescent="0.3">
      <c r="A120" s="82"/>
      <c r="B120" s="77"/>
      <c r="C120" s="75"/>
      <c r="D120" s="82"/>
      <c r="E120" s="84"/>
      <c r="F120" s="82"/>
      <c r="G120" s="84"/>
      <c r="H120" s="82"/>
      <c r="I120" s="84"/>
      <c r="J120" s="82"/>
      <c r="K120" s="29"/>
      <c r="L120" s="369"/>
      <c r="N120" s="369"/>
      <c r="P120" s="369"/>
      <c r="R120" s="369"/>
      <c r="T120" s="369"/>
      <c r="V120" s="369"/>
      <c r="X120" s="369"/>
    </row>
    <row r="121" spans="1:24" x14ac:dyDescent="0.3">
      <c r="A121" s="82"/>
      <c r="B121" s="108" t="s">
        <v>501</v>
      </c>
      <c r="C121" s="116" t="s">
        <v>504</v>
      </c>
      <c r="D121" s="112" t="s">
        <v>433</v>
      </c>
      <c r="E121" s="177"/>
      <c r="F121" s="110" t="s">
        <v>474</v>
      </c>
      <c r="G121" s="369"/>
      <c r="H121" s="85"/>
      <c r="L121" s="369"/>
      <c r="N121" s="369"/>
      <c r="P121" s="369"/>
      <c r="R121" s="369"/>
      <c r="S121" s="397"/>
      <c r="T121" s="397"/>
      <c r="U121" s="397"/>
      <c r="V121" s="397"/>
      <c r="W121" s="397"/>
      <c r="X121" s="397"/>
    </row>
    <row r="122" spans="1:24" ht="15" thickBot="1" x14ac:dyDescent="0.35">
      <c r="A122" s="82"/>
      <c r="B122" s="173" t="s">
        <v>282</v>
      </c>
      <c r="C122" s="171" t="s">
        <v>265</v>
      </c>
      <c r="D122" s="171"/>
      <c r="E122" s="178"/>
      <c r="F122" s="174" t="s">
        <v>266</v>
      </c>
      <c r="G122" s="369"/>
      <c r="H122" s="85"/>
      <c r="L122" s="369"/>
      <c r="N122" s="369"/>
      <c r="P122" s="369"/>
      <c r="R122" s="369"/>
      <c r="S122" s="397"/>
      <c r="T122" s="397"/>
      <c r="U122" s="397"/>
      <c r="V122" s="397"/>
      <c r="W122" s="397"/>
      <c r="X122" s="397"/>
    </row>
    <row r="123" spans="1:24" s="364" customFormat="1" thickTop="1" x14ac:dyDescent="0.3">
      <c r="A123" s="378"/>
      <c r="B123" s="135" t="s">
        <v>684</v>
      </c>
      <c r="C123" s="378" t="s">
        <v>725</v>
      </c>
      <c r="D123" s="378"/>
      <c r="E123" s="416"/>
      <c r="F123" s="274" t="s">
        <v>562</v>
      </c>
      <c r="G123" s="369"/>
      <c r="H123" s="85"/>
      <c r="I123" s="369"/>
      <c r="J123" s="85"/>
      <c r="K123" s="378"/>
      <c r="L123" s="378"/>
      <c r="M123" s="378"/>
      <c r="N123" s="378"/>
      <c r="O123" s="378"/>
      <c r="P123" s="378"/>
      <c r="Q123" s="378"/>
      <c r="R123" s="378"/>
    </row>
    <row r="124" spans="1:24" s="364" customFormat="1" ht="13.8" x14ac:dyDescent="0.3">
      <c r="A124" s="378"/>
      <c r="B124" s="135" t="s">
        <v>685</v>
      </c>
      <c r="C124" s="378" t="s">
        <v>726</v>
      </c>
      <c r="D124" s="378"/>
      <c r="E124" s="416"/>
      <c r="F124" s="274" t="s">
        <v>562</v>
      </c>
      <c r="G124" s="369"/>
      <c r="H124" s="85"/>
      <c r="I124" s="369"/>
      <c r="J124" s="85"/>
      <c r="K124" s="378"/>
      <c r="L124" s="378"/>
      <c r="M124" s="378"/>
      <c r="N124" s="378"/>
      <c r="O124" s="378"/>
      <c r="P124" s="378"/>
      <c r="Q124" s="378"/>
      <c r="R124" s="378"/>
    </row>
    <row r="125" spans="1:24" s="364" customFormat="1" ht="13.8" x14ac:dyDescent="0.3">
      <c r="A125" s="378"/>
      <c r="B125" s="135" t="s">
        <v>686</v>
      </c>
      <c r="C125" s="378" t="s">
        <v>727</v>
      </c>
      <c r="D125" s="378"/>
      <c r="E125" s="416"/>
      <c r="F125" s="274" t="s">
        <v>562</v>
      </c>
      <c r="G125" s="369"/>
      <c r="H125" s="85"/>
      <c r="I125" s="369"/>
      <c r="J125" s="85"/>
      <c r="K125" s="378"/>
      <c r="L125" s="378"/>
      <c r="M125" s="378"/>
      <c r="N125" s="378"/>
      <c r="O125" s="378"/>
      <c r="P125" s="378"/>
      <c r="Q125" s="378"/>
      <c r="R125" s="378"/>
    </row>
    <row r="126" spans="1:24" s="364" customFormat="1" ht="13.8" x14ac:dyDescent="0.3">
      <c r="A126" s="378"/>
      <c r="B126" s="135" t="s">
        <v>687</v>
      </c>
      <c r="C126" s="378" t="s">
        <v>728</v>
      </c>
      <c r="D126" s="378"/>
      <c r="E126" s="416"/>
      <c r="F126" s="274" t="s">
        <v>562</v>
      </c>
      <c r="G126" s="369"/>
      <c r="H126" s="85"/>
      <c r="I126" s="369"/>
      <c r="J126" s="85"/>
      <c r="K126" s="378"/>
      <c r="L126" s="378"/>
      <c r="M126" s="378"/>
      <c r="N126" s="378"/>
      <c r="O126" s="378"/>
      <c r="P126" s="378"/>
      <c r="Q126" s="378"/>
      <c r="R126" s="378"/>
    </row>
    <row r="127" spans="1:24" s="362" customFormat="1" ht="13.8" x14ac:dyDescent="0.3">
      <c r="A127" s="82"/>
      <c r="B127" s="175" t="s">
        <v>918</v>
      </c>
      <c r="C127" s="150" t="s">
        <v>583</v>
      </c>
      <c r="D127" s="357"/>
      <c r="E127" s="417"/>
      <c r="F127" s="193" t="s">
        <v>562</v>
      </c>
      <c r="G127" s="369"/>
      <c r="H127" s="85"/>
      <c r="I127" s="369"/>
      <c r="J127" s="85"/>
      <c r="K127" s="369"/>
      <c r="L127" s="369"/>
      <c r="M127" s="369"/>
      <c r="N127" s="369"/>
      <c r="O127" s="369"/>
      <c r="P127" s="369"/>
      <c r="Q127" s="369"/>
      <c r="R127" s="369"/>
    </row>
    <row r="128" spans="1:24" x14ac:dyDescent="0.3">
      <c r="A128" s="82"/>
      <c r="B128" s="384"/>
      <c r="C128" s="384"/>
      <c r="D128" s="397"/>
      <c r="E128" s="362"/>
      <c r="F128" s="397"/>
      <c r="G128" s="362"/>
      <c r="H128" s="397"/>
      <c r="I128" s="362"/>
      <c r="J128" s="397"/>
      <c r="K128" s="362"/>
      <c r="L128" s="397"/>
      <c r="N128" s="369"/>
      <c r="P128" s="369"/>
      <c r="R128" s="369"/>
      <c r="T128" s="369"/>
      <c r="V128" s="369"/>
      <c r="X128" s="369"/>
    </row>
    <row r="129" spans="1:24" x14ac:dyDescent="0.3">
      <c r="A129" s="82"/>
      <c r="B129" s="384"/>
      <c r="C129" s="384"/>
      <c r="D129" s="397"/>
      <c r="E129" s="362"/>
      <c r="F129" s="397"/>
      <c r="G129" s="362"/>
      <c r="H129" s="397"/>
      <c r="I129" s="362"/>
      <c r="J129" s="397"/>
      <c r="K129" s="362"/>
      <c r="L129" s="397"/>
      <c r="N129" s="369"/>
      <c r="P129" s="369"/>
      <c r="R129" s="369"/>
      <c r="T129" s="369"/>
      <c r="V129" s="369"/>
      <c r="X129" s="369"/>
    </row>
    <row r="130" spans="1:24" ht="27.6" x14ac:dyDescent="0.3">
      <c r="A130" s="82"/>
      <c r="B130" s="189" t="s">
        <v>500</v>
      </c>
      <c r="C130" s="113" t="s">
        <v>506</v>
      </c>
      <c r="D130" s="112" t="s">
        <v>433</v>
      </c>
      <c r="E130" s="125"/>
      <c r="F130" s="110" t="s">
        <v>184</v>
      </c>
      <c r="G130" s="113"/>
      <c r="H130" s="168" t="s">
        <v>277</v>
      </c>
      <c r="I130" s="125"/>
      <c r="J130" s="110" t="s">
        <v>511</v>
      </c>
      <c r="K130" s="113"/>
      <c r="L130" s="168" t="s">
        <v>183</v>
      </c>
      <c r="M130" s="189"/>
      <c r="N130" s="142" t="s">
        <v>205</v>
      </c>
      <c r="O130" s="168"/>
      <c r="P130" s="168" t="s">
        <v>507</v>
      </c>
      <c r="Q130" s="189"/>
      <c r="R130" s="110" t="s">
        <v>206</v>
      </c>
      <c r="S130" s="189"/>
      <c r="T130" s="110" t="s">
        <v>182</v>
      </c>
      <c r="U130" s="189"/>
      <c r="V130" s="110" t="s">
        <v>675</v>
      </c>
      <c r="X130" s="369"/>
    </row>
    <row r="131" spans="1:24" ht="15" thickBot="1" x14ac:dyDescent="0.35">
      <c r="A131" s="82"/>
      <c r="B131" s="173" t="s">
        <v>268</v>
      </c>
      <c r="C131" s="171" t="s">
        <v>269</v>
      </c>
      <c r="D131" s="171"/>
      <c r="E131" s="178"/>
      <c r="F131" s="174" t="s">
        <v>270</v>
      </c>
      <c r="G131" s="172"/>
      <c r="H131" s="171" t="s">
        <v>271</v>
      </c>
      <c r="I131" s="178"/>
      <c r="J131" s="174"/>
      <c r="K131" s="172"/>
      <c r="L131" s="171" t="s">
        <v>272</v>
      </c>
      <c r="M131" s="178"/>
      <c r="N131" s="174" t="s">
        <v>273</v>
      </c>
      <c r="O131" s="172"/>
      <c r="P131" s="171" t="s">
        <v>274</v>
      </c>
      <c r="Q131" s="178"/>
      <c r="R131" s="174" t="s">
        <v>275</v>
      </c>
      <c r="S131" s="178"/>
      <c r="T131" s="174" t="s">
        <v>276</v>
      </c>
      <c r="U131" s="178"/>
      <c r="V131" s="174" t="s">
        <v>676</v>
      </c>
      <c r="X131" s="369"/>
    </row>
    <row r="132" spans="1:24" s="364" customFormat="1" thickTop="1" x14ac:dyDescent="0.3">
      <c r="A132" s="378"/>
      <c r="B132" s="135" t="s">
        <v>568</v>
      </c>
      <c r="C132" s="378" t="s">
        <v>715</v>
      </c>
      <c r="D132" s="378" t="s">
        <v>435</v>
      </c>
      <c r="E132" s="418"/>
      <c r="F132" s="378" t="s">
        <v>482</v>
      </c>
      <c r="G132" s="418"/>
      <c r="H132" s="378" t="s">
        <v>564</v>
      </c>
      <c r="I132" s="490" t="s">
        <v>919</v>
      </c>
      <c r="J132" s="697">
        <v>38154</v>
      </c>
      <c r="K132" s="490" t="s">
        <v>919</v>
      </c>
      <c r="L132" s="529">
        <f>J132*P132*(0.1175/745.6)/N132</f>
        <v>43.640816445728916</v>
      </c>
      <c r="M132" s="418"/>
      <c r="N132" s="459">
        <f>IF(J132&lt;2000,0.5,IF(J132&lt;10000,0.6,0.62))</f>
        <v>0.62</v>
      </c>
      <c r="O132" s="418"/>
      <c r="P132" s="802">
        <v>4.5</v>
      </c>
      <c r="Q132" s="418"/>
      <c r="R132" s="803">
        <v>50</v>
      </c>
      <c r="S132" s="418"/>
      <c r="T132" s="804">
        <v>0.94499999999999995</v>
      </c>
      <c r="U132" s="409" t="s">
        <v>14</v>
      </c>
      <c r="V132" s="410" t="s">
        <v>14</v>
      </c>
      <c r="W132" s="369"/>
      <c r="X132" s="369"/>
    </row>
    <row r="133" spans="1:24" s="364" customFormat="1" ht="13.8" x14ac:dyDescent="0.3">
      <c r="A133" s="378"/>
      <c r="B133" s="135" t="s">
        <v>569</v>
      </c>
      <c r="C133" s="378" t="s">
        <v>716</v>
      </c>
      <c r="D133" s="378" t="s">
        <v>435</v>
      </c>
      <c r="E133" s="419"/>
      <c r="F133" s="378" t="s">
        <v>482</v>
      </c>
      <c r="G133" s="419"/>
      <c r="H133" s="378" t="s">
        <v>564</v>
      </c>
      <c r="I133" s="491" t="s">
        <v>919</v>
      </c>
      <c r="J133" s="697">
        <v>32101.5</v>
      </c>
      <c r="K133" s="491" t="s">
        <v>919</v>
      </c>
      <c r="L133" s="443">
        <f>J133*P133*(0.1175/745.6)/N133</f>
        <v>36.717923917087774</v>
      </c>
      <c r="M133" s="418"/>
      <c r="N133" s="459">
        <f>IF(J133&lt;2000,0.5,IF(J133&lt;10000,0.6,0.62))</f>
        <v>0.62</v>
      </c>
      <c r="O133" s="418"/>
      <c r="P133" s="802">
        <v>4.5</v>
      </c>
      <c r="Q133" s="418"/>
      <c r="R133" s="805">
        <v>40</v>
      </c>
      <c r="S133" s="418"/>
      <c r="T133" s="806">
        <v>0.94099999999999995</v>
      </c>
      <c r="U133" s="409" t="s">
        <v>14</v>
      </c>
      <c r="V133" s="410" t="s">
        <v>14</v>
      </c>
      <c r="W133" s="369"/>
      <c r="X133" s="369"/>
    </row>
    <row r="134" spans="1:24" s="364" customFormat="1" ht="13.8" x14ac:dyDescent="0.3">
      <c r="A134" s="378"/>
      <c r="B134" s="135" t="s">
        <v>691</v>
      </c>
      <c r="C134" s="378" t="s">
        <v>717</v>
      </c>
      <c r="D134" s="378" t="s">
        <v>435</v>
      </c>
      <c r="E134" s="419"/>
      <c r="F134" s="378" t="s">
        <v>482</v>
      </c>
      <c r="G134" s="419"/>
      <c r="H134" s="378" t="s">
        <v>564</v>
      </c>
      <c r="I134" s="491" t="s">
        <v>919</v>
      </c>
      <c r="J134" s="697">
        <v>32083.9</v>
      </c>
      <c r="K134" s="491" t="s">
        <v>919</v>
      </c>
      <c r="L134" s="443">
        <f>J134*P134*(0.1175/745.6)/N134</f>
        <v>36.697792911965252</v>
      </c>
      <c r="M134" s="419"/>
      <c r="N134" s="459">
        <f>IF(J134&lt;2000,0.5,IF(J134&lt;10000,0.6,0.62))</f>
        <v>0.62</v>
      </c>
      <c r="O134" s="419"/>
      <c r="P134" s="802">
        <v>4.5</v>
      </c>
      <c r="Q134" s="419"/>
      <c r="R134" s="805">
        <v>40</v>
      </c>
      <c r="S134" s="418"/>
      <c r="T134" s="806">
        <v>0.94099999999999995</v>
      </c>
      <c r="U134" s="409" t="s">
        <v>14</v>
      </c>
      <c r="V134" s="410" t="s">
        <v>14</v>
      </c>
      <c r="W134" s="369"/>
      <c r="X134" s="369"/>
    </row>
    <row r="135" spans="1:24" s="364" customFormat="1" ht="13.8" x14ac:dyDescent="0.3">
      <c r="A135" s="378"/>
      <c r="B135" s="135" t="s">
        <v>570</v>
      </c>
      <c r="C135" s="378" t="s">
        <v>718</v>
      </c>
      <c r="D135" s="378" t="s">
        <v>435</v>
      </c>
      <c r="E135" s="419"/>
      <c r="F135" s="378" t="s">
        <v>482</v>
      </c>
      <c r="G135" s="419"/>
      <c r="H135" s="378" t="s">
        <v>564</v>
      </c>
      <c r="I135" s="491" t="s">
        <v>919</v>
      </c>
      <c r="J135" s="697">
        <v>30387.5</v>
      </c>
      <c r="K135" s="491" t="s">
        <v>919</v>
      </c>
      <c r="L135" s="443">
        <f>J135*P135*(0.1175/745.6)/N135</f>
        <v>34.757438531860025</v>
      </c>
      <c r="M135" s="419"/>
      <c r="N135" s="459">
        <f>IF(J135&lt;2000,0.5,IF(J135&lt;10000,0.6,0.62))</f>
        <v>0.62</v>
      </c>
      <c r="O135" s="419"/>
      <c r="P135" s="802">
        <v>4.5</v>
      </c>
      <c r="Q135" s="419"/>
      <c r="R135" s="805">
        <v>40</v>
      </c>
      <c r="S135" s="418"/>
      <c r="T135" s="806">
        <v>0.94099999999999995</v>
      </c>
      <c r="U135" s="409" t="s">
        <v>14</v>
      </c>
      <c r="V135" s="410" t="s">
        <v>14</v>
      </c>
      <c r="W135" s="369"/>
      <c r="X135" s="369"/>
    </row>
    <row r="136" spans="1:24" s="362" customFormat="1" ht="13.8" x14ac:dyDescent="0.3">
      <c r="A136" s="82"/>
      <c r="B136" s="135" t="s">
        <v>697</v>
      </c>
      <c r="C136" s="378" t="s">
        <v>719</v>
      </c>
      <c r="D136" s="378" t="s">
        <v>435</v>
      </c>
      <c r="E136" s="136"/>
      <c r="F136" s="378" t="s">
        <v>482</v>
      </c>
      <c r="G136" s="419"/>
      <c r="H136" s="378" t="s">
        <v>674</v>
      </c>
      <c r="I136" s="491" t="s">
        <v>919</v>
      </c>
      <c r="J136" s="697">
        <v>142675</v>
      </c>
      <c r="K136" s="491" t="s">
        <v>919</v>
      </c>
      <c r="L136" s="443">
        <f>V136*J136*T136/745.6</f>
        <v>89.451254694206</v>
      </c>
      <c r="M136" s="419"/>
      <c r="N136" s="459">
        <f>IF(J136&lt;2000,0.5,IF(J136&lt;10000,0.6,0.62))</f>
        <v>0.62</v>
      </c>
      <c r="O136" s="419"/>
      <c r="P136" s="459">
        <f>(0.39*N136*T136/0.1175)*(0.49/0.39)</f>
        <v>2.4665974468085108</v>
      </c>
      <c r="Q136" s="491" t="s">
        <v>919</v>
      </c>
      <c r="R136" s="694">
        <v>75</v>
      </c>
      <c r="S136" s="418"/>
      <c r="T136" s="806">
        <v>0.95399999999999996</v>
      </c>
      <c r="U136" s="418"/>
      <c r="V136" s="197">
        <v>0.49</v>
      </c>
      <c r="W136" s="369"/>
      <c r="X136" s="369"/>
    </row>
    <row r="137" spans="1:24" s="364" customFormat="1" ht="13.8" x14ac:dyDescent="0.3">
      <c r="A137" s="378"/>
      <c r="B137" s="135" t="s">
        <v>568</v>
      </c>
      <c r="C137" s="378" t="s">
        <v>791</v>
      </c>
      <c r="D137" s="378"/>
      <c r="E137" s="409" t="s">
        <v>14</v>
      </c>
      <c r="F137" s="410" t="s">
        <v>14</v>
      </c>
      <c r="G137" s="419"/>
      <c r="H137" s="378" t="s">
        <v>279</v>
      </c>
      <c r="I137" s="497" t="s">
        <v>919</v>
      </c>
      <c r="J137" s="697">
        <v>36236.300000000003</v>
      </c>
      <c r="K137" s="497" t="s">
        <v>919</v>
      </c>
      <c r="L137" s="443">
        <f>J137*P137*(0.1175/745.6)/N137</f>
        <v>11.421044125536481</v>
      </c>
      <c r="M137" s="419"/>
      <c r="N137" s="797">
        <f>IF(J137&lt;10000,0.4,0.5)</f>
        <v>0.5</v>
      </c>
      <c r="O137" s="419"/>
      <c r="P137" s="797">
        <f>IF(J137&lt;10000,0.75,1)</f>
        <v>1</v>
      </c>
      <c r="Q137" s="419"/>
      <c r="R137" s="805">
        <v>15</v>
      </c>
      <c r="S137" s="418"/>
      <c r="T137" s="806">
        <v>0.92400000000000004</v>
      </c>
      <c r="U137" s="409" t="s">
        <v>14</v>
      </c>
      <c r="V137" s="410" t="s">
        <v>14</v>
      </c>
      <c r="W137" s="369"/>
      <c r="X137" s="369"/>
    </row>
    <row r="138" spans="1:24" s="364" customFormat="1" ht="13.8" x14ac:dyDescent="0.3">
      <c r="A138" s="378"/>
      <c r="B138" s="135" t="s">
        <v>569</v>
      </c>
      <c r="C138" s="378" t="s">
        <v>793</v>
      </c>
      <c r="D138" s="378"/>
      <c r="E138" s="409" t="s">
        <v>14</v>
      </c>
      <c r="F138" s="410" t="s">
        <v>14</v>
      </c>
      <c r="G138" s="419"/>
      <c r="H138" s="378" t="s">
        <v>564</v>
      </c>
      <c r="I138" s="497" t="s">
        <v>919</v>
      </c>
      <c r="J138" s="697">
        <v>22513.3</v>
      </c>
      <c r="K138" s="497" t="s">
        <v>919</v>
      </c>
      <c r="L138" s="443">
        <f>J138*P138*(0.1175/745.6)/N138</f>
        <v>7.0957960032188829</v>
      </c>
      <c r="M138" s="419"/>
      <c r="N138" s="797">
        <f t="shared" ref="N138:N140" si="0">IF(J138&lt;10000,0.4,0.5)</f>
        <v>0.5</v>
      </c>
      <c r="O138" s="419"/>
      <c r="P138" s="797">
        <f t="shared" ref="P138:P140" si="1">IF(J138&lt;10000,0.75,1)</f>
        <v>1</v>
      </c>
      <c r="Q138" s="419"/>
      <c r="R138" s="805">
        <v>7.5</v>
      </c>
      <c r="S138" s="418"/>
      <c r="T138" s="806">
        <v>0.91700000000000004</v>
      </c>
      <c r="U138" s="409" t="s">
        <v>14</v>
      </c>
      <c r="V138" s="410" t="s">
        <v>14</v>
      </c>
      <c r="W138" s="369"/>
      <c r="X138" s="369"/>
    </row>
    <row r="139" spans="1:24" s="364" customFormat="1" ht="13.8" x14ac:dyDescent="0.3">
      <c r="A139" s="378"/>
      <c r="B139" s="135" t="s">
        <v>691</v>
      </c>
      <c r="C139" s="378" t="s">
        <v>794</v>
      </c>
      <c r="D139" s="378"/>
      <c r="E139" s="409" t="s">
        <v>14</v>
      </c>
      <c r="F139" s="410" t="s">
        <v>14</v>
      </c>
      <c r="G139" s="419"/>
      <c r="H139" s="378" t="s">
        <v>564</v>
      </c>
      <c r="I139" s="497" t="s">
        <v>919</v>
      </c>
      <c r="J139" s="697">
        <v>22495.7</v>
      </c>
      <c r="K139" s="497" t="s">
        <v>919</v>
      </c>
      <c r="L139" s="443">
        <f>J139*P139*(0.1175/745.6)/N139</f>
        <v>7.0902487929184543</v>
      </c>
      <c r="M139" s="419"/>
      <c r="N139" s="797">
        <f t="shared" si="0"/>
        <v>0.5</v>
      </c>
      <c r="O139" s="419"/>
      <c r="P139" s="797">
        <f t="shared" si="1"/>
        <v>1</v>
      </c>
      <c r="Q139" s="419"/>
      <c r="R139" s="805">
        <v>7.5</v>
      </c>
      <c r="S139" s="418"/>
      <c r="T139" s="806">
        <v>0.91700000000000004</v>
      </c>
      <c r="U139" s="409" t="s">
        <v>14</v>
      </c>
      <c r="V139" s="410" t="s">
        <v>14</v>
      </c>
      <c r="W139" s="369"/>
      <c r="X139" s="369"/>
    </row>
    <row r="140" spans="1:24" s="362" customFormat="1" ht="13.8" x14ac:dyDescent="0.3">
      <c r="A140" s="82"/>
      <c r="B140" s="175" t="s">
        <v>570</v>
      </c>
      <c r="C140" s="150" t="s">
        <v>928</v>
      </c>
      <c r="D140" s="150"/>
      <c r="E140" s="411" t="s">
        <v>14</v>
      </c>
      <c r="F140" s="412" t="s">
        <v>14</v>
      </c>
      <c r="G140" s="417"/>
      <c r="H140" s="150" t="s">
        <v>564</v>
      </c>
      <c r="I140" s="465" t="s">
        <v>919</v>
      </c>
      <c r="J140" s="702">
        <v>28469.9</v>
      </c>
      <c r="K140" s="465" t="s">
        <v>919</v>
      </c>
      <c r="L140" s="703">
        <f>J140*P140*(0.1175/745.6)/N140</f>
        <v>8.9732115075107295</v>
      </c>
      <c r="M140" s="417"/>
      <c r="N140" s="689">
        <f t="shared" si="0"/>
        <v>0.5</v>
      </c>
      <c r="O140" s="417"/>
      <c r="P140" s="689">
        <f t="shared" si="1"/>
        <v>1</v>
      </c>
      <c r="Q140" s="417"/>
      <c r="R140" s="838">
        <v>10</v>
      </c>
      <c r="S140" s="417"/>
      <c r="T140" s="843">
        <v>0.91700000000000004</v>
      </c>
      <c r="U140" s="411" t="s">
        <v>14</v>
      </c>
      <c r="V140" s="412" t="s">
        <v>14</v>
      </c>
      <c r="W140" s="369"/>
      <c r="X140" s="369"/>
    </row>
    <row r="141" spans="1:24" x14ac:dyDescent="0.3">
      <c r="A141" s="82"/>
      <c r="B141" s="82"/>
      <c r="C141" s="384"/>
      <c r="D141" s="82"/>
      <c r="E141" s="82"/>
      <c r="F141" s="82"/>
      <c r="G141" s="82"/>
      <c r="H141" s="82"/>
      <c r="I141" s="82"/>
      <c r="J141" s="82"/>
      <c r="K141" s="82"/>
      <c r="L141" s="436"/>
      <c r="M141" s="82"/>
      <c r="N141" s="82"/>
      <c r="O141" s="82"/>
      <c r="P141" s="82"/>
      <c r="Q141" s="82"/>
      <c r="R141" s="82"/>
      <c r="S141" s="82"/>
      <c r="T141" s="82"/>
      <c r="U141" s="82"/>
      <c r="V141" s="82"/>
      <c r="X141" s="369"/>
    </row>
    <row r="142" spans="1:24" x14ac:dyDescent="0.3">
      <c r="A142" s="397"/>
      <c r="B142" s="397"/>
      <c r="C142" s="397"/>
      <c r="D142" s="397"/>
      <c r="E142" s="362"/>
      <c r="F142" s="397"/>
      <c r="G142" s="362"/>
      <c r="H142" s="397"/>
      <c r="I142" s="362"/>
      <c r="J142" s="397"/>
      <c r="K142" s="397"/>
      <c r="L142" s="397"/>
      <c r="M142" s="397"/>
      <c r="N142" s="397"/>
      <c r="O142" s="121"/>
      <c r="P142" s="111"/>
      <c r="Q142" s="82"/>
      <c r="R142" s="82"/>
      <c r="S142" s="82"/>
      <c r="T142" s="82"/>
      <c r="U142" s="82"/>
      <c r="V142" s="82"/>
      <c r="X142" s="369"/>
    </row>
    <row r="143" spans="1:24" x14ac:dyDescent="0.3">
      <c r="A143" s="397"/>
      <c r="B143" s="108" t="s">
        <v>501</v>
      </c>
      <c r="C143" s="113"/>
      <c r="D143" s="112" t="s">
        <v>433</v>
      </c>
      <c r="E143" s="207"/>
      <c r="F143" s="142" t="s">
        <v>538</v>
      </c>
      <c r="G143" s="125"/>
      <c r="H143" s="142" t="s">
        <v>295</v>
      </c>
      <c r="I143" s="362"/>
      <c r="J143" s="514"/>
      <c r="K143" s="514"/>
      <c r="L143" s="514"/>
      <c r="M143" s="514"/>
      <c r="N143" s="514"/>
      <c r="O143" s="515"/>
      <c r="P143" s="516"/>
      <c r="Q143" s="512"/>
      <c r="R143" s="512"/>
      <c r="S143" s="512"/>
      <c r="T143" s="512"/>
      <c r="U143" s="512"/>
      <c r="V143" s="512"/>
      <c r="X143" s="369"/>
    </row>
    <row r="144" spans="1:24" ht="15" thickBot="1" x14ac:dyDescent="0.35">
      <c r="A144" s="397"/>
      <c r="B144" s="173" t="s">
        <v>282</v>
      </c>
      <c r="C144" s="171"/>
      <c r="D144" s="174"/>
      <c r="E144" s="205"/>
      <c r="F144" s="174" t="s">
        <v>289</v>
      </c>
      <c r="G144" s="208"/>
      <c r="H144" s="174" t="s">
        <v>290</v>
      </c>
      <c r="I144" s="362"/>
      <c r="J144" s="514"/>
      <c r="K144" s="514"/>
      <c r="L144" s="514"/>
      <c r="M144" s="514"/>
      <c r="N144" s="514"/>
      <c r="O144" s="515"/>
      <c r="P144" s="516"/>
      <c r="Q144" s="512"/>
      <c r="R144" s="512"/>
      <c r="S144" s="512"/>
      <c r="T144" s="512"/>
      <c r="U144" s="512"/>
      <c r="V144" s="512"/>
      <c r="W144" s="82"/>
      <c r="X144" s="82"/>
    </row>
    <row r="145" spans="1:24" s="362" customFormat="1" thickTop="1" x14ac:dyDescent="0.3">
      <c r="B145" s="135" t="s">
        <v>784</v>
      </c>
      <c r="C145" s="378"/>
      <c r="D145" s="378" t="s">
        <v>435</v>
      </c>
      <c r="E145" s="418"/>
      <c r="F145" s="378" t="s">
        <v>539</v>
      </c>
      <c r="G145" s="418"/>
      <c r="H145" s="263" t="s">
        <v>480</v>
      </c>
      <c r="J145" s="513"/>
      <c r="K145" s="513"/>
      <c r="L145" s="513"/>
      <c r="M145" s="513"/>
      <c r="N145" s="513"/>
      <c r="O145" s="515"/>
      <c r="P145" s="515"/>
      <c r="Q145" s="512"/>
      <c r="R145" s="512"/>
      <c r="S145" s="512"/>
      <c r="T145" s="512"/>
      <c r="U145" s="512"/>
      <c r="V145" s="512"/>
      <c r="W145" s="82"/>
      <c r="X145" s="82"/>
    </row>
    <row r="146" spans="1:24" s="362" customFormat="1" ht="13.8" x14ac:dyDescent="0.3">
      <c r="B146" s="135" t="s">
        <v>785</v>
      </c>
      <c r="C146" s="378"/>
      <c r="D146" s="378" t="s">
        <v>435</v>
      </c>
      <c r="E146" s="418"/>
      <c r="F146" s="378" t="s">
        <v>539</v>
      </c>
      <c r="G146" s="418"/>
      <c r="H146" s="274" t="s">
        <v>480</v>
      </c>
      <c r="J146" s="513"/>
      <c r="K146" s="513"/>
      <c r="L146" s="513"/>
      <c r="M146" s="513"/>
      <c r="N146" s="513"/>
      <c r="O146" s="515"/>
      <c r="P146" s="515"/>
      <c r="Q146" s="512"/>
      <c r="R146" s="512"/>
      <c r="S146" s="512"/>
      <c r="T146" s="512"/>
      <c r="U146" s="512"/>
      <c r="V146" s="512"/>
      <c r="W146" s="82"/>
      <c r="X146" s="82"/>
    </row>
    <row r="147" spans="1:24" s="369" customFormat="1" ht="13.8" x14ac:dyDescent="0.3">
      <c r="A147" s="362"/>
      <c r="B147" s="135" t="s">
        <v>786</v>
      </c>
      <c r="C147" s="378"/>
      <c r="D147" s="378" t="s">
        <v>435</v>
      </c>
      <c r="E147" s="419"/>
      <c r="F147" s="378" t="s">
        <v>539</v>
      </c>
      <c r="G147" s="419"/>
      <c r="H147" s="274" t="s">
        <v>480</v>
      </c>
      <c r="I147" s="362"/>
      <c r="J147" s="513"/>
      <c r="K147" s="513"/>
      <c r="L147" s="513"/>
      <c r="M147" s="513"/>
      <c r="N147" s="513"/>
      <c r="O147" s="515"/>
      <c r="P147" s="515"/>
      <c r="Q147" s="512"/>
      <c r="R147" s="512"/>
      <c r="S147" s="512"/>
      <c r="T147" s="512"/>
      <c r="U147" s="512"/>
      <c r="V147" s="512"/>
      <c r="W147" s="82"/>
      <c r="X147" s="82"/>
    </row>
    <row r="148" spans="1:24" s="369" customFormat="1" ht="13.8" x14ac:dyDescent="0.3">
      <c r="A148" s="362"/>
      <c r="B148" s="135" t="s">
        <v>787</v>
      </c>
      <c r="C148" s="378"/>
      <c r="D148" s="378" t="s">
        <v>435</v>
      </c>
      <c r="E148" s="419"/>
      <c r="F148" s="378" t="s">
        <v>539</v>
      </c>
      <c r="G148" s="419"/>
      <c r="H148" s="274" t="s">
        <v>480</v>
      </c>
      <c r="I148" s="362"/>
      <c r="J148" s="513"/>
      <c r="K148" s="513"/>
      <c r="L148" s="513"/>
      <c r="M148" s="513"/>
      <c r="N148" s="513"/>
      <c r="O148" s="515"/>
      <c r="P148" s="515"/>
      <c r="Q148" s="512"/>
      <c r="R148" s="512"/>
      <c r="S148" s="512"/>
      <c r="T148" s="512"/>
      <c r="U148" s="512"/>
      <c r="V148" s="512"/>
      <c r="W148" s="82"/>
      <c r="X148" s="82"/>
    </row>
    <row r="149" spans="1:24" s="369" customFormat="1" ht="13.8" x14ac:dyDescent="0.3">
      <c r="A149" s="362"/>
      <c r="B149" s="175" t="s">
        <v>788</v>
      </c>
      <c r="C149" s="150"/>
      <c r="D149" s="150" t="s">
        <v>435</v>
      </c>
      <c r="E149" s="417"/>
      <c r="F149" s="155" t="s">
        <v>539</v>
      </c>
      <c r="G149" s="417"/>
      <c r="H149" s="267" t="s">
        <v>480</v>
      </c>
      <c r="I149" s="362"/>
      <c r="J149" s="513"/>
      <c r="K149" s="513"/>
      <c r="L149" s="513"/>
      <c r="M149" s="513"/>
      <c r="N149" s="513"/>
      <c r="O149" s="515"/>
      <c r="P149" s="515"/>
      <c r="Q149" s="512"/>
      <c r="R149" s="512"/>
      <c r="S149" s="512"/>
      <c r="T149" s="512"/>
      <c r="U149" s="512"/>
      <c r="V149" s="512"/>
      <c r="W149" s="82"/>
      <c r="X149" s="82"/>
    </row>
    <row r="150" spans="1:24" s="369" customFormat="1" x14ac:dyDescent="0.3">
      <c r="A150" s="397"/>
      <c r="B150" s="85"/>
      <c r="C150" s="85"/>
      <c r="D150" s="85"/>
      <c r="E150" s="85"/>
      <c r="F150" s="85"/>
      <c r="G150" s="85"/>
      <c r="H150" s="85"/>
      <c r="I150" s="85"/>
      <c r="J150" s="514"/>
      <c r="K150" s="514"/>
      <c r="L150" s="514"/>
      <c r="M150" s="514"/>
      <c r="N150" s="514"/>
      <c r="O150" s="515"/>
      <c r="P150" s="516"/>
      <c r="Q150" s="512"/>
      <c r="R150" s="512"/>
      <c r="S150" s="512"/>
      <c r="T150" s="512"/>
      <c r="U150" s="512"/>
      <c r="V150" s="512"/>
      <c r="W150" s="82"/>
      <c r="X150" s="82"/>
    </row>
    <row r="151" spans="1:24" s="369" customFormat="1" x14ac:dyDescent="0.3">
      <c r="A151" s="82"/>
      <c r="B151" s="85"/>
      <c r="C151" s="83"/>
      <c r="D151" s="397"/>
      <c r="E151" s="82"/>
      <c r="F151" s="82"/>
      <c r="G151" s="82"/>
      <c r="H151" s="82"/>
      <c r="I151" s="82"/>
      <c r="J151" s="512"/>
      <c r="K151" s="512"/>
      <c r="L151" s="512"/>
      <c r="M151" s="512"/>
      <c r="N151" s="512"/>
      <c r="O151" s="512"/>
      <c r="P151" s="512"/>
      <c r="Q151" s="512"/>
      <c r="R151" s="512"/>
      <c r="S151" s="512"/>
      <c r="T151" s="512"/>
      <c r="U151" s="512"/>
      <c r="V151" s="512"/>
      <c r="W151" s="82"/>
      <c r="X151" s="82"/>
    </row>
    <row r="152" spans="1:24" s="369" customFormat="1" x14ac:dyDescent="0.3">
      <c r="A152" s="82"/>
      <c r="B152" s="108" t="s">
        <v>505</v>
      </c>
      <c r="C152" s="113" t="s">
        <v>291</v>
      </c>
      <c r="D152" s="373"/>
      <c r="E152" s="207"/>
      <c r="F152" s="142" t="s">
        <v>292</v>
      </c>
      <c r="G152" s="125"/>
      <c r="H152" s="142" t="s">
        <v>293</v>
      </c>
      <c r="I152" s="397"/>
      <c r="J152" s="82"/>
      <c r="K152" s="82"/>
      <c r="L152" s="82"/>
      <c r="M152" s="82"/>
      <c r="N152" s="82"/>
      <c r="O152" s="397"/>
      <c r="P152" s="397"/>
      <c r="Q152" s="397"/>
      <c r="R152" s="397"/>
      <c r="S152" s="397"/>
      <c r="T152" s="397"/>
      <c r="U152" s="397"/>
      <c r="V152" s="397"/>
      <c r="W152" s="397"/>
      <c r="X152" s="397"/>
    </row>
    <row r="153" spans="1:24" s="369" customFormat="1" ht="15" thickBot="1" x14ac:dyDescent="0.35">
      <c r="A153" s="82"/>
      <c r="B153" s="173" t="s">
        <v>285</v>
      </c>
      <c r="C153" s="171" t="s">
        <v>286</v>
      </c>
      <c r="D153" s="376"/>
      <c r="E153" s="208"/>
      <c r="F153" s="174" t="s">
        <v>287</v>
      </c>
      <c r="G153" s="208"/>
      <c r="H153" s="174" t="s">
        <v>288</v>
      </c>
      <c r="I153" s="397"/>
      <c r="J153" s="397"/>
      <c r="K153" s="397"/>
      <c r="L153" s="397"/>
      <c r="M153" s="82"/>
      <c r="N153" s="82"/>
      <c r="O153" s="397"/>
      <c r="P153" s="397"/>
      <c r="Q153" s="397"/>
      <c r="R153" s="397"/>
      <c r="S153" s="397"/>
      <c r="T153" s="397"/>
      <c r="U153" s="397"/>
      <c r="V153" s="397"/>
      <c r="W153" s="397"/>
      <c r="X153" s="397"/>
    </row>
    <row r="154" spans="1:24" s="369" customFormat="1" thickTop="1" x14ac:dyDescent="0.3">
      <c r="A154" s="82"/>
      <c r="B154" s="135" t="s">
        <v>697</v>
      </c>
      <c r="C154" s="378" t="s">
        <v>297</v>
      </c>
      <c r="D154" s="180"/>
      <c r="E154" s="418"/>
      <c r="F154" s="378" t="s">
        <v>664</v>
      </c>
      <c r="G154" s="418"/>
      <c r="H154" s="274" t="s">
        <v>665</v>
      </c>
      <c r="I154" s="362"/>
      <c r="J154" s="362"/>
      <c r="K154" s="362"/>
      <c r="L154" s="362"/>
      <c r="M154" s="82"/>
      <c r="N154" s="82"/>
      <c r="O154" s="362"/>
      <c r="P154" s="362"/>
      <c r="Q154" s="362"/>
      <c r="R154" s="362"/>
      <c r="S154" s="362"/>
      <c r="T154" s="362"/>
      <c r="U154" s="362"/>
      <c r="V154" s="362"/>
      <c r="W154" s="362"/>
      <c r="X154" s="362"/>
    </row>
    <row r="155" spans="1:24" s="369" customFormat="1" ht="13.8" x14ac:dyDescent="0.3">
      <c r="A155" s="82"/>
      <c r="B155" s="135" t="s">
        <v>714</v>
      </c>
      <c r="C155" s="378" t="s">
        <v>297</v>
      </c>
      <c r="D155" s="180"/>
      <c r="E155" s="418"/>
      <c r="F155" s="378" t="s">
        <v>413</v>
      </c>
      <c r="G155" s="418"/>
      <c r="H155" s="274" t="s">
        <v>414</v>
      </c>
      <c r="I155" s="362"/>
      <c r="M155" s="82"/>
      <c r="N155" s="82"/>
      <c r="O155" s="362"/>
      <c r="P155" s="362"/>
      <c r="Q155" s="362"/>
      <c r="R155" s="362"/>
      <c r="S155" s="362"/>
      <c r="T155" s="362"/>
      <c r="U155" s="362"/>
      <c r="V155" s="362"/>
      <c r="W155" s="362"/>
      <c r="X155" s="362"/>
    </row>
    <row r="156" spans="1:24" s="369" customFormat="1" ht="13.8" x14ac:dyDescent="0.3">
      <c r="A156" s="82"/>
      <c r="B156" s="175" t="s">
        <v>580</v>
      </c>
      <c r="C156" s="150" t="s">
        <v>337</v>
      </c>
      <c r="D156" s="151"/>
      <c r="E156" s="152" t="s">
        <v>14</v>
      </c>
      <c r="F156" s="157" t="s">
        <v>14</v>
      </c>
      <c r="G156" s="152" t="s">
        <v>14</v>
      </c>
      <c r="H156" s="157" t="s">
        <v>14</v>
      </c>
      <c r="I156" s="362"/>
      <c r="J156" s="362"/>
      <c r="K156" s="362"/>
      <c r="L156" s="362"/>
      <c r="M156" s="82"/>
      <c r="N156" s="82"/>
      <c r="O156" s="362"/>
      <c r="P156" s="362"/>
      <c r="Q156" s="362"/>
      <c r="R156" s="362"/>
      <c r="S156" s="362"/>
      <c r="T156" s="362"/>
      <c r="U156" s="362"/>
      <c r="V156" s="362"/>
      <c r="W156" s="362"/>
      <c r="X156" s="362"/>
    </row>
    <row r="157" spans="1:24" x14ac:dyDescent="0.3">
      <c r="A157" s="397"/>
      <c r="B157" s="397"/>
      <c r="C157" s="397"/>
      <c r="D157" s="397"/>
      <c r="E157" s="397"/>
      <c r="F157" s="397"/>
      <c r="G157" s="397"/>
      <c r="H157" s="397"/>
      <c r="I157" s="362"/>
      <c r="J157" s="397"/>
      <c r="K157" s="397"/>
      <c r="L157" s="397"/>
      <c r="M157" s="362"/>
      <c r="N157" s="397"/>
      <c r="O157" s="121"/>
      <c r="P157" s="111"/>
      <c r="Q157" s="82"/>
      <c r="R157" s="82"/>
      <c r="S157" s="82"/>
      <c r="T157" s="82"/>
      <c r="U157" s="363"/>
      <c r="V157" s="363"/>
      <c r="W157" s="363"/>
      <c r="X157" s="363"/>
    </row>
    <row r="158" spans="1:24" x14ac:dyDescent="0.3">
      <c r="A158" s="397"/>
      <c r="B158" s="397"/>
      <c r="C158" s="397"/>
      <c r="D158" s="397"/>
      <c r="E158" s="397"/>
      <c r="F158" s="397"/>
      <c r="G158" s="397"/>
      <c r="H158" s="397"/>
      <c r="I158" s="362"/>
      <c r="J158" s="397"/>
      <c r="K158" s="397"/>
      <c r="L158" s="397"/>
      <c r="M158" s="362"/>
      <c r="N158" s="397"/>
      <c r="O158" s="121"/>
      <c r="P158" s="111"/>
      <c r="Q158" s="82"/>
      <c r="R158" s="82"/>
      <c r="S158" s="82"/>
      <c r="T158" s="82"/>
      <c r="U158" s="363"/>
      <c r="V158" s="363"/>
      <c r="W158" s="363"/>
      <c r="X158" s="363"/>
    </row>
    <row r="159" spans="1:24" x14ac:dyDescent="0.3">
      <c r="A159" s="24"/>
      <c r="B159" s="24" t="s">
        <v>487</v>
      </c>
      <c r="C159" s="397"/>
      <c r="D159" s="397"/>
      <c r="E159" s="362"/>
      <c r="F159" s="397"/>
      <c r="G159" s="362"/>
      <c r="H159" s="397"/>
      <c r="I159" s="362"/>
      <c r="J159" s="397"/>
      <c r="K159" s="362"/>
      <c r="L159" s="397"/>
      <c r="M159" s="362"/>
      <c r="N159" s="397"/>
      <c r="O159" s="121"/>
      <c r="P159" s="111"/>
      <c r="Q159" s="82"/>
      <c r="R159" s="82"/>
      <c r="S159" s="82"/>
      <c r="T159" s="82"/>
      <c r="U159" s="363"/>
      <c r="V159" s="363"/>
      <c r="W159" s="363"/>
      <c r="X159" s="363"/>
    </row>
    <row r="160" spans="1:24" ht="27.6" x14ac:dyDescent="0.3">
      <c r="A160" s="397"/>
      <c r="B160" s="108" t="s">
        <v>488</v>
      </c>
      <c r="C160" s="112"/>
      <c r="D160" s="113" t="s">
        <v>433</v>
      </c>
      <c r="E160" s="231"/>
      <c r="F160" s="109" t="s">
        <v>836</v>
      </c>
      <c r="G160" s="210"/>
      <c r="H160" s="116" t="s">
        <v>489</v>
      </c>
      <c r="I160" s="231"/>
      <c r="J160" s="109" t="s">
        <v>490</v>
      </c>
      <c r="K160" s="455"/>
      <c r="L160" s="456" t="s">
        <v>491</v>
      </c>
      <c r="M160" s="231"/>
      <c r="N160" s="109" t="s">
        <v>739</v>
      </c>
      <c r="O160" s="121"/>
      <c r="P160" s="111"/>
      <c r="Q160" s="82"/>
      <c r="R160" s="82"/>
      <c r="S160" s="82"/>
      <c r="T160" s="82"/>
      <c r="U160" s="363"/>
      <c r="V160" s="363"/>
      <c r="W160" s="363"/>
      <c r="X160" s="363"/>
    </row>
    <row r="161" spans="1:26" ht="15" thickBot="1" x14ac:dyDescent="0.35">
      <c r="A161" s="397"/>
      <c r="B161" s="212"/>
      <c r="C161" s="118"/>
      <c r="D161" s="376"/>
      <c r="E161" s="375"/>
      <c r="F161" s="355" t="s">
        <v>1057</v>
      </c>
      <c r="G161" s="376"/>
      <c r="H161" s="354" t="s">
        <v>1058</v>
      </c>
      <c r="I161" s="230"/>
      <c r="J161" s="355" t="s">
        <v>1059</v>
      </c>
      <c r="K161" s="211"/>
      <c r="L161" s="354" t="s">
        <v>611</v>
      </c>
      <c r="M161" s="230"/>
      <c r="N161" s="355" t="s">
        <v>1060</v>
      </c>
      <c r="O161" s="121"/>
      <c r="P161" s="111"/>
      <c r="Q161" s="82"/>
      <c r="R161" s="82"/>
      <c r="S161" s="82"/>
      <c r="T161" s="82"/>
      <c r="U161" s="363"/>
      <c r="V161" s="363"/>
      <c r="W161" s="363"/>
      <c r="X161" s="363"/>
    </row>
    <row r="162" spans="1:26" s="362" customFormat="1" thickTop="1" x14ac:dyDescent="0.3">
      <c r="B162" s="356">
        <v>2</v>
      </c>
      <c r="C162" s="392"/>
      <c r="D162" s="458" t="s">
        <v>435</v>
      </c>
      <c r="E162" s="465" t="s">
        <v>919</v>
      </c>
      <c r="F162" s="195">
        <v>1999770</v>
      </c>
      <c r="G162" s="359"/>
      <c r="H162" s="150">
        <v>0.8</v>
      </c>
      <c r="I162" s="165"/>
      <c r="J162" s="155" t="s">
        <v>475</v>
      </c>
      <c r="K162" s="164"/>
      <c r="L162" s="160" t="s">
        <v>493</v>
      </c>
      <c r="M162" s="165"/>
      <c r="N162" s="155">
        <v>0.25</v>
      </c>
      <c r="O162" s="121"/>
      <c r="P162" s="121"/>
      <c r="Q162" s="82"/>
      <c r="R162" s="82"/>
      <c r="S162" s="82"/>
      <c r="T162" s="82"/>
      <c r="U162" s="364"/>
      <c r="V162" s="364"/>
      <c r="W162" s="364"/>
      <c r="X162" s="364"/>
    </row>
    <row r="163" spans="1:26" s="86" customFormat="1" x14ac:dyDescent="0.3">
      <c r="A163" s="82"/>
      <c r="B163" s="85"/>
      <c r="C163" s="83"/>
      <c r="E163" s="362"/>
      <c r="G163" s="25"/>
      <c r="I163" s="87"/>
      <c r="K163" s="87"/>
      <c r="M163" s="87"/>
      <c r="O163" s="87"/>
      <c r="Q163" s="87"/>
      <c r="S163" s="87"/>
      <c r="U163" s="363"/>
      <c r="V163" s="363"/>
      <c r="W163" s="363"/>
      <c r="X163" s="363"/>
    </row>
    <row r="164" spans="1:26" s="86" customFormat="1" x14ac:dyDescent="0.3">
      <c r="A164" s="24"/>
      <c r="B164" s="24" t="s">
        <v>729</v>
      </c>
      <c r="C164" s="83"/>
      <c r="E164" s="362"/>
      <c r="G164" s="25"/>
      <c r="I164" s="87"/>
      <c r="K164" s="87"/>
      <c r="M164" s="87"/>
      <c r="O164" s="87"/>
      <c r="Q164" s="87"/>
      <c r="S164" s="87"/>
      <c r="U164" s="363"/>
      <c r="V164" s="363"/>
      <c r="W164" s="363"/>
      <c r="X164" s="363"/>
    </row>
    <row r="165" spans="1:26" s="36" customFormat="1" ht="27.6" x14ac:dyDescent="0.3">
      <c r="A165" s="113"/>
      <c r="B165" s="125" t="s">
        <v>730</v>
      </c>
      <c r="C165" s="113" t="s">
        <v>742</v>
      </c>
      <c r="D165" s="113" t="s">
        <v>433</v>
      </c>
      <c r="E165" s="125"/>
      <c r="F165" s="142" t="s">
        <v>736</v>
      </c>
      <c r="G165" s="125"/>
      <c r="H165" s="142" t="s">
        <v>1389</v>
      </c>
      <c r="I165" s="113"/>
      <c r="J165" s="113" t="s">
        <v>1397</v>
      </c>
      <c r="K165" s="207"/>
      <c r="L165" s="113" t="s">
        <v>1113</v>
      </c>
      <c r="M165" s="207"/>
      <c r="N165" s="142" t="s">
        <v>771</v>
      </c>
      <c r="O165" s="113"/>
      <c r="P165" s="113" t="s">
        <v>734</v>
      </c>
      <c r="Q165" s="125"/>
      <c r="R165" s="142" t="s">
        <v>738</v>
      </c>
      <c r="S165" s="87"/>
      <c r="T165" s="86"/>
      <c r="U165" s="87"/>
      <c r="V165" s="86"/>
      <c r="W165" s="363"/>
      <c r="X165" s="363"/>
      <c r="Y165" s="363"/>
      <c r="Z165" s="363"/>
    </row>
    <row r="166" spans="1:26" s="448" customFormat="1" ht="15" thickBot="1" x14ac:dyDescent="0.35">
      <c r="B166" s="178"/>
      <c r="C166" s="171"/>
      <c r="D166" s="172"/>
      <c r="E166" s="173"/>
      <c r="F166" s="174" t="s">
        <v>1074</v>
      </c>
      <c r="G166" s="173"/>
      <c r="H166" s="174" t="s">
        <v>1390</v>
      </c>
      <c r="I166" s="171"/>
      <c r="J166" s="174" t="s">
        <v>1071</v>
      </c>
      <c r="K166" s="173"/>
      <c r="L166" s="174" t="s">
        <v>1072</v>
      </c>
      <c r="M166" s="173"/>
      <c r="N166" s="174" t="s">
        <v>1073</v>
      </c>
      <c r="O166" s="171"/>
      <c r="P166" s="171" t="s">
        <v>1076</v>
      </c>
      <c r="Q166" s="173"/>
      <c r="R166" s="174" t="s">
        <v>1075</v>
      </c>
      <c r="S166" s="87"/>
      <c r="T166" s="594"/>
      <c r="U166" s="87"/>
      <c r="V166" s="86"/>
      <c r="W166" s="363"/>
      <c r="X166" s="363"/>
      <c r="Y166" s="363"/>
      <c r="Z166" s="363"/>
    </row>
    <row r="167" spans="1:26" s="378" customFormat="1" thickTop="1" x14ac:dyDescent="0.3">
      <c r="B167" s="434" t="s">
        <v>731</v>
      </c>
      <c r="C167" s="264" t="s">
        <v>743</v>
      </c>
      <c r="D167" s="264" t="s">
        <v>435</v>
      </c>
      <c r="E167" s="420"/>
      <c r="F167" s="264" t="s">
        <v>733</v>
      </c>
      <c r="G167" s="420"/>
      <c r="H167" s="264" t="s">
        <v>1376</v>
      </c>
      <c r="I167" s="420"/>
      <c r="J167" s="264" t="s">
        <v>737</v>
      </c>
      <c r="K167" s="490" t="s">
        <v>919</v>
      </c>
      <c r="L167" s="584">
        <v>6668110</v>
      </c>
      <c r="M167" s="420"/>
      <c r="N167" s="698" t="str">
        <f>ROUND(12/0.585/3.412,2)&amp;" (0.585 kW/ton)"</f>
        <v>6.01 (0.585 kW/ton)</v>
      </c>
      <c r="O167" s="409" t="s">
        <v>14</v>
      </c>
      <c r="P167" s="410" t="s">
        <v>14</v>
      </c>
      <c r="Q167" s="420"/>
      <c r="R167" s="451">
        <v>0.1</v>
      </c>
      <c r="S167" s="87"/>
      <c r="T167" s="86"/>
      <c r="U167" s="87"/>
      <c r="V167" s="86"/>
      <c r="W167" s="364"/>
      <c r="X167" s="364"/>
      <c r="Y167" s="364"/>
      <c r="Z167" s="364"/>
    </row>
    <row r="168" spans="1:26" s="378" customFormat="1" ht="13.8" x14ac:dyDescent="0.3">
      <c r="B168" s="316" t="s">
        <v>732</v>
      </c>
      <c r="C168" s="158" t="s">
        <v>743</v>
      </c>
      <c r="D168" s="158" t="s">
        <v>435</v>
      </c>
      <c r="E168" s="417"/>
      <c r="F168" s="158" t="s">
        <v>733</v>
      </c>
      <c r="G168" s="417"/>
      <c r="H168" s="158" t="s">
        <v>1376</v>
      </c>
      <c r="I168" s="417"/>
      <c r="J168" s="158" t="s">
        <v>737</v>
      </c>
      <c r="K168" s="465" t="s">
        <v>919</v>
      </c>
      <c r="L168" s="196">
        <v>6668110</v>
      </c>
      <c r="M168" s="417"/>
      <c r="N168" s="663" t="str">
        <f>ROUND(12/0.585/3.412,2)&amp;" (0.585 kW/ton)"</f>
        <v>6.01 (0.585 kW/ton)</v>
      </c>
      <c r="O168" s="411" t="s">
        <v>14</v>
      </c>
      <c r="P168" s="412" t="s">
        <v>14</v>
      </c>
      <c r="Q168" s="417"/>
      <c r="R168" s="199">
        <v>0.1</v>
      </c>
      <c r="S168" s="87"/>
      <c r="T168" s="86"/>
      <c r="U168" s="87"/>
      <c r="V168" s="86"/>
      <c r="W168" s="364"/>
      <c r="X168" s="364"/>
      <c r="Y168" s="364"/>
      <c r="Z168" s="364"/>
    </row>
    <row r="169" spans="1:26" s="86" customFormat="1" x14ac:dyDescent="0.3">
      <c r="A169" s="82"/>
      <c r="B169" s="85"/>
      <c r="C169" s="83"/>
      <c r="E169" s="362"/>
      <c r="G169" s="25"/>
      <c r="I169" s="87"/>
      <c r="K169" s="87"/>
      <c r="M169" s="87"/>
      <c r="O169" s="87"/>
      <c r="Q169" s="87"/>
      <c r="S169" s="87"/>
      <c r="U169" s="363"/>
      <c r="V169" s="363"/>
      <c r="W169" s="363"/>
      <c r="X169" s="363"/>
    </row>
    <row r="170" spans="1:26" s="36" customFormat="1" ht="27.6" x14ac:dyDescent="0.3">
      <c r="A170" s="82"/>
      <c r="B170" s="125" t="s">
        <v>730</v>
      </c>
      <c r="C170" s="113" t="s">
        <v>742</v>
      </c>
      <c r="D170" s="113" t="s">
        <v>433</v>
      </c>
      <c r="E170" s="125"/>
      <c r="F170" s="142" t="s">
        <v>735</v>
      </c>
      <c r="G170" s="207"/>
      <c r="H170" s="142" t="s">
        <v>779</v>
      </c>
      <c r="I170" s="113"/>
      <c r="J170" s="113" t="s">
        <v>781</v>
      </c>
      <c r="K170" s="113"/>
      <c r="L170" s="168" t="s">
        <v>740</v>
      </c>
      <c r="M170" s="457"/>
      <c r="N170" s="110" t="s">
        <v>741</v>
      </c>
      <c r="Q170" s="87"/>
      <c r="R170" s="86"/>
    </row>
    <row r="171" spans="1:26" s="448" customFormat="1" thickBot="1" x14ac:dyDescent="0.35">
      <c r="A171" s="82"/>
      <c r="B171" s="178"/>
      <c r="C171" s="171"/>
      <c r="D171" s="172"/>
      <c r="E171" s="173"/>
      <c r="F171" s="174" t="s">
        <v>783</v>
      </c>
      <c r="G171" s="173"/>
      <c r="H171" s="174" t="s">
        <v>767</v>
      </c>
      <c r="I171" s="171"/>
      <c r="J171" s="171" t="s">
        <v>766</v>
      </c>
      <c r="K171" s="171"/>
      <c r="L171" s="171" t="s">
        <v>935</v>
      </c>
      <c r="M171" s="173"/>
      <c r="N171" s="174" t="s">
        <v>934</v>
      </c>
      <c r="Q171" s="87"/>
      <c r="R171" s="86"/>
    </row>
    <row r="172" spans="1:26" s="378" customFormat="1" ht="28.2" thickTop="1" x14ac:dyDescent="0.3">
      <c r="B172" s="434" t="s">
        <v>731</v>
      </c>
      <c r="C172" s="264" t="s">
        <v>743</v>
      </c>
      <c r="D172" s="264" t="s">
        <v>435</v>
      </c>
      <c r="E172" s="420"/>
      <c r="F172" s="437" t="s">
        <v>782</v>
      </c>
      <c r="G172" s="420"/>
      <c r="H172" s="437" t="s">
        <v>768</v>
      </c>
      <c r="I172" s="420"/>
      <c r="J172" s="437" t="s">
        <v>780</v>
      </c>
      <c r="K172" s="420"/>
      <c r="L172" s="264" t="s">
        <v>770</v>
      </c>
      <c r="M172" s="420"/>
      <c r="N172" s="451" t="s">
        <v>769</v>
      </c>
      <c r="Q172" s="87"/>
      <c r="R172" s="86"/>
    </row>
    <row r="173" spans="1:26" s="378" customFormat="1" ht="27.6" x14ac:dyDescent="0.3">
      <c r="B173" s="316" t="s">
        <v>732</v>
      </c>
      <c r="C173" s="158" t="s">
        <v>743</v>
      </c>
      <c r="D173" s="158" t="s">
        <v>435</v>
      </c>
      <c r="E173" s="417"/>
      <c r="F173" s="160" t="s">
        <v>782</v>
      </c>
      <c r="G173" s="417"/>
      <c r="H173" s="160" t="s">
        <v>768</v>
      </c>
      <c r="I173" s="417"/>
      <c r="J173" s="160" t="s">
        <v>780</v>
      </c>
      <c r="K173" s="417"/>
      <c r="L173" s="158" t="s">
        <v>770</v>
      </c>
      <c r="M173" s="417"/>
      <c r="N173" s="199" t="s">
        <v>769</v>
      </c>
      <c r="Q173" s="87"/>
      <c r="R173" s="86"/>
    </row>
    <row r="174" spans="1:26" s="86" customFormat="1" ht="15" customHeight="1" x14ac:dyDescent="0.3">
      <c r="A174" s="82"/>
      <c r="B174" s="85"/>
      <c r="C174" s="83"/>
      <c r="E174" s="362"/>
      <c r="G174" s="25"/>
      <c r="I174" s="87"/>
      <c r="K174" s="87"/>
      <c r="M174" s="87"/>
      <c r="O174" s="87"/>
      <c r="Q174" s="87"/>
      <c r="S174" s="87"/>
      <c r="U174" s="363"/>
      <c r="V174" s="363"/>
      <c r="W174" s="363"/>
      <c r="X174" s="363"/>
    </row>
    <row r="175" spans="1:26" s="84" customFormat="1" ht="27.6" x14ac:dyDescent="0.3">
      <c r="B175" s="125" t="s">
        <v>750</v>
      </c>
      <c r="C175" s="113" t="s">
        <v>751</v>
      </c>
      <c r="D175" s="113"/>
      <c r="E175" s="125"/>
      <c r="F175" s="113" t="s">
        <v>760</v>
      </c>
      <c r="G175" s="125"/>
      <c r="H175" s="113" t="s">
        <v>761</v>
      </c>
      <c r="I175" s="125"/>
      <c r="J175" s="113" t="s">
        <v>1109</v>
      </c>
      <c r="K175" s="125"/>
      <c r="L175" s="113" t="s">
        <v>764</v>
      </c>
      <c r="M175" s="207"/>
      <c r="N175" s="142" t="s">
        <v>772</v>
      </c>
      <c r="O175" s="113"/>
      <c r="P175" s="113" t="s">
        <v>773</v>
      </c>
      <c r="Q175" s="113"/>
      <c r="R175" s="109" t="s">
        <v>492</v>
      </c>
      <c r="S175" s="113"/>
      <c r="T175" s="142" t="s">
        <v>1051</v>
      </c>
      <c r="U175" s="87"/>
      <c r="V175" s="86"/>
      <c r="W175" s="363"/>
      <c r="X175" s="363"/>
      <c r="Y175" s="363"/>
      <c r="Z175" s="363"/>
    </row>
    <row r="176" spans="1:26" ht="15" thickBot="1" x14ac:dyDescent="0.35">
      <c r="B176" s="178"/>
      <c r="C176" s="171"/>
      <c r="D176" s="172"/>
      <c r="E176" s="173"/>
      <c r="F176" s="174" t="s">
        <v>1061</v>
      </c>
      <c r="G176" s="173"/>
      <c r="H176" s="171" t="s">
        <v>1066</v>
      </c>
      <c r="I176" s="173"/>
      <c r="J176" s="171" t="s">
        <v>1110</v>
      </c>
      <c r="K176" s="173"/>
      <c r="L176" s="174" t="s">
        <v>1062</v>
      </c>
      <c r="M176" s="173"/>
      <c r="N176" s="174" t="s">
        <v>1063</v>
      </c>
      <c r="O176" s="171"/>
      <c r="P176" s="171" t="s">
        <v>1064</v>
      </c>
      <c r="Q176" s="171"/>
      <c r="R176" s="174" t="s">
        <v>1065</v>
      </c>
      <c r="S176" s="171"/>
      <c r="T176" s="174" t="s">
        <v>774</v>
      </c>
      <c r="U176" s="87"/>
      <c r="V176" s="86"/>
      <c r="W176" s="363"/>
      <c r="X176" s="363"/>
      <c r="Y176" s="363"/>
      <c r="Z176" s="363"/>
    </row>
    <row r="177" spans="1:26" s="364" customFormat="1" thickTop="1" x14ac:dyDescent="0.3">
      <c r="A177" s="378"/>
      <c r="B177" s="135" t="s">
        <v>752</v>
      </c>
      <c r="C177" s="371" t="s">
        <v>758</v>
      </c>
      <c r="D177" s="378" t="s">
        <v>435</v>
      </c>
      <c r="E177" s="420"/>
      <c r="F177" s="371" t="s">
        <v>494</v>
      </c>
      <c r="G177" s="420"/>
      <c r="H177" s="378" t="s">
        <v>762</v>
      </c>
      <c r="I177" s="490" t="s">
        <v>919</v>
      </c>
      <c r="J177" s="595">
        <f>ROUND(F162/500.19/40,2)</f>
        <v>99.95</v>
      </c>
      <c r="K177" s="490" t="s">
        <v>919</v>
      </c>
      <c r="L177" s="595" t="str">
        <f>ROUND(J177*P177/3960/(0.7*R177)*745.6/1000,2)&amp;" ("&amp;ROUND(P177/3960/(0.7*R177)*745.6,1)&amp;" W/gpm)"</f>
        <v>1.9 (19 W/gpm)</v>
      </c>
      <c r="M177" s="490" t="s">
        <v>919</v>
      </c>
      <c r="N177" s="580">
        <v>3</v>
      </c>
      <c r="O177" s="490" t="s">
        <v>919</v>
      </c>
      <c r="P177" s="770">
        <f>ROUND(19/745.6*3960*R177*0.7,1)</f>
        <v>63.2</v>
      </c>
      <c r="Q177" s="420"/>
      <c r="R177" s="367">
        <v>0.89500000000000002</v>
      </c>
      <c r="S177" s="409" t="s">
        <v>14</v>
      </c>
      <c r="T177" s="410" t="s">
        <v>14</v>
      </c>
      <c r="U177" s="378"/>
      <c r="V177" s="86"/>
      <c r="W177" s="378"/>
      <c r="X177" s="371"/>
      <c r="Y177" s="378"/>
      <c r="Z177" s="371"/>
    </row>
    <row r="178" spans="1:26" s="370" customFormat="1" ht="13.8" x14ac:dyDescent="0.3">
      <c r="A178" s="378"/>
      <c r="B178" s="122" t="s">
        <v>754</v>
      </c>
      <c r="C178" s="378" t="s">
        <v>744</v>
      </c>
      <c r="D178" s="378" t="s">
        <v>435</v>
      </c>
      <c r="E178" s="416"/>
      <c r="F178" s="370" t="s">
        <v>494</v>
      </c>
      <c r="G178" s="416"/>
      <c r="H178" s="368" t="s">
        <v>762</v>
      </c>
      <c r="I178" s="581"/>
      <c r="J178" s="596">
        <f>ROUND(J187/500.19/10,2)</f>
        <v>1554.88</v>
      </c>
      <c r="K178" s="581"/>
      <c r="L178" s="596" t="str">
        <f>ROUND(J178*P178/3960/(0.7*R178)*745.6/1000,2)&amp;" ("&amp;ROUND((P178/3960/(0.7*R178)*745.6),1)&amp;" W/gpm)"</f>
        <v>20.11 (12.9 W/gpm)</v>
      </c>
      <c r="M178" s="581"/>
      <c r="N178" s="283">
        <v>30</v>
      </c>
      <c r="O178" s="416"/>
      <c r="P178" s="304">
        <v>45</v>
      </c>
      <c r="Q178" s="416"/>
      <c r="R178" s="366">
        <v>0.93600000000000005</v>
      </c>
      <c r="S178" s="409" t="s">
        <v>14</v>
      </c>
      <c r="T178" s="410" t="s">
        <v>14</v>
      </c>
      <c r="U178" s="368"/>
      <c r="V178" s="86"/>
      <c r="W178" s="368"/>
      <c r="Y178" s="368"/>
    </row>
    <row r="179" spans="1:26" s="370" customFormat="1" ht="27.6" x14ac:dyDescent="0.3">
      <c r="A179" s="378"/>
      <c r="B179" s="122" t="s">
        <v>756</v>
      </c>
      <c r="C179" s="378" t="s">
        <v>731</v>
      </c>
      <c r="D179" s="378" t="s">
        <v>435</v>
      </c>
      <c r="E179" s="416"/>
      <c r="F179" s="370" t="s">
        <v>494</v>
      </c>
      <c r="G179" s="416"/>
      <c r="H179" s="370" t="s">
        <v>763</v>
      </c>
      <c r="I179" s="581"/>
      <c r="J179" s="596">
        <f>ROUND(L167/500.19/20,2)</f>
        <v>666.56</v>
      </c>
      <c r="K179" s="581"/>
      <c r="L179" s="596" t="str">
        <f>ROUND(J179*P179/3960/(0.7*R179)*745.6/1000,2)&amp;" ("&amp;ROUND((P179/3960/(0.7*R179)*745.6),1)&amp;" W/gpm)"</f>
        <v>11 (16.5 W/gpm)</v>
      </c>
      <c r="M179" s="581"/>
      <c r="N179" s="283">
        <v>15</v>
      </c>
      <c r="O179" s="416"/>
      <c r="P179" s="588">
        <f>40+((0.03*L167)/12000)</f>
        <v>56.670275000000004</v>
      </c>
      <c r="Q179" s="416"/>
      <c r="R179" s="366">
        <v>0.92400000000000004</v>
      </c>
      <c r="S179" s="418"/>
      <c r="T179" s="365" t="s">
        <v>929</v>
      </c>
      <c r="U179" s="368"/>
      <c r="W179" s="368"/>
      <c r="Y179" s="368"/>
    </row>
    <row r="180" spans="1:26" s="364" customFormat="1" ht="13.8" x14ac:dyDescent="0.3">
      <c r="A180" s="378"/>
      <c r="B180" s="135" t="s">
        <v>753</v>
      </c>
      <c r="C180" s="371" t="s">
        <v>759</v>
      </c>
      <c r="D180" s="378" t="s">
        <v>435</v>
      </c>
      <c r="E180" s="418"/>
      <c r="F180" s="371" t="s">
        <v>494</v>
      </c>
      <c r="G180" s="418"/>
      <c r="H180" s="378" t="s">
        <v>762</v>
      </c>
      <c r="I180" s="339"/>
      <c r="J180" s="595">
        <f>ROUND(F162/500.19/40,2)</f>
        <v>99.95</v>
      </c>
      <c r="K180" s="339"/>
      <c r="L180" s="595" t="str">
        <f>ROUND(19*J180/1000,2)&amp;" (19 W/gpm)"</f>
        <v>1.9 (19 W/gpm)</v>
      </c>
      <c r="M180" s="339"/>
      <c r="N180" s="580">
        <v>3</v>
      </c>
      <c r="O180" s="339"/>
      <c r="P180" s="770">
        <f>ROUND(19/745.6*3960*R180*0.7,1)</f>
        <v>63.2</v>
      </c>
      <c r="Q180" s="418"/>
      <c r="R180" s="367">
        <v>0.89500000000000002</v>
      </c>
      <c r="S180" s="409" t="s">
        <v>14</v>
      </c>
      <c r="T180" s="410" t="s">
        <v>14</v>
      </c>
      <c r="U180" s="378"/>
      <c r="V180" s="371"/>
      <c r="W180" s="378"/>
      <c r="X180" s="371"/>
      <c r="Y180" s="378"/>
      <c r="Z180" s="371"/>
    </row>
    <row r="181" spans="1:26" s="364" customFormat="1" ht="27.6" x14ac:dyDescent="0.3">
      <c r="A181" s="378"/>
      <c r="B181" s="122" t="s">
        <v>757</v>
      </c>
      <c r="C181" s="378" t="s">
        <v>732</v>
      </c>
      <c r="D181" s="378" t="s">
        <v>435</v>
      </c>
      <c r="E181" s="416"/>
      <c r="F181" s="370" t="s">
        <v>494</v>
      </c>
      <c r="G181" s="416"/>
      <c r="H181" s="370" t="s">
        <v>763</v>
      </c>
      <c r="I181" s="581"/>
      <c r="J181" s="596">
        <f>ROUND(L168/500.19/20,2)</f>
        <v>666.56</v>
      </c>
      <c r="K181" s="581"/>
      <c r="L181" s="596" t="str">
        <f>ROUND(J181*P181/3960/(0.7*R181)*745.6/1000,2)&amp;" ("&amp;ROUND((P181/3960/(0.7*R181)*745.6),1)&amp;" W/gpm)"</f>
        <v>11 (16.5 W/gpm)</v>
      </c>
      <c r="M181" s="581"/>
      <c r="N181" s="283">
        <v>15</v>
      </c>
      <c r="O181" s="416"/>
      <c r="P181" s="588">
        <f>40+((0.03*L168)/12000)</f>
        <v>56.670275000000004</v>
      </c>
      <c r="Q181" s="416"/>
      <c r="R181" s="366">
        <v>0.92400000000000004</v>
      </c>
      <c r="S181" s="418"/>
      <c r="T181" s="365" t="s">
        <v>929</v>
      </c>
      <c r="U181" s="378"/>
      <c r="V181" s="371"/>
      <c r="W181" s="378"/>
      <c r="X181" s="371"/>
      <c r="Y181" s="378"/>
      <c r="Z181" s="371"/>
    </row>
    <row r="182" spans="1:26" s="370" customFormat="1" ht="13.8" x14ac:dyDescent="0.3">
      <c r="A182" s="378"/>
      <c r="B182" s="284" t="s">
        <v>755</v>
      </c>
      <c r="C182" s="158" t="s">
        <v>746</v>
      </c>
      <c r="D182" s="158" t="s">
        <v>435</v>
      </c>
      <c r="E182" s="421"/>
      <c r="F182" s="229" t="s">
        <v>494</v>
      </c>
      <c r="G182" s="421"/>
      <c r="H182" s="186" t="s">
        <v>762</v>
      </c>
      <c r="I182" s="704"/>
      <c r="J182" s="597">
        <f>ROUND(J188/500.19/10,2)</f>
        <v>1554.88</v>
      </c>
      <c r="K182" s="704"/>
      <c r="L182" s="597" t="str">
        <f>ROUND(J182*P182/3960/(0.7*R182)*745.6/1000,2)&amp;" ("&amp;ROUND((P182/3960/(0.7*R182)*745.6),1)&amp;" W/gpm)"</f>
        <v>20.11 (12.9 W/gpm)</v>
      </c>
      <c r="M182" s="704"/>
      <c r="N182" s="281">
        <v>30</v>
      </c>
      <c r="O182" s="421"/>
      <c r="P182" s="801">
        <v>45</v>
      </c>
      <c r="Q182" s="421"/>
      <c r="R182" s="402">
        <v>0.93600000000000005</v>
      </c>
      <c r="S182" s="411" t="s">
        <v>14</v>
      </c>
      <c r="T182" s="412" t="s">
        <v>14</v>
      </c>
      <c r="U182" s="368"/>
      <c r="V182" s="86"/>
      <c r="W182" s="368"/>
      <c r="Y182" s="368"/>
    </row>
    <row r="183" spans="1:26" s="86" customFormat="1" ht="13.8" x14ac:dyDescent="0.3">
      <c r="A183" s="82"/>
      <c r="B183" s="85"/>
      <c r="C183" s="83"/>
      <c r="E183" s="362"/>
      <c r="G183" s="25"/>
      <c r="I183" s="87"/>
      <c r="K183" s="87"/>
      <c r="M183" s="87"/>
      <c r="O183" s="87"/>
      <c r="Q183" s="87"/>
      <c r="S183" s="87"/>
      <c r="U183" s="87"/>
      <c r="W183" s="87"/>
    </row>
    <row r="184" spans="1:26" s="86" customFormat="1" ht="13.8" x14ac:dyDescent="0.3">
      <c r="A184" s="82"/>
      <c r="B184" s="85"/>
      <c r="C184" s="83"/>
      <c r="E184" s="362"/>
      <c r="G184" s="25"/>
      <c r="I184" s="87"/>
      <c r="K184" s="87"/>
      <c r="M184" s="87"/>
      <c r="O184" s="87"/>
      <c r="Q184" s="87"/>
      <c r="S184" s="87"/>
      <c r="U184" s="87"/>
      <c r="W184" s="87"/>
    </row>
    <row r="185" spans="1:26" s="40" customFormat="1" ht="27.6" x14ac:dyDescent="0.3">
      <c r="A185" s="84"/>
      <c r="B185" s="125" t="s">
        <v>747</v>
      </c>
      <c r="C185" s="113" t="s">
        <v>742</v>
      </c>
      <c r="D185" s="113" t="s">
        <v>433</v>
      </c>
      <c r="E185" s="125"/>
      <c r="F185" s="142" t="s">
        <v>748</v>
      </c>
      <c r="G185" s="113"/>
      <c r="H185" s="113" t="s">
        <v>765</v>
      </c>
      <c r="I185" s="125"/>
      <c r="J185" s="113" t="s">
        <v>1111</v>
      </c>
      <c r="K185" s="207"/>
      <c r="L185" s="116" t="s">
        <v>777</v>
      </c>
      <c r="M185" s="207"/>
      <c r="N185" s="142" t="s">
        <v>776</v>
      </c>
      <c r="O185" s="113"/>
      <c r="P185" s="142" t="s">
        <v>1052</v>
      </c>
      <c r="Q185" s="449"/>
      <c r="S185" s="449"/>
      <c r="U185" s="449"/>
      <c r="W185" s="449"/>
      <c r="Y185" s="449"/>
    </row>
    <row r="186" spans="1:26" s="86" customFormat="1" thickBot="1" x14ac:dyDescent="0.35">
      <c r="A186" s="82"/>
      <c r="B186" s="178"/>
      <c r="C186" s="172"/>
      <c r="D186" s="172"/>
      <c r="E186" s="173"/>
      <c r="F186" s="355" t="s">
        <v>1067</v>
      </c>
      <c r="G186" s="171"/>
      <c r="H186" s="354" t="s">
        <v>1112</v>
      </c>
      <c r="I186" s="173"/>
      <c r="J186" s="355" t="s">
        <v>1068</v>
      </c>
      <c r="K186" s="173"/>
      <c r="L186" s="355" t="s">
        <v>1069</v>
      </c>
      <c r="M186" s="173"/>
      <c r="N186" s="355" t="s">
        <v>1070</v>
      </c>
      <c r="O186" s="171"/>
      <c r="P186" s="174" t="s">
        <v>774</v>
      </c>
      <c r="Q186" s="87"/>
      <c r="S186" s="87"/>
      <c r="U186" s="87"/>
      <c r="W186" s="87"/>
      <c r="Y186" s="87"/>
    </row>
    <row r="187" spans="1:26" s="370" customFormat="1" thickTop="1" x14ac:dyDescent="0.3">
      <c r="A187" s="378"/>
      <c r="B187" s="122" t="s">
        <v>744</v>
      </c>
      <c r="C187" s="378" t="s">
        <v>745</v>
      </c>
      <c r="D187" s="378" t="s">
        <v>435</v>
      </c>
      <c r="E187" s="420"/>
      <c r="F187" s="370" t="s">
        <v>749</v>
      </c>
      <c r="G187" s="420"/>
      <c r="H187" s="450" t="s">
        <v>482</v>
      </c>
      <c r="I187" s="581"/>
      <c r="J187" s="705">
        <v>7777330</v>
      </c>
      <c r="K187" s="420"/>
      <c r="L187" s="586">
        <f>ROUNDDOWN(J187/500.19/10,2)</f>
        <v>1554.87</v>
      </c>
      <c r="M187" s="420"/>
      <c r="N187" s="453" t="str">
        <f>ROUND(L187/60,2)&amp;" (60 gpm/HP)"</f>
        <v>25.91 (60 gpm/HP)</v>
      </c>
      <c r="O187" s="418"/>
      <c r="P187" s="365" t="s">
        <v>778</v>
      </c>
      <c r="Q187" s="368"/>
      <c r="S187" s="368"/>
      <c r="U187" s="368"/>
      <c r="W187" s="368"/>
      <c r="Y187" s="368"/>
    </row>
    <row r="188" spans="1:26" s="370" customFormat="1" ht="13.8" x14ac:dyDescent="0.3">
      <c r="A188" s="378"/>
      <c r="B188" s="284" t="s">
        <v>746</v>
      </c>
      <c r="C188" s="158" t="s">
        <v>745</v>
      </c>
      <c r="D188" s="158" t="s">
        <v>435</v>
      </c>
      <c r="E188" s="417"/>
      <c r="F188" s="229" t="s">
        <v>749</v>
      </c>
      <c r="G188" s="417"/>
      <c r="H188" s="452" t="s">
        <v>482</v>
      </c>
      <c r="I188" s="340"/>
      <c r="J188" s="706">
        <v>7777330</v>
      </c>
      <c r="K188" s="417"/>
      <c r="L188" s="590">
        <f>ROUNDDOWN(J188/500.19/10,2)</f>
        <v>1554.87</v>
      </c>
      <c r="M188" s="417"/>
      <c r="N188" s="590" t="str">
        <f>ROUND(L188/60,2)&amp;" (60 gpm/HP)"</f>
        <v>25.91 (60 gpm/HP)</v>
      </c>
      <c r="O188" s="417"/>
      <c r="P188" s="193" t="s">
        <v>778</v>
      </c>
      <c r="Q188" s="368"/>
      <c r="S188" s="368"/>
      <c r="U188" s="368"/>
      <c r="W188" s="368"/>
      <c r="Y188" s="368"/>
    </row>
    <row r="189" spans="1:26" s="86" customFormat="1" ht="13.8" x14ac:dyDescent="0.3">
      <c r="A189" s="82"/>
      <c r="B189" s="85"/>
      <c r="C189" s="83"/>
      <c r="E189" s="362"/>
      <c r="G189" s="25"/>
      <c r="I189" s="87"/>
      <c r="K189" s="87"/>
      <c r="M189" s="87"/>
      <c r="O189" s="87"/>
      <c r="Q189" s="87"/>
      <c r="S189" s="87"/>
      <c r="U189" s="87"/>
      <c r="W189" s="87"/>
    </row>
    <row r="190" spans="1:26" s="86" customFormat="1" ht="13.8" x14ac:dyDescent="0.3">
      <c r="A190" s="82"/>
      <c r="B190" s="85"/>
      <c r="C190" s="83"/>
      <c r="E190" s="362"/>
      <c r="G190" s="25"/>
      <c r="I190" s="87"/>
      <c r="K190" s="87"/>
      <c r="M190" s="87"/>
      <c r="O190" s="87"/>
      <c r="Q190" s="87"/>
      <c r="S190" s="87"/>
      <c r="U190" s="87"/>
      <c r="W190" s="87"/>
    </row>
  </sheetData>
  <pageMargins left="0.7" right="0.7" top="0.75" bottom="0.75" header="0.3" footer="0.3"/>
  <pageSetup paperSize="3" scale="2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36"/>
  <sheetViews>
    <sheetView tabSelected="1" topLeftCell="B1" zoomScale="70" zoomScaleNormal="70" workbookViewId="0">
      <selection activeCell="C1" sqref="C1"/>
    </sheetView>
  </sheetViews>
  <sheetFormatPr defaultColWidth="9.109375" defaultRowHeight="14.4" outlineLevelRow="1" outlineLevelCol="1" x14ac:dyDescent="0.3"/>
  <cols>
    <col min="1" max="1" width="9.109375" style="546"/>
    <col min="2" max="2" width="6.88671875" style="546" customWidth="1"/>
    <col min="3" max="3" width="16" style="546" customWidth="1"/>
    <col min="4" max="4" width="39.88671875" style="546" customWidth="1"/>
    <col min="5" max="5" width="31" style="546" bestFit="1" customWidth="1"/>
    <col min="6" max="6" width="40.109375" style="546" customWidth="1"/>
    <col min="7" max="7" width="33.5546875" style="546" customWidth="1"/>
    <col min="8" max="8" width="38.33203125" style="546" customWidth="1"/>
    <col min="9" max="9" width="15.33203125" style="544" hidden="1" customWidth="1" collapsed="1"/>
    <col min="10" max="10" width="60.6640625" style="545" hidden="1" customWidth="1" outlineLevel="1"/>
    <col min="11" max="11" width="20" style="544" hidden="1" customWidth="1" collapsed="1"/>
    <col min="12" max="12" width="50.44140625" style="545" hidden="1" customWidth="1" outlineLevel="1"/>
    <col min="13" max="13" width="13.44140625" style="544" hidden="1" customWidth="1" collapsed="1"/>
    <col min="14" max="14" width="21" style="545" hidden="1" customWidth="1" outlineLevel="1"/>
    <col min="15" max="15" width="13.44140625" style="544" hidden="1" customWidth="1" collapsed="1"/>
    <col min="16" max="16" width="21" style="545" hidden="1" customWidth="1" outlineLevel="1"/>
    <col min="17" max="17" width="13.44140625" style="544" customWidth="1" collapsed="1"/>
    <col min="18" max="18" width="21" style="545" hidden="1" customWidth="1" outlineLevel="1"/>
    <col min="19" max="19" width="3.6640625" style="546" customWidth="1"/>
    <col min="20" max="20" width="40.6640625" style="546" hidden="1" customWidth="1" collapsed="1"/>
    <col min="21" max="21" width="90.44140625" style="546" hidden="1" customWidth="1" outlineLevel="1"/>
    <col min="22" max="22" width="3.6640625" style="546" hidden="1" customWidth="1"/>
    <col min="23" max="23" width="35.5546875" style="546" hidden="1" customWidth="1"/>
    <col min="24" max="24" width="74.33203125" style="546" hidden="1" customWidth="1" outlineLevel="1"/>
    <col min="25" max="25" width="9.109375" style="546" collapsed="1"/>
    <col min="26" max="26" width="17.6640625" style="546" hidden="1" customWidth="1" outlineLevel="1"/>
    <col min="27" max="16384" width="9.109375" style="546"/>
  </cols>
  <sheetData>
    <row r="1" spans="1:26" x14ac:dyDescent="0.3">
      <c r="A1" s="795"/>
      <c r="B1" s="795"/>
      <c r="C1" s="795"/>
      <c r="D1" s="795"/>
      <c r="E1" s="795"/>
      <c r="F1" s="795"/>
      <c r="G1" s="795"/>
      <c r="H1" s="795"/>
    </row>
    <row r="2" spans="1:26" x14ac:dyDescent="0.3">
      <c r="A2" s="795"/>
      <c r="B2" s="795"/>
      <c r="C2" s="795"/>
      <c r="D2" s="795"/>
      <c r="E2" s="795"/>
      <c r="F2" s="795"/>
      <c r="G2" s="795"/>
      <c r="H2" s="795"/>
    </row>
    <row r="3" spans="1:26" ht="30" customHeight="1" x14ac:dyDescent="0.3">
      <c r="A3" s="795"/>
      <c r="B3" s="867" t="s">
        <v>1030</v>
      </c>
      <c r="C3" s="868"/>
      <c r="D3" s="868"/>
      <c r="E3" s="868"/>
      <c r="F3" s="868"/>
      <c r="G3" s="868"/>
      <c r="H3" s="868"/>
      <c r="I3" s="869"/>
      <c r="J3" s="868"/>
      <c r="K3" s="869"/>
      <c r="L3" s="870"/>
      <c r="M3" s="870"/>
      <c r="N3" s="870"/>
      <c r="O3" s="870"/>
      <c r="P3" s="870"/>
      <c r="Q3" s="870"/>
      <c r="R3" s="870"/>
      <c r="T3" s="1025" t="s">
        <v>1084</v>
      </c>
      <c r="U3" s="1026"/>
      <c r="W3" s="1027" t="s">
        <v>1083</v>
      </c>
      <c r="X3" s="1027"/>
      <c r="Z3" s="933" t="s">
        <v>1404</v>
      </c>
    </row>
    <row r="4" spans="1:26" s="383" customFormat="1" ht="26.4" x14ac:dyDescent="0.3">
      <c r="A4" s="398"/>
      <c r="B4" s="547" t="s">
        <v>389</v>
      </c>
      <c r="C4" s="547" t="s">
        <v>390</v>
      </c>
      <c r="D4" s="547" t="s">
        <v>1080</v>
      </c>
      <c r="E4" s="547" t="s">
        <v>952</v>
      </c>
      <c r="F4" s="547" t="s">
        <v>432</v>
      </c>
      <c r="G4" s="547" t="s">
        <v>391</v>
      </c>
      <c r="H4" s="547" t="s">
        <v>1031</v>
      </c>
      <c r="I4" s="547" t="s">
        <v>1509</v>
      </c>
      <c r="J4" s="547" t="s">
        <v>1402</v>
      </c>
      <c r="K4" s="547" t="s">
        <v>1510</v>
      </c>
      <c r="L4" s="547" t="s">
        <v>1402</v>
      </c>
      <c r="M4" s="547" t="s">
        <v>1511</v>
      </c>
      <c r="N4" s="547" t="s">
        <v>1402</v>
      </c>
      <c r="O4" s="547" t="s">
        <v>1512</v>
      </c>
      <c r="P4" s="547" t="s">
        <v>1402</v>
      </c>
      <c r="Q4" s="547" t="s">
        <v>1463</v>
      </c>
      <c r="R4" s="547" t="s">
        <v>1402</v>
      </c>
      <c r="S4" s="544"/>
      <c r="T4" s="547" t="s">
        <v>1081</v>
      </c>
      <c r="U4" s="547" t="s">
        <v>1082</v>
      </c>
      <c r="V4" s="544"/>
      <c r="W4" s="547" t="s">
        <v>1081</v>
      </c>
      <c r="X4" s="547" t="s">
        <v>1082</v>
      </c>
      <c r="Z4" s="884"/>
    </row>
    <row r="5" spans="1:26" s="383" customFormat="1" x14ac:dyDescent="0.3">
      <c r="A5" s="398"/>
      <c r="B5" s="547"/>
      <c r="C5" s="547"/>
      <c r="D5" s="547"/>
      <c r="E5" s="547"/>
      <c r="F5" s="547"/>
      <c r="G5" s="547"/>
      <c r="H5" s="547"/>
      <c r="I5" s="547"/>
      <c r="J5" s="547"/>
      <c r="K5" s="547"/>
      <c r="L5" s="547"/>
      <c r="M5" s="547"/>
      <c r="N5" s="547"/>
      <c r="O5" s="547"/>
      <c r="P5" s="547"/>
      <c r="Q5" s="547"/>
      <c r="R5" s="547"/>
      <c r="S5" s="544"/>
      <c r="T5" s="547"/>
      <c r="U5" s="547"/>
      <c r="V5" s="544"/>
      <c r="W5" s="547"/>
      <c r="X5" s="547"/>
      <c r="Z5" s="884"/>
    </row>
    <row r="6" spans="1:26" ht="39.6" x14ac:dyDescent="0.3">
      <c r="A6" s="795"/>
      <c r="B6" s="548">
        <v>1</v>
      </c>
      <c r="C6" s="549" t="s">
        <v>392</v>
      </c>
      <c r="D6" s="549" t="s">
        <v>914</v>
      </c>
      <c r="E6" s="549" t="s">
        <v>953</v>
      </c>
      <c r="F6" s="549" t="s">
        <v>393</v>
      </c>
      <c r="G6" s="549" t="s">
        <v>1032</v>
      </c>
      <c r="H6" s="549"/>
      <c r="I6" s="548" t="s">
        <v>13</v>
      </c>
      <c r="J6" s="550"/>
      <c r="K6" s="548"/>
      <c r="L6" s="883"/>
      <c r="M6" s="548" t="s">
        <v>13</v>
      </c>
      <c r="N6" s="549"/>
      <c r="O6" s="548" t="s">
        <v>13</v>
      </c>
      <c r="P6" s="549"/>
      <c r="Q6" s="548"/>
      <c r="R6" s="549"/>
      <c r="T6" s="549" t="s">
        <v>1513</v>
      </c>
      <c r="U6" s="549" t="s">
        <v>1515</v>
      </c>
      <c r="W6" s="1022"/>
      <c r="X6" s="1023"/>
      <c r="Z6" s="883" t="s">
        <v>13</v>
      </c>
    </row>
    <row r="7" spans="1:26" ht="39.6" x14ac:dyDescent="0.3">
      <c r="A7" s="795"/>
      <c r="B7" s="548">
        <v>2</v>
      </c>
      <c r="C7" s="549" t="s">
        <v>392</v>
      </c>
      <c r="D7" s="549" t="s">
        <v>1405</v>
      </c>
      <c r="E7" s="549" t="s">
        <v>953</v>
      </c>
      <c r="F7" s="549" t="s">
        <v>393</v>
      </c>
      <c r="G7" s="549" t="s">
        <v>1032</v>
      </c>
      <c r="H7" s="549"/>
      <c r="I7" s="548" t="s">
        <v>13</v>
      </c>
      <c r="J7" s="550"/>
      <c r="K7" s="548"/>
      <c r="L7" s="883"/>
      <c r="M7" s="548" t="s">
        <v>13</v>
      </c>
      <c r="N7" s="549"/>
      <c r="O7" s="548" t="s">
        <v>13</v>
      </c>
      <c r="P7" s="549"/>
      <c r="Q7" s="548"/>
      <c r="R7" s="549"/>
      <c r="T7" s="549" t="s">
        <v>1514</v>
      </c>
      <c r="U7" s="549" t="s">
        <v>1516</v>
      </c>
      <c r="W7" s="1022"/>
      <c r="X7" s="1023"/>
      <c r="Z7" s="883" t="s">
        <v>13</v>
      </c>
    </row>
    <row r="8" spans="1:26" ht="83.25" hidden="1" customHeight="1" x14ac:dyDescent="0.3">
      <c r="A8" s="551"/>
      <c r="B8" s="548">
        <v>3</v>
      </c>
      <c r="C8" s="549" t="s">
        <v>394</v>
      </c>
      <c r="D8" s="549" t="s">
        <v>1322</v>
      </c>
      <c r="E8" s="549" t="s">
        <v>953</v>
      </c>
      <c r="F8" s="871" t="s">
        <v>1325</v>
      </c>
      <c r="G8" s="871" t="s">
        <v>1403</v>
      </c>
      <c r="H8" s="549"/>
      <c r="I8" s="548" t="s">
        <v>13</v>
      </c>
      <c r="J8" s="550"/>
      <c r="K8" s="548" t="s">
        <v>13</v>
      </c>
      <c r="L8" s="553" t="s">
        <v>1441</v>
      </c>
      <c r="M8" s="548"/>
      <c r="N8" s="549"/>
      <c r="O8" s="548"/>
      <c r="P8" s="549"/>
      <c r="Q8" s="548"/>
      <c r="R8" s="549"/>
      <c r="T8" s="549" t="s">
        <v>1514</v>
      </c>
      <c r="U8" s="549" t="s">
        <v>1517</v>
      </c>
      <c r="W8" s="559"/>
      <c r="X8" s="1023"/>
      <c r="Z8" s="883"/>
    </row>
    <row r="9" spans="1:26" ht="39.6" x14ac:dyDescent="0.3">
      <c r="A9" s="795"/>
      <c r="B9" s="548">
        <v>4</v>
      </c>
      <c r="C9" s="549" t="s">
        <v>395</v>
      </c>
      <c r="D9" s="549" t="s">
        <v>1132</v>
      </c>
      <c r="E9" s="549" t="s">
        <v>953</v>
      </c>
      <c r="F9" s="549" t="s">
        <v>393</v>
      </c>
      <c r="G9" s="549" t="s">
        <v>1034</v>
      </c>
      <c r="H9" s="549"/>
      <c r="I9" s="548" t="s">
        <v>13</v>
      </c>
      <c r="J9" s="550"/>
      <c r="K9" s="548"/>
      <c r="L9" s="882"/>
      <c r="M9" s="548" t="s">
        <v>13</v>
      </c>
      <c r="N9" s="549"/>
      <c r="O9" s="548" t="s">
        <v>13</v>
      </c>
      <c r="P9" s="549"/>
      <c r="Q9" s="548"/>
      <c r="R9" s="549"/>
      <c r="T9" s="549" t="s">
        <v>1514</v>
      </c>
      <c r="U9" s="549" t="s">
        <v>1518</v>
      </c>
      <c r="W9" s="1022"/>
      <c r="X9" s="1023"/>
      <c r="Z9" s="883" t="s">
        <v>13</v>
      </c>
    </row>
    <row r="10" spans="1:26" ht="39.6" hidden="1" x14ac:dyDescent="0.3">
      <c r="A10" s="795"/>
      <c r="B10" s="548">
        <v>5</v>
      </c>
      <c r="C10" s="549" t="s">
        <v>396</v>
      </c>
      <c r="D10" s="549" t="s">
        <v>1406</v>
      </c>
      <c r="E10" s="549" t="s">
        <v>953</v>
      </c>
      <c r="F10" s="549" t="s">
        <v>397</v>
      </c>
      <c r="G10" s="549" t="s">
        <v>1035</v>
      </c>
      <c r="H10" s="549"/>
      <c r="I10" s="548"/>
      <c r="J10" s="550"/>
      <c r="K10" s="548"/>
      <c r="L10" s="549"/>
      <c r="M10" s="548"/>
      <c r="N10" s="549"/>
      <c r="O10" s="548"/>
      <c r="P10" s="549"/>
      <c r="Q10" s="548"/>
      <c r="R10" s="549"/>
      <c r="T10" s="549" t="s">
        <v>1514</v>
      </c>
      <c r="U10" s="549" t="s">
        <v>1519</v>
      </c>
      <c r="W10" s="559"/>
      <c r="X10" s="1023"/>
      <c r="Z10" s="883"/>
    </row>
    <row r="11" spans="1:26" ht="39.6" hidden="1" x14ac:dyDescent="0.3">
      <c r="A11" s="795"/>
      <c r="B11" s="548">
        <v>6</v>
      </c>
      <c r="C11" s="549" t="s">
        <v>396</v>
      </c>
      <c r="D11" s="549" t="s">
        <v>1407</v>
      </c>
      <c r="E11" s="549" t="s">
        <v>953</v>
      </c>
      <c r="F11" s="549" t="s">
        <v>397</v>
      </c>
      <c r="G11" s="549" t="s">
        <v>1035</v>
      </c>
      <c r="H11" s="549"/>
      <c r="I11" s="548"/>
      <c r="J11" s="550"/>
      <c r="K11" s="548"/>
      <c r="L11" s="932"/>
      <c r="M11" s="548"/>
      <c r="N11" s="549"/>
      <c r="O11" s="548"/>
      <c r="P11" s="549"/>
      <c r="Q11" s="548"/>
      <c r="R11" s="549"/>
      <c r="T11" s="549" t="s">
        <v>1514</v>
      </c>
      <c r="U11" s="549" t="s">
        <v>1520</v>
      </c>
      <c r="W11" s="559"/>
      <c r="X11" s="1023"/>
      <c r="Z11" s="883"/>
    </row>
    <row r="12" spans="1:26" ht="39.6" hidden="1" x14ac:dyDescent="0.3">
      <c r="A12" s="795"/>
      <c r="B12" s="548">
        <v>7</v>
      </c>
      <c r="C12" s="549" t="s">
        <v>398</v>
      </c>
      <c r="D12" s="549" t="s">
        <v>1087</v>
      </c>
      <c r="E12" s="549" t="s">
        <v>953</v>
      </c>
      <c r="F12" s="549" t="s">
        <v>139</v>
      </c>
      <c r="G12" s="549" t="s">
        <v>1036</v>
      </c>
      <c r="H12" s="549"/>
      <c r="I12" s="548"/>
      <c r="J12" s="550"/>
      <c r="K12" s="548"/>
      <c r="L12" s="549"/>
      <c r="M12" s="548"/>
      <c r="N12" s="549"/>
      <c r="O12" s="548"/>
      <c r="P12" s="549"/>
      <c r="Q12" s="548"/>
      <c r="R12" s="549"/>
      <c r="T12" s="549" t="s">
        <v>1514</v>
      </c>
      <c r="U12" s="549" t="s">
        <v>1521</v>
      </c>
      <c r="W12" s="559"/>
      <c r="X12" s="1023"/>
      <c r="Z12" s="883"/>
    </row>
    <row r="13" spans="1:26" ht="39.6" hidden="1" collapsed="1" x14ac:dyDescent="0.3">
      <c r="A13" s="795"/>
      <c r="B13" s="548">
        <v>8</v>
      </c>
      <c r="C13" s="549" t="s">
        <v>398</v>
      </c>
      <c r="D13" s="549" t="s">
        <v>1088</v>
      </c>
      <c r="E13" s="549" t="s">
        <v>953</v>
      </c>
      <c r="F13" s="549" t="s">
        <v>139</v>
      </c>
      <c r="G13" s="549" t="s">
        <v>1037</v>
      </c>
      <c r="H13" s="552" t="s">
        <v>1038</v>
      </c>
      <c r="I13" s="872"/>
      <c r="J13" s="873"/>
      <c r="K13" s="879"/>
      <c r="L13" s="885"/>
      <c r="M13" s="874"/>
      <c r="N13" s="553"/>
      <c r="O13" s="874"/>
      <c r="P13" s="553"/>
      <c r="Q13" s="874"/>
      <c r="R13" s="553"/>
      <c r="T13" s="549" t="s">
        <v>1514</v>
      </c>
      <c r="U13" s="549" t="s">
        <v>1522</v>
      </c>
      <c r="W13" s="559"/>
      <c r="X13" s="1023"/>
      <c r="Z13" s="883"/>
    </row>
    <row r="14" spans="1:26" ht="39.6" hidden="1" outlineLevel="1" x14ac:dyDescent="0.3">
      <c r="A14" s="554"/>
      <c r="B14" s="555">
        <v>9</v>
      </c>
      <c r="C14" s="556" t="s">
        <v>398</v>
      </c>
      <c r="D14" s="556" t="s">
        <v>1437</v>
      </c>
      <c r="E14" s="556" t="s">
        <v>953</v>
      </c>
      <c r="F14" s="556" t="s">
        <v>139</v>
      </c>
      <c r="G14" s="556" t="s">
        <v>399</v>
      </c>
      <c r="H14" s="556" t="s">
        <v>1039</v>
      </c>
      <c r="I14" s="556"/>
      <c r="J14" s="558"/>
      <c r="K14" s="557"/>
      <c r="L14" s="557"/>
      <c r="M14" s="557"/>
      <c r="N14" s="556"/>
      <c r="O14" s="557"/>
      <c r="P14" s="556"/>
      <c r="Q14" s="557"/>
      <c r="R14" s="556"/>
      <c r="T14" s="559" t="s">
        <v>1033</v>
      </c>
      <c r="U14" s="556" t="s">
        <v>400</v>
      </c>
      <c r="W14" s="559"/>
      <c r="X14" s="556"/>
      <c r="Z14" s="883"/>
    </row>
    <row r="15" spans="1:26" ht="39.6" hidden="1" outlineLevel="1" x14ac:dyDescent="0.3">
      <c r="A15" s="554"/>
      <c r="B15" s="555">
        <v>10</v>
      </c>
      <c r="C15" s="556" t="s">
        <v>395</v>
      </c>
      <c r="D15" s="556" t="s">
        <v>1438</v>
      </c>
      <c r="E15" s="556" t="s">
        <v>953</v>
      </c>
      <c r="F15" s="556" t="s">
        <v>190</v>
      </c>
      <c r="G15" s="556" t="s">
        <v>401</v>
      </c>
      <c r="H15" s="556" t="s">
        <v>402</v>
      </c>
      <c r="I15" s="556"/>
      <c r="J15" s="558"/>
      <c r="K15" s="557"/>
      <c r="L15" s="557"/>
      <c r="M15" s="557"/>
      <c r="N15" s="556"/>
      <c r="O15" s="557"/>
      <c r="P15" s="556"/>
      <c r="Q15" s="557"/>
      <c r="R15" s="556"/>
      <c r="T15" s="559" t="s">
        <v>1033</v>
      </c>
      <c r="U15" s="556" t="s">
        <v>400</v>
      </c>
      <c r="W15" s="559"/>
      <c r="X15" s="556"/>
      <c r="Z15" s="883"/>
    </row>
    <row r="16" spans="1:26" ht="52.8" hidden="1" x14ac:dyDescent="0.3">
      <c r="A16" s="795"/>
      <c r="B16" s="548">
        <v>11</v>
      </c>
      <c r="C16" s="549" t="s">
        <v>396</v>
      </c>
      <c r="D16" s="549" t="s">
        <v>1089</v>
      </c>
      <c r="E16" s="549" t="s">
        <v>953</v>
      </c>
      <c r="F16" s="549" t="s">
        <v>190</v>
      </c>
      <c r="G16" s="549" t="s">
        <v>1459</v>
      </c>
      <c r="H16" s="549"/>
      <c r="I16" s="548" t="s">
        <v>13</v>
      </c>
      <c r="J16" s="550"/>
      <c r="K16" s="548" t="s">
        <v>13</v>
      </c>
      <c r="L16" s="553" t="s">
        <v>1441</v>
      </c>
      <c r="M16" s="548"/>
      <c r="N16" s="549"/>
      <c r="O16" s="548"/>
      <c r="P16" s="875"/>
      <c r="Q16" s="548"/>
      <c r="R16" s="875"/>
      <c r="T16" s="549" t="s">
        <v>1514</v>
      </c>
      <c r="U16" s="549" t="s">
        <v>1523</v>
      </c>
      <c r="W16" s="559"/>
      <c r="X16" s="1023"/>
      <c r="Z16" s="883"/>
    </row>
    <row r="17" spans="1:26" ht="39.6" x14ac:dyDescent="0.3">
      <c r="A17" s="795"/>
      <c r="B17" s="548">
        <v>12</v>
      </c>
      <c r="C17" s="549" t="s">
        <v>395</v>
      </c>
      <c r="D17" s="549" t="s">
        <v>932</v>
      </c>
      <c r="E17" s="549" t="s">
        <v>953</v>
      </c>
      <c r="F17" s="549" t="s">
        <v>403</v>
      </c>
      <c r="G17" s="549" t="s">
        <v>404</v>
      </c>
      <c r="H17" s="549"/>
      <c r="I17" s="548" t="s">
        <v>13</v>
      </c>
      <c r="J17" s="550"/>
      <c r="K17" s="548"/>
      <c r="L17" s="875"/>
      <c r="M17" s="548" t="s">
        <v>13</v>
      </c>
      <c r="N17" s="549"/>
      <c r="O17" s="548" t="s">
        <v>13</v>
      </c>
      <c r="P17" s="875"/>
      <c r="Q17" s="548"/>
      <c r="R17" s="875"/>
      <c r="T17" s="549" t="s">
        <v>1514</v>
      </c>
      <c r="U17" s="549" t="s">
        <v>1524</v>
      </c>
      <c r="W17" s="1022"/>
      <c r="X17" s="1023"/>
      <c r="Z17" s="883" t="s">
        <v>13</v>
      </c>
    </row>
    <row r="18" spans="1:26" ht="39.6" x14ac:dyDescent="0.3">
      <c r="A18" s="795"/>
      <c r="B18" s="548">
        <v>13</v>
      </c>
      <c r="C18" s="549" t="s">
        <v>395</v>
      </c>
      <c r="D18" s="549" t="s">
        <v>1399</v>
      </c>
      <c r="E18" s="549" t="s">
        <v>953</v>
      </c>
      <c r="F18" s="549" t="s">
        <v>403</v>
      </c>
      <c r="G18" s="549" t="s">
        <v>404</v>
      </c>
      <c r="H18" s="549"/>
      <c r="I18" s="548" t="s">
        <v>13</v>
      </c>
      <c r="J18" s="550"/>
      <c r="K18" s="548"/>
      <c r="L18" s="875"/>
      <c r="M18" s="548" t="s">
        <v>13</v>
      </c>
      <c r="N18" s="549"/>
      <c r="O18" s="548" t="s">
        <v>13</v>
      </c>
      <c r="P18" s="875"/>
      <c r="Q18" s="548"/>
      <c r="R18" s="875"/>
      <c r="T18" s="549" t="s">
        <v>1514</v>
      </c>
      <c r="U18" s="549" t="s">
        <v>1525</v>
      </c>
      <c r="W18" s="1022"/>
      <c r="X18" s="1023"/>
      <c r="Z18" s="883" t="s">
        <v>13</v>
      </c>
    </row>
    <row r="19" spans="1:26" ht="39.6" x14ac:dyDescent="0.3">
      <c r="A19" s="795"/>
      <c r="B19" s="548">
        <v>14</v>
      </c>
      <c r="C19" s="549" t="s">
        <v>392</v>
      </c>
      <c r="D19" s="549" t="s">
        <v>915</v>
      </c>
      <c r="E19" s="549" t="s">
        <v>953</v>
      </c>
      <c r="F19" s="549" t="s">
        <v>403</v>
      </c>
      <c r="G19" s="549" t="s">
        <v>1040</v>
      </c>
      <c r="H19" s="549"/>
      <c r="I19" s="548" t="s">
        <v>13</v>
      </c>
      <c r="J19" s="550"/>
      <c r="K19" s="548"/>
      <c r="L19" s="875"/>
      <c r="M19" s="548" t="s">
        <v>13</v>
      </c>
      <c r="N19" s="549"/>
      <c r="O19" s="879" t="s">
        <v>13</v>
      </c>
      <c r="P19" s="560"/>
      <c r="Q19" s="879"/>
      <c r="R19" s="560"/>
      <c r="T19" s="549" t="s">
        <v>1514</v>
      </c>
      <c r="U19" s="549" t="s">
        <v>1526</v>
      </c>
      <c r="W19" s="1022"/>
      <c r="X19" s="1023"/>
      <c r="Z19" s="883" t="s">
        <v>13</v>
      </c>
    </row>
    <row r="20" spans="1:26" ht="39.6" hidden="1" x14ac:dyDescent="0.3">
      <c r="A20" s="795"/>
      <c r="B20" s="548">
        <v>15</v>
      </c>
      <c r="C20" s="549" t="s">
        <v>398</v>
      </c>
      <c r="D20" s="549" t="s">
        <v>1090</v>
      </c>
      <c r="E20" s="549" t="s">
        <v>953</v>
      </c>
      <c r="F20" s="549" t="s">
        <v>405</v>
      </c>
      <c r="G20" s="549" t="s">
        <v>188</v>
      </c>
      <c r="H20" s="553" t="s">
        <v>1400</v>
      </c>
      <c r="I20" s="548"/>
      <c r="J20" s="550"/>
      <c r="K20" s="548"/>
      <c r="L20" s="875"/>
      <c r="M20" s="548"/>
      <c r="N20" s="549"/>
      <c r="O20" s="548"/>
      <c r="P20" s="549"/>
      <c r="Q20" s="548"/>
      <c r="R20" s="549"/>
      <c r="T20" s="549" t="s">
        <v>1514</v>
      </c>
      <c r="U20" s="549" t="s">
        <v>1527</v>
      </c>
      <c r="W20" s="559" t="s">
        <v>1033</v>
      </c>
      <c r="X20" s="576" t="s">
        <v>1508</v>
      </c>
      <c r="Z20" s="883"/>
    </row>
    <row r="21" spans="1:26" ht="39.6" hidden="1" collapsed="1" x14ac:dyDescent="0.3">
      <c r="A21" s="795"/>
      <c r="B21" s="548">
        <v>16</v>
      </c>
      <c r="C21" s="549" t="s">
        <v>406</v>
      </c>
      <c r="D21" s="549" t="s">
        <v>1091</v>
      </c>
      <c r="E21" s="549" t="s">
        <v>953</v>
      </c>
      <c r="F21" s="549" t="s">
        <v>405</v>
      </c>
      <c r="G21" s="549" t="s">
        <v>1041</v>
      </c>
      <c r="H21" s="552" t="s">
        <v>1079</v>
      </c>
      <c r="I21" s="548"/>
      <c r="J21" s="873"/>
      <c r="K21" s="548"/>
      <c r="L21" s="875"/>
      <c r="M21" s="548"/>
      <c r="N21" s="549"/>
      <c r="O21" s="877"/>
      <c r="P21" s="878"/>
      <c r="Q21" s="877"/>
      <c r="R21" s="878"/>
      <c r="T21" s="549" t="s">
        <v>1514</v>
      </c>
      <c r="U21" s="549" t="s">
        <v>1528</v>
      </c>
      <c r="W21" s="559" t="s">
        <v>1033</v>
      </c>
      <c r="X21" s="1023" t="s">
        <v>400</v>
      </c>
      <c r="Z21" s="883"/>
    </row>
    <row r="22" spans="1:26" ht="39.6" hidden="1" outlineLevel="1" x14ac:dyDescent="0.3">
      <c r="A22" s="554"/>
      <c r="B22" s="555">
        <v>17</v>
      </c>
      <c r="C22" s="556" t="s">
        <v>396</v>
      </c>
      <c r="D22" s="556" t="s">
        <v>1436</v>
      </c>
      <c r="E22" s="556" t="s">
        <v>953</v>
      </c>
      <c r="F22" s="556" t="s">
        <v>407</v>
      </c>
      <c r="G22" s="556" t="s">
        <v>408</v>
      </c>
      <c r="H22" s="556" t="s">
        <v>409</v>
      </c>
      <c r="I22" s="557"/>
      <c r="J22" s="558"/>
      <c r="K22" s="557"/>
      <c r="L22" s="557"/>
      <c r="M22" s="557"/>
      <c r="N22" s="556"/>
      <c r="O22" s="557"/>
      <c r="P22" s="556"/>
      <c r="Q22" s="557"/>
      <c r="R22" s="556"/>
      <c r="T22" s="559" t="s">
        <v>1033</v>
      </c>
      <c r="U22" s="556" t="s">
        <v>400</v>
      </c>
      <c r="W22" s="559" t="s">
        <v>1033</v>
      </c>
      <c r="X22" s="556" t="s">
        <v>400</v>
      </c>
      <c r="Z22" s="883"/>
    </row>
    <row r="23" spans="1:26" ht="52.8" hidden="1" x14ac:dyDescent="0.3">
      <c r="A23" s="554"/>
      <c r="B23" s="548">
        <v>19</v>
      </c>
      <c r="C23" s="549" t="s">
        <v>395</v>
      </c>
      <c r="D23" s="549" t="s">
        <v>1092</v>
      </c>
      <c r="E23" s="549" t="s">
        <v>953</v>
      </c>
      <c r="F23" s="549" t="s">
        <v>410</v>
      </c>
      <c r="G23" s="549" t="s">
        <v>1460</v>
      </c>
      <c r="H23" s="549"/>
      <c r="I23" s="548" t="s">
        <v>13</v>
      </c>
      <c r="J23" s="550"/>
      <c r="K23" s="548" t="s">
        <v>13</v>
      </c>
      <c r="L23" s="553" t="s">
        <v>1441</v>
      </c>
      <c r="M23" s="548"/>
      <c r="N23" s="549"/>
      <c r="O23" s="548"/>
      <c r="P23" s="549"/>
      <c r="Q23" s="548"/>
      <c r="R23" s="549"/>
      <c r="T23" s="549" t="s">
        <v>1514</v>
      </c>
      <c r="U23" s="549" t="s">
        <v>1529</v>
      </c>
      <c r="W23" s="559" t="s">
        <v>1033</v>
      </c>
      <c r="X23" s="1023" t="s">
        <v>400</v>
      </c>
      <c r="Z23" s="883"/>
    </row>
    <row r="24" spans="1:26" ht="52.8" hidden="1" x14ac:dyDescent="0.3">
      <c r="A24" s="554"/>
      <c r="B24" s="548">
        <v>20</v>
      </c>
      <c r="C24" s="549" t="s">
        <v>396</v>
      </c>
      <c r="D24" s="549" t="s">
        <v>1093</v>
      </c>
      <c r="E24" s="549" t="s">
        <v>953</v>
      </c>
      <c r="F24" s="549" t="s">
        <v>410</v>
      </c>
      <c r="G24" s="549" t="s">
        <v>1042</v>
      </c>
      <c r="H24" s="549"/>
      <c r="I24" s="548" t="s">
        <v>13</v>
      </c>
      <c r="J24" s="550"/>
      <c r="K24" s="548" t="s">
        <v>13</v>
      </c>
      <c r="L24" s="553" t="s">
        <v>1441</v>
      </c>
      <c r="M24" s="548"/>
      <c r="N24" s="549"/>
      <c r="O24" s="548"/>
      <c r="P24" s="549"/>
      <c r="Q24" s="548"/>
      <c r="R24" s="549"/>
      <c r="T24" s="549" t="s">
        <v>1514</v>
      </c>
      <c r="U24" s="549" t="s">
        <v>1530</v>
      </c>
      <c r="W24" s="559" t="s">
        <v>1033</v>
      </c>
      <c r="X24" s="1023" t="s">
        <v>400</v>
      </c>
      <c r="Z24" s="883"/>
    </row>
    <row r="25" spans="1:26" ht="39.6" hidden="1" x14ac:dyDescent="0.3">
      <c r="A25" s="795"/>
      <c r="B25" s="548">
        <v>21</v>
      </c>
      <c r="C25" s="549" t="s">
        <v>398</v>
      </c>
      <c r="D25" s="549" t="s">
        <v>1094</v>
      </c>
      <c r="E25" s="549" t="s">
        <v>953</v>
      </c>
      <c r="F25" s="549" t="s">
        <v>410</v>
      </c>
      <c r="G25" s="549" t="s">
        <v>1043</v>
      </c>
      <c r="H25" s="549"/>
      <c r="I25" s="548"/>
      <c r="J25" s="550"/>
      <c r="K25" s="548"/>
      <c r="L25" s="885"/>
      <c r="M25" s="548"/>
      <c r="N25" s="549"/>
      <c r="O25" s="548"/>
      <c r="P25" s="549"/>
      <c r="Q25" s="548"/>
      <c r="R25" s="549"/>
      <c r="T25" s="549" t="s">
        <v>1514</v>
      </c>
      <c r="U25" s="549" t="s">
        <v>1531</v>
      </c>
      <c r="W25" s="559" t="s">
        <v>1033</v>
      </c>
      <c r="X25" s="1023" t="s">
        <v>400</v>
      </c>
      <c r="Z25" s="883"/>
    </row>
    <row r="26" spans="1:26" ht="52.8" hidden="1" x14ac:dyDescent="0.3">
      <c r="A26" s="795"/>
      <c r="B26" s="548">
        <v>22</v>
      </c>
      <c r="C26" s="549" t="s">
        <v>411</v>
      </c>
      <c r="D26" s="549" t="s">
        <v>1095</v>
      </c>
      <c r="E26" s="549" t="s">
        <v>953</v>
      </c>
      <c r="F26" s="549" t="s">
        <v>410</v>
      </c>
      <c r="G26" s="549" t="s">
        <v>1044</v>
      </c>
      <c r="H26" s="549"/>
      <c r="I26" s="548" t="s">
        <v>13</v>
      </c>
      <c r="J26" s="550"/>
      <c r="K26" s="548" t="s">
        <v>13</v>
      </c>
      <c r="L26" s="553" t="s">
        <v>1441</v>
      </c>
      <c r="M26" s="548"/>
      <c r="N26" s="549"/>
      <c r="O26" s="879"/>
      <c r="P26" s="880"/>
      <c r="Q26" s="879"/>
      <c r="R26" s="880"/>
      <c r="T26" s="549" t="s">
        <v>1514</v>
      </c>
      <c r="U26" s="549" t="s">
        <v>1532</v>
      </c>
      <c r="W26" s="559" t="s">
        <v>1033</v>
      </c>
      <c r="X26" s="1023" t="s">
        <v>400</v>
      </c>
      <c r="Z26" s="883"/>
    </row>
    <row r="27" spans="1:26" ht="52.8" hidden="1" x14ac:dyDescent="0.3">
      <c r="A27" s="554"/>
      <c r="B27" s="548">
        <v>23</v>
      </c>
      <c r="C27" s="549" t="s">
        <v>395</v>
      </c>
      <c r="D27" s="549" t="s">
        <v>1096</v>
      </c>
      <c r="E27" s="549" t="s">
        <v>954</v>
      </c>
      <c r="F27" s="549" t="s">
        <v>1325</v>
      </c>
      <c r="G27" s="549" t="s">
        <v>1461</v>
      </c>
      <c r="H27" s="549"/>
      <c r="I27" s="548" t="s">
        <v>13</v>
      </c>
      <c r="J27" s="550"/>
      <c r="K27" s="548" t="s">
        <v>13</v>
      </c>
      <c r="L27" s="553" t="s">
        <v>1441</v>
      </c>
      <c r="M27" s="548"/>
      <c r="N27" s="549"/>
      <c r="O27" s="548"/>
      <c r="P27" s="549"/>
      <c r="Q27" s="548"/>
      <c r="R27" s="549"/>
      <c r="T27" s="549" t="s">
        <v>1514</v>
      </c>
      <c r="U27" s="549" t="s">
        <v>1533</v>
      </c>
      <c r="W27" s="559" t="s">
        <v>1033</v>
      </c>
      <c r="X27" s="1023" t="s">
        <v>400</v>
      </c>
      <c r="Z27" s="883"/>
    </row>
    <row r="28" spans="1:26" ht="52.8" hidden="1" x14ac:dyDescent="0.3">
      <c r="A28" s="795"/>
      <c r="B28" s="548">
        <v>24</v>
      </c>
      <c r="C28" s="549" t="s">
        <v>392</v>
      </c>
      <c r="D28" s="549" t="s">
        <v>1097</v>
      </c>
      <c r="E28" s="549" t="s">
        <v>954</v>
      </c>
      <c r="F28" s="549" t="s">
        <v>1327</v>
      </c>
      <c r="G28" s="549" t="s">
        <v>1045</v>
      </c>
      <c r="H28" s="549"/>
      <c r="I28" s="548" t="s">
        <v>13</v>
      </c>
      <c r="J28" s="550"/>
      <c r="K28" s="548" t="s">
        <v>13</v>
      </c>
      <c r="L28" s="553" t="s">
        <v>1441</v>
      </c>
      <c r="M28" s="548"/>
      <c r="N28" s="549"/>
      <c r="O28" s="548"/>
      <c r="P28" s="549"/>
      <c r="Q28" s="548"/>
      <c r="R28" s="549"/>
      <c r="T28" s="549" t="s">
        <v>1514</v>
      </c>
      <c r="U28" s="549" t="s">
        <v>1534</v>
      </c>
      <c r="W28" s="559" t="s">
        <v>1033</v>
      </c>
      <c r="X28" s="1023" t="s">
        <v>400</v>
      </c>
      <c r="Z28" s="883"/>
    </row>
    <row r="29" spans="1:26" ht="39.6" hidden="1" x14ac:dyDescent="0.3">
      <c r="A29" s="795"/>
      <c r="B29" s="548">
        <v>25</v>
      </c>
      <c r="C29" s="549" t="s">
        <v>392</v>
      </c>
      <c r="D29" s="549" t="s">
        <v>1098</v>
      </c>
      <c r="E29" s="549" t="s">
        <v>954</v>
      </c>
      <c r="F29" s="549" t="s">
        <v>397</v>
      </c>
      <c r="G29" s="549" t="s">
        <v>1046</v>
      </c>
      <c r="H29" s="549"/>
      <c r="I29" s="548"/>
      <c r="J29" s="550"/>
      <c r="K29" s="548"/>
      <c r="L29" s="885"/>
      <c r="M29" s="548"/>
      <c r="N29" s="549"/>
      <c r="O29" s="548"/>
      <c r="P29" s="549"/>
      <c r="Q29" s="548"/>
      <c r="R29" s="549"/>
      <c r="T29" s="549" t="s">
        <v>1514</v>
      </c>
      <c r="U29" s="549" t="s">
        <v>1535</v>
      </c>
      <c r="W29" s="559" t="s">
        <v>1033</v>
      </c>
      <c r="X29" s="1023" t="s">
        <v>400</v>
      </c>
      <c r="Z29" s="883"/>
    </row>
    <row r="30" spans="1:26" ht="39.6" hidden="1" x14ac:dyDescent="0.3">
      <c r="B30" s="548">
        <v>26</v>
      </c>
      <c r="C30" s="549" t="s">
        <v>392</v>
      </c>
      <c r="D30" s="549" t="s">
        <v>1099</v>
      </c>
      <c r="E30" s="549" t="s">
        <v>954</v>
      </c>
      <c r="F30" s="549" t="s">
        <v>397</v>
      </c>
      <c r="G30" s="549" t="s">
        <v>1046</v>
      </c>
      <c r="H30" s="549"/>
      <c r="I30" s="548"/>
      <c r="J30" s="550"/>
      <c r="K30" s="548"/>
      <c r="L30" s="885"/>
      <c r="M30" s="548"/>
      <c r="N30" s="549"/>
      <c r="O30" s="548"/>
      <c r="P30" s="549"/>
      <c r="Q30" s="548"/>
      <c r="R30" s="549"/>
      <c r="T30" s="549" t="s">
        <v>1514</v>
      </c>
      <c r="U30" s="549" t="s">
        <v>1536</v>
      </c>
      <c r="W30" s="559" t="s">
        <v>1033</v>
      </c>
      <c r="X30" s="1023" t="s">
        <v>400</v>
      </c>
      <c r="Z30" s="883"/>
    </row>
    <row r="31" spans="1:26" ht="39.6" hidden="1" x14ac:dyDescent="0.3">
      <c r="B31" s="548">
        <v>27</v>
      </c>
      <c r="C31" s="549" t="s">
        <v>427</v>
      </c>
      <c r="D31" s="549" t="s">
        <v>1100</v>
      </c>
      <c r="E31" s="549" t="s">
        <v>955</v>
      </c>
      <c r="F31" s="549" t="s">
        <v>1327</v>
      </c>
      <c r="G31" s="560" t="s">
        <v>1047</v>
      </c>
      <c r="H31" s="549"/>
      <c r="I31" s="548"/>
      <c r="J31" s="550"/>
      <c r="K31" s="548"/>
      <c r="L31" s="885"/>
      <c r="M31" s="548"/>
      <c r="N31" s="549"/>
      <c r="O31" s="881"/>
      <c r="P31" s="878"/>
      <c r="Q31" s="881"/>
      <c r="R31" s="878"/>
      <c r="T31" s="549" t="s">
        <v>1514</v>
      </c>
      <c r="U31" s="549" t="s">
        <v>1537</v>
      </c>
      <c r="W31" s="559" t="s">
        <v>1033</v>
      </c>
      <c r="X31" s="1023" t="s">
        <v>400</v>
      </c>
      <c r="Z31" s="883"/>
    </row>
    <row r="32" spans="1:26" ht="52.8" hidden="1" x14ac:dyDescent="0.3">
      <c r="B32" s="548">
        <v>28</v>
      </c>
      <c r="C32" s="549" t="s">
        <v>427</v>
      </c>
      <c r="D32" s="549" t="s">
        <v>1337</v>
      </c>
      <c r="E32" s="549" t="s">
        <v>958</v>
      </c>
      <c r="F32" s="549" t="s">
        <v>1325</v>
      </c>
      <c r="G32" s="560" t="s">
        <v>1048</v>
      </c>
      <c r="H32" s="549"/>
      <c r="I32" s="548" t="s">
        <v>13</v>
      </c>
      <c r="J32" s="550"/>
      <c r="K32" s="548" t="s">
        <v>13</v>
      </c>
      <c r="L32" s="553" t="s">
        <v>1441</v>
      </c>
      <c r="M32" s="548"/>
      <c r="N32" s="549"/>
      <c r="O32" s="876"/>
      <c r="P32" s="882"/>
      <c r="Q32" s="876"/>
      <c r="R32" s="882"/>
      <c r="T32" s="549" t="s">
        <v>1514</v>
      </c>
      <c r="U32" s="549" t="s">
        <v>1538</v>
      </c>
      <c r="W32" s="559" t="s">
        <v>1033</v>
      </c>
      <c r="X32" s="1023" t="s">
        <v>400</v>
      </c>
      <c r="Z32" s="883"/>
    </row>
    <row r="33" spans="2:26" ht="39.6" hidden="1" x14ac:dyDescent="0.3">
      <c r="B33" s="548">
        <v>29</v>
      </c>
      <c r="C33" s="549" t="s">
        <v>395</v>
      </c>
      <c r="D33" s="549" t="s">
        <v>1341</v>
      </c>
      <c r="E33" s="549" t="s">
        <v>956</v>
      </c>
      <c r="F33" s="549" t="s">
        <v>1338</v>
      </c>
      <c r="G33" s="560" t="s">
        <v>1049</v>
      </c>
      <c r="H33" s="549"/>
      <c r="I33" s="548"/>
      <c r="J33" s="550"/>
      <c r="K33" s="548"/>
      <c r="L33" s="885"/>
      <c r="M33" s="548"/>
      <c r="N33" s="549"/>
      <c r="O33" s="548"/>
      <c r="P33" s="549"/>
      <c r="Q33" s="548"/>
      <c r="R33" s="549"/>
      <c r="T33" s="549" t="s">
        <v>1514</v>
      </c>
      <c r="U33" s="549" t="s">
        <v>1539</v>
      </c>
      <c r="W33" s="559" t="s">
        <v>1033</v>
      </c>
      <c r="X33" s="1023" t="s">
        <v>400</v>
      </c>
      <c r="Z33" s="883"/>
    </row>
    <row r="34" spans="2:26" ht="52.8" hidden="1" x14ac:dyDescent="0.3">
      <c r="B34" s="548">
        <v>30</v>
      </c>
      <c r="C34" s="549" t="s">
        <v>395</v>
      </c>
      <c r="D34" s="549" t="s">
        <v>1343</v>
      </c>
      <c r="E34" s="549" t="s">
        <v>957</v>
      </c>
      <c r="F34" s="549" t="s">
        <v>1342</v>
      </c>
      <c r="G34" s="560" t="s">
        <v>1050</v>
      </c>
      <c r="H34" s="552" t="s">
        <v>1038</v>
      </c>
      <c r="I34" s="548" t="s">
        <v>13</v>
      </c>
      <c r="J34" s="550"/>
      <c r="K34" s="548" t="s">
        <v>13</v>
      </c>
      <c r="L34" s="553" t="s">
        <v>1441</v>
      </c>
      <c r="M34" s="548"/>
      <c r="N34" s="549"/>
      <c r="O34" s="548"/>
      <c r="P34" s="549"/>
      <c r="Q34" s="548"/>
      <c r="R34" s="549"/>
      <c r="T34" s="549" t="s">
        <v>1514</v>
      </c>
      <c r="U34" s="549" t="s">
        <v>1540</v>
      </c>
      <c r="W34" s="559" t="s">
        <v>1033</v>
      </c>
      <c r="X34" s="1023" t="s">
        <v>400</v>
      </c>
      <c r="Z34" s="883"/>
    </row>
    <row r="35" spans="2:26" x14ac:dyDescent="0.3">
      <c r="I35" s="561"/>
      <c r="J35" s="562"/>
      <c r="K35" s="561"/>
      <c r="L35" s="562"/>
      <c r="M35" s="561"/>
      <c r="N35" s="562"/>
      <c r="O35" s="561"/>
      <c r="P35" s="562"/>
      <c r="Q35" s="561"/>
      <c r="R35" s="562"/>
    </row>
    <row r="36" spans="2:26" x14ac:dyDescent="0.3">
      <c r="I36" s="563"/>
      <c r="J36" s="564"/>
      <c r="K36" s="563"/>
      <c r="L36" s="564"/>
      <c r="M36" s="563"/>
      <c r="N36" s="564"/>
      <c r="O36" s="563"/>
      <c r="P36" s="564"/>
      <c r="Q36" s="563"/>
      <c r="R36" s="564"/>
    </row>
  </sheetData>
  <autoFilter ref="B5:Z34"/>
  <mergeCells count="2">
    <mergeCell ref="T3:U3"/>
    <mergeCell ref="W3:X3"/>
  </mergeCells>
  <conditionalFormatting sqref="I6:J13 J14:J15 I16:J34 M6:M34 O6:O34 K6:K34 Q6:Q34">
    <cfRule type="expression" dxfId="4" priority="6">
      <formula>I6 ="X"</formula>
    </cfRule>
  </conditionalFormatting>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sheetPr>
  <dimension ref="A1:AK78"/>
  <sheetViews>
    <sheetView zoomScale="85" zoomScaleNormal="85" workbookViewId="0"/>
  </sheetViews>
  <sheetFormatPr defaultColWidth="9.109375" defaultRowHeight="13.8" x14ac:dyDescent="0.3"/>
  <cols>
    <col min="1" max="1" width="3.6640625" style="369" customWidth="1"/>
    <col min="2" max="2" width="27.5546875" style="85" customWidth="1"/>
    <col min="3" max="3" width="23.44140625" style="371" customWidth="1"/>
    <col min="4" max="4" width="2.6640625" style="378" customWidth="1"/>
    <col min="5" max="5" width="28.109375" style="378" bestFit="1" customWidth="1"/>
    <col min="6" max="6" width="2.6640625" style="378" customWidth="1"/>
    <col min="7" max="7" width="20.44140625" style="378" customWidth="1"/>
    <col min="8" max="8" width="2.6640625" style="378" customWidth="1"/>
    <col min="9" max="9" width="23" style="372" customWidth="1"/>
    <col min="10" max="10" width="2.6640625" style="378" customWidth="1"/>
    <col min="11" max="11" width="30.44140625" style="372" customWidth="1"/>
    <col min="12" max="12" width="2.6640625" style="378" customWidth="1"/>
    <col min="13" max="13" width="31.44140625" style="372" customWidth="1"/>
    <col min="14" max="14" width="2.6640625" style="378" customWidth="1"/>
    <col min="15" max="15" width="30.6640625" style="372" customWidth="1"/>
    <col min="16" max="16" width="2.6640625" style="378" customWidth="1"/>
    <col min="17" max="17" width="30.6640625" style="372" customWidth="1"/>
    <col min="18" max="18" width="2.6640625" style="372" customWidth="1"/>
    <col min="19" max="19" width="18.109375" style="378" customWidth="1"/>
    <col min="20" max="20" width="9.109375" style="378"/>
    <col min="21" max="21" width="16.88671875" style="378" customWidth="1"/>
    <col min="22" max="22" width="16" style="378" customWidth="1"/>
    <col min="23" max="16384" width="9.109375" style="378"/>
  </cols>
  <sheetData>
    <row r="1" spans="1:19" x14ac:dyDescent="0.3">
      <c r="A1" s="67"/>
      <c r="B1" s="67"/>
      <c r="C1" s="67"/>
      <c r="D1" s="67"/>
      <c r="E1" s="67"/>
      <c r="F1" s="67"/>
      <c r="G1" s="67"/>
      <c r="H1" s="67"/>
      <c r="I1" s="72"/>
      <c r="J1" s="67"/>
      <c r="K1" s="72"/>
      <c r="L1" s="67"/>
      <c r="M1" s="72"/>
      <c r="N1" s="67"/>
      <c r="O1" s="72"/>
      <c r="P1" s="67"/>
      <c r="Q1" s="72"/>
      <c r="R1" s="72"/>
      <c r="S1" s="67"/>
    </row>
    <row r="2" spans="1:19" s="369" customFormat="1" x14ac:dyDescent="0.3">
      <c r="B2" s="567" t="s">
        <v>5</v>
      </c>
      <c r="C2" s="567"/>
      <c r="D2" s="574"/>
      <c r="E2" s="567" t="s">
        <v>6</v>
      </c>
      <c r="F2" s="76"/>
      <c r="I2" s="66"/>
      <c r="J2" s="567"/>
      <c r="K2" s="568" t="s">
        <v>1101</v>
      </c>
      <c r="M2" s="66"/>
      <c r="O2" s="66"/>
      <c r="Q2" s="66"/>
      <c r="R2" s="66"/>
    </row>
    <row r="3" spans="1:19" s="369" customFormat="1" ht="14.4" x14ac:dyDescent="0.3">
      <c r="B3" s="369" t="s">
        <v>0</v>
      </c>
      <c r="C3" s="88" t="s">
        <v>1094</v>
      </c>
      <c r="E3" s="369" t="s">
        <v>8</v>
      </c>
      <c r="G3" s="88"/>
      <c r="I3" s="66"/>
      <c r="J3" s="569"/>
      <c r="K3" s="369" t="s">
        <v>1102</v>
      </c>
      <c r="M3" s="66"/>
      <c r="O3" s="66"/>
      <c r="Q3" s="66"/>
      <c r="R3" s="66"/>
    </row>
    <row r="4" spans="1:19" s="369" customFormat="1" x14ac:dyDescent="0.3">
      <c r="B4" s="369" t="s">
        <v>1</v>
      </c>
      <c r="C4" s="369" t="str">
        <f>C3&amp;".cibd16"</f>
        <v>080006S-Whse-Run21.cibd16</v>
      </c>
      <c r="E4" s="369" t="s">
        <v>110</v>
      </c>
      <c r="G4" s="369" t="str">
        <f>'Documentation Main Sheet'!I3</f>
        <v>Release package</v>
      </c>
      <c r="I4" s="66"/>
      <c r="J4" s="570">
        <v>1</v>
      </c>
      <c r="K4" s="378" t="s">
        <v>1103</v>
      </c>
      <c r="M4" s="66"/>
      <c r="O4" s="66"/>
      <c r="Q4" s="66"/>
      <c r="R4" s="66"/>
    </row>
    <row r="5" spans="1:19" s="369" customFormat="1" x14ac:dyDescent="0.3">
      <c r="B5" s="369" t="s">
        <v>54</v>
      </c>
      <c r="C5" s="369" t="s">
        <v>56</v>
      </c>
      <c r="E5" s="369" t="s">
        <v>7</v>
      </c>
      <c r="G5" s="369" t="str">
        <f>'Documentation Main Sheet'!I4</f>
        <v>CBECC-Com 209.1.0 release</v>
      </c>
      <c r="I5" s="66"/>
      <c r="J5" s="571">
        <v>1</v>
      </c>
      <c r="K5" s="378" t="s">
        <v>1103</v>
      </c>
      <c r="M5" s="66"/>
      <c r="O5" s="66"/>
      <c r="Q5" s="66"/>
      <c r="R5" s="66"/>
      <c r="S5" s="62"/>
    </row>
    <row r="6" spans="1:19" s="369" customFormat="1" x14ac:dyDescent="0.3">
      <c r="B6" s="369" t="s">
        <v>390</v>
      </c>
      <c r="C6" s="85" t="s">
        <v>398</v>
      </c>
      <c r="E6" s="369" t="s">
        <v>2</v>
      </c>
      <c r="G6" s="62"/>
      <c r="I6" s="66"/>
      <c r="J6" s="572">
        <v>1</v>
      </c>
      <c r="K6" s="381" t="s">
        <v>1104</v>
      </c>
      <c r="M6" s="62"/>
      <c r="O6" s="62"/>
      <c r="Q6" s="62"/>
      <c r="R6" s="62"/>
    </row>
    <row r="7" spans="1:19" s="369" customFormat="1" x14ac:dyDescent="0.3">
      <c r="B7" s="369" t="s">
        <v>432</v>
      </c>
      <c r="C7" s="85" t="s">
        <v>410</v>
      </c>
      <c r="E7" s="369" t="s">
        <v>3</v>
      </c>
      <c r="G7" s="369" t="str">
        <f>'Documentation Main Sheet'!I6</f>
        <v>Jireh Peng</v>
      </c>
      <c r="I7" s="66"/>
      <c r="J7" s="573">
        <v>1</v>
      </c>
      <c r="K7" s="378" t="s">
        <v>1105</v>
      </c>
    </row>
    <row r="8" spans="1:19" s="369" customFormat="1" x14ac:dyDescent="0.3">
      <c r="B8" s="369" t="s">
        <v>952</v>
      </c>
      <c r="C8" s="85" t="s">
        <v>953</v>
      </c>
      <c r="I8" s="381"/>
      <c r="J8" s="796">
        <v>1</v>
      </c>
      <c r="K8" s="369" t="s">
        <v>1396</v>
      </c>
      <c r="M8" s="381"/>
      <c r="O8" s="381"/>
      <c r="Q8" s="381"/>
      <c r="R8" s="381"/>
    </row>
    <row r="9" spans="1:19" s="369" customFormat="1" x14ac:dyDescent="0.3">
      <c r="I9" s="66"/>
      <c r="K9" s="66"/>
      <c r="M9" s="66"/>
      <c r="O9" s="66"/>
      <c r="Q9" s="66"/>
      <c r="R9" s="66"/>
    </row>
    <row r="10" spans="1:19" s="87" customFormat="1" x14ac:dyDescent="0.3">
      <c r="A10" s="288"/>
      <c r="B10" s="341" t="s">
        <v>37</v>
      </c>
      <c r="C10" s="288"/>
      <c r="D10" s="288"/>
      <c r="E10" s="288"/>
      <c r="F10" s="288"/>
      <c r="G10" s="288"/>
      <c r="H10" s="288"/>
      <c r="I10" s="288"/>
      <c r="J10" s="288"/>
      <c r="K10" s="288"/>
      <c r="L10" s="288"/>
      <c r="M10" s="288"/>
      <c r="N10" s="288"/>
      <c r="O10" s="288"/>
      <c r="P10" s="288"/>
      <c r="Q10" s="288"/>
      <c r="R10" s="288"/>
      <c r="S10" s="288"/>
    </row>
    <row r="11" spans="1:19" s="82" customFormat="1" x14ac:dyDescent="0.3">
      <c r="A11" s="70"/>
      <c r="B11" s="48" t="s">
        <v>517</v>
      </c>
      <c r="D11" s="84"/>
      <c r="F11" s="84"/>
      <c r="H11" s="84"/>
      <c r="J11" s="84"/>
      <c r="L11" s="84"/>
      <c r="N11" s="84"/>
      <c r="P11" s="84"/>
      <c r="R11" s="66"/>
      <c r="S11" s="369"/>
    </row>
    <row r="12" spans="1:19" s="36" customFormat="1" ht="41.4" x14ac:dyDescent="0.3">
      <c r="B12" s="189" t="s">
        <v>605</v>
      </c>
      <c r="C12" s="113" t="s">
        <v>518</v>
      </c>
      <c r="D12" s="125"/>
      <c r="E12" s="110" t="s">
        <v>137</v>
      </c>
      <c r="F12" s="113"/>
      <c r="G12" s="110" t="s">
        <v>186</v>
      </c>
      <c r="H12" s="125"/>
      <c r="I12" s="142" t="s">
        <v>510</v>
      </c>
      <c r="J12" s="113"/>
      <c r="K12" s="142" t="s">
        <v>509</v>
      </c>
      <c r="L12" s="207"/>
      <c r="M12" s="142" t="s">
        <v>508</v>
      </c>
      <c r="N12" s="369"/>
      <c r="O12" s="369"/>
      <c r="P12" s="369"/>
      <c r="Q12" s="369"/>
      <c r="R12" s="66"/>
      <c r="S12" s="369"/>
    </row>
    <row r="13" spans="1:19" s="82" customFormat="1" ht="14.4" thickBot="1" x14ac:dyDescent="0.35">
      <c r="B13" s="173" t="s">
        <v>259</v>
      </c>
      <c r="C13" s="171" t="s">
        <v>258</v>
      </c>
      <c r="D13" s="178"/>
      <c r="E13" s="174" t="s">
        <v>260</v>
      </c>
      <c r="F13" s="172"/>
      <c r="G13" s="174" t="s">
        <v>261</v>
      </c>
      <c r="H13" s="208"/>
      <c r="I13" s="174" t="s">
        <v>646</v>
      </c>
      <c r="J13" s="205"/>
      <c r="K13" s="174" t="s">
        <v>647</v>
      </c>
      <c r="L13" s="208"/>
      <c r="M13" s="174" t="s">
        <v>1387</v>
      </c>
      <c r="N13" s="84"/>
      <c r="P13" s="84"/>
      <c r="R13" s="66"/>
      <c r="S13" s="369"/>
    </row>
    <row r="14" spans="1:19" s="369" customFormat="1" ht="14.4" thickTop="1" x14ac:dyDescent="0.3">
      <c r="B14" s="124" t="s">
        <v>215</v>
      </c>
      <c r="C14" s="85" t="s">
        <v>222</v>
      </c>
      <c r="D14" s="136"/>
      <c r="E14" s="197" t="s">
        <v>167</v>
      </c>
      <c r="F14" s="176"/>
      <c r="G14" s="197" t="s">
        <v>214</v>
      </c>
      <c r="H14" s="134"/>
      <c r="I14" s="378">
        <v>55</v>
      </c>
      <c r="J14" s="145"/>
      <c r="K14" s="197">
        <v>95</v>
      </c>
      <c r="L14" s="134"/>
      <c r="M14" s="274" t="s">
        <v>300</v>
      </c>
      <c r="R14" s="66"/>
    </row>
    <row r="15" spans="1:19" s="369" customFormat="1" x14ac:dyDescent="0.3">
      <c r="B15" s="124" t="s">
        <v>216</v>
      </c>
      <c r="C15" s="85" t="s">
        <v>223</v>
      </c>
      <c r="D15" s="136"/>
      <c r="E15" s="197" t="s">
        <v>167</v>
      </c>
      <c r="F15" s="176"/>
      <c r="G15" s="197" t="s">
        <v>214</v>
      </c>
      <c r="H15" s="409" t="s">
        <v>14</v>
      </c>
      <c r="I15" s="410" t="s">
        <v>14</v>
      </c>
      <c r="J15" s="145"/>
      <c r="K15" s="197">
        <v>95</v>
      </c>
      <c r="L15" s="136"/>
      <c r="M15" s="197" t="s">
        <v>300</v>
      </c>
      <c r="R15" s="66"/>
    </row>
    <row r="16" spans="1:19" x14ac:dyDescent="0.3">
      <c r="A16" s="378"/>
      <c r="B16" s="175" t="s">
        <v>217</v>
      </c>
      <c r="C16" s="150" t="s">
        <v>224</v>
      </c>
      <c r="D16" s="153"/>
      <c r="E16" s="199" t="s">
        <v>167</v>
      </c>
      <c r="F16" s="169"/>
      <c r="G16" s="199" t="s">
        <v>214</v>
      </c>
      <c r="H16" s="411" t="s">
        <v>14</v>
      </c>
      <c r="I16" s="412" t="s">
        <v>14</v>
      </c>
      <c r="J16" s="154"/>
      <c r="K16" s="199">
        <v>95</v>
      </c>
      <c r="L16" s="153"/>
      <c r="M16" s="199" t="s">
        <v>300</v>
      </c>
      <c r="R16" s="66"/>
      <c r="S16" s="369"/>
    </row>
    <row r="17" spans="2:21" s="369" customFormat="1" x14ac:dyDescent="0.3">
      <c r="B17" s="77"/>
      <c r="C17" s="29"/>
      <c r="H17" s="29"/>
      <c r="R17" s="66"/>
    </row>
    <row r="18" spans="2:21" s="82" customFormat="1" x14ac:dyDescent="0.3">
      <c r="B18" s="83"/>
      <c r="D18" s="84"/>
      <c r="F18" s="84"/>
      <c r="H18" s="84"/>
      <c r="J18" s="84"/>
      <c r="L18" s="84"/>
      <c r="P18" s="369"/>
      <c r="Q18" s="369"/>
      <c r="R18" s="66"/>
      <c r="S18" s="369"/>
    </row>
    <row r="19" spans="2:21" s="369" customFormat="1" ht="27.6" x14ac:dyDescent="0.3">
      <c r="B19" s="125" t="s">
        <v>518</v>
      </c>
      <c r="C19" s="113" t="s">
        <v>502</v>
      </c>
      <c r="D19" s="189"/>
      <c r="E19" s="110" t="s">
        <v>137</v>
      </c>
      <c r="F19" s="189"/>
      <c r="G19" s="168" t="s">
        <v>503</v>
      </c>
      <c r="H19" s="189"/>
      <c r="I19" s="168" t="s">
        <v>1125</v>
      </c>
      <c r="J19" s="189"/>
      <c r="K19" s="110" t="s">
        <v>204</v>
      </c>
      <c r="L19" s="182"/>
      <c r="M19" s="110" t="s">
        <v>1053</v>
      </c>
      <c r="N19" s="442"/>
      <c r="O19" s="110" t="s">
        <v>1054</v>
      </c>
      <c r="P19" s="441"/>
      <c r="Q19" s="110" t="s">
        <v>1055</v>
      </c>
    </row>
    <row r="20" spans="2:21" s="369" customFormat="1" ht="14.4" thickBot="1" x14ac:dyDescent="0.35">
      <c r="B20" s="173" t="s">
        <v>280</v>
      </c>
      <c r="C20" s="171" t="s">
        <v>262</v>
      </c>
      <c r="D20" s="178"/>
      <c r="E20" s="174" t="s">
        <v>264</v>
      </c>
      <c r="F20" s="178"/>
      <c r="G20" s="171" t="s">
        <v>933</v>
      </c>
      <c r="H20" s="178"/>
      <c r="I20" s="171" t="s">
        <v>1126</v>
      </c>
      <c r="J20" s="178"/>
      <c r="K20" s="174"/>
      <c r="L20" s="184"/>
      <c r="M20" s="343" t="s">
        <v>629</v>
      </c>
      <c r="N20" s="173"/>
      <c r="O20" s="325" t="s">
        <v>630</v>
      </c>
      <c r="P20" s="171"/>
      <c r="Q20" s="344" t="s">
        <v>631</v>
      </c>
    </row>
    <row r="21" spans="2:21" s="82" customFormat="1" ht="14.4" thickTop="1" x14ac:dyDescent="0.3">
      <c r="B21" s="284" t="s">
        <v>222</v>
      </c>
      <c r="C21" s="150" t="s">
        <v>225</v>
      </c>
      <c r="D21" s="153"/>
      <c r="E21" s="188" t="s">
        <v>173</v>
      </c>
      <c r="F21" s="153"/>
      <c r="G21" s="150">
        <v>11.2</v>
      </c>
      <c r="H21" s="153"/>
      <c r="I21" s="186">
        <v>12.9</v>
      </c>
      <c r="J21" s="347" t="s">
        <v>14</v>
      </c>
      <c r="K21" s="281" t="s">
        <v>14</v>
      </c>
      <c r="L21" s="359"/>
      <c r="M21" s="261" t="s">
        <v>454</v>
      </c>
      <c r="N21" s="359"/>
      <c r="O21" s="257" t="s">
        <v>530</v>
      </c>
      <c r="P21" s="499"/>
      <c r="Q21" s="257" t="s">
        <v>281</v>
      </c>
      <c r="R21" s="369"/>
      <c r="S21" s="369"/>
      <c r="T21" s="66"/>
      <c r="U21" s="369"/>
    </row>
    <row r="22" spans="2:21" s="82" customFormat="1" x14ac:dyDescent="0.3">
      <c r="B22" s="83"/>
      <c r="D22" s="84"/>
      <c r="F22" s="84"/>
      <c r="H22" s="84"/>
      <c r="J22" s="84"/>
      <c r="L22" s="84"/>
      <c r="P22" s="369"/>
      <c r="Q22" s="369"/>
      <c r="R22" s="66"/>
      <c r="S22" s="369"/>
    </row>
    <row r="23" spans="2:21" s="82" customFormat="1" x14ac:dyDescent="0.3">
      <c r="B23" s="83"/>
      <c r="D23" s="84"/>
      <c r="F23" s="84"/>
      <c r="H23" s="84"/>
      <c r="J23" s="84"/>
      <c r="L23" s="84"/>
      <c r="R23" s="66"/>
      <c r="S23" s="369"/>
    </row>
    <row r="24" spans="2:21" s="369" customFormat="1" ht="27.6" x14ac:dyDescent="0.3">
      <c r="B24" s="125" t="s">
        <v>518</v>
      </c>
      <c r="C24" s="113" t="s">
        <v>504</v>
      </c>
      <c r="D24" s="189"/>
      <c r="E24" s="110" t="s">
        <v>137</v>
      </c>
      <c r="F24" s="168"/>
      <c r="G24" s="168" t="s">
        <v>603</v>
      </c>
      <c r="H24" s="189"/>
      <c r="I24" s="110" t="s">
        <v>204</v>
      </c>
      <c r="J24" s="182"/>
      <c r="K24" s="110" t="s">
        <v>1056</v>
      </c>
    </row>
    <row r="25" spans="2:21" s="369" customFormat="1" ht="14.4" thickBot="1" x14ac:dyDescent="0.35">
      <c r="B25" s="173" t="s">
        <v>282</v>
      </c>
      <c r="C25" s="171" t="s">
        <v>265</v>
      </c>
      <c r="D25" s="178"/>
      <c r="E25" s="174" t="s">
        <v>266</v>
      </c>
      <c r="F25" s="172"/>
      <c r="G25" s="171" t="s">
        <v>267</v>
      </c>
      <c r="H25" s="178"/>
      <c r="I25" s="174"/>
      <c r="J25" s="117"/>
      <c r="K25" s="174" t="s">
        <v>283</v>
      </c>
    </row>
    <row r="26" spans="2:21" s="82" customFormat="1" ht="14.4" thickTop="1" x14ac:dyDescent="0.3">
      <c r="B26" s="123" t="s">
        <v>222</v>
      </c>
      <c r="C26" s="85" t="s">
        <v>226</v>
      </c>
      <c r="D26" s="136"/>
      <c r="E26" s="187" t="s">
        <v>815</v>
      </c>
      <c r="F26" s="176"/>
      <c r="G26" s="468">
        <f>0.0051427*(79)+0.3989</f>
        <v>0.80517329999999998</v>
      </c>
      <c r="H26" s="346" t="s">
        <v>14</v>
      </c>
      <c r="I26" s="283" t="s">
        <v>14</v>
      </c>
      <c r="J26" s="351"/>
      <c r="K26" s="350" t="s">
        <v>284</v>
      </c>
      <c r="L26" s="84"/>
      <c r="R26" s="66"/>
      <c r="S26" s="369"/>
    </row>
    <row r="27" spans="2:21" s="82" customFormat="1" x14ac:dyDescent="0.3">
      <c r="B27" s="123" t="s">
        <v>223</v>
      </c>
      <c r="C27" s="85" t="s">
        <v>227</v>
      </c>
      <c r="D27" s="136"/>
      <c r="E27" s="187" t="s">
        <v>815</v>
      </c>
      <c r="F27" s="176"/>
      <c r="G27" s="468">
        <f>0.0051427*(79)+0.3989</f>
        <v>0.80517329999999998</v>
      </c>
      <c r="H27" s="346" t="s">
        <v>14</v>
      </c>
      <c r="I27" s="283" t="s">
        <v>14</v>
      </c>
      <c r="J27" s="176"/>
      <c r="K27" s="146" t="s">
        <v>284</v>
      </c>
      <c r="L27" s="84"/>
      <c r="R27" s="66"/>
      <c r="S27" s="369"/>
    </row>
    <row r="28" spans="2:21" s="82" customFormat="1" x14ac:dyDescent="0.3">
      <c r="B28" s="149" t="s">
        <v>224</v>
      </c>
      <c r="C28" s="150" t="s">
        <v>228</v>
      </c>
      <c r="D28" s="153"/>
      <c r="E28" s="188" t="s">
        <v>815</v>
      </c>
      <c r="F28" s="169"/>
      <c r="G28" s="844">
        <v>0.81</v>
      </c>
      <c r="H28" s="347" t="s">
        <v>14</v>
      </c>
      <c r="I28" s="281" t="s">
        <v>14</v>
      </c>
      <c r="J28" s="169"/>
      <c r="K28" s="155" t="s">
        <v>284</v>
      </c>
      <c r="L28" s="84"/>
      <c r="R28" s="66"/>
      <c r="S28" s="369"/>
    </row>
    <row r="29" spans="2:21" s="82" customFormat="1" x14ac:dyDescent="0.3">
      <c r="B29" s="83"/>
      <c r="D29" s="84"/>
      <c r="F29" s="84"/>
      <c r="H29" s="84"/>
      <c r="J29" s="84"/>
      <c r="L29" s="84"/>
      <c r="R29" s="66"/>
      <c r="S29" s="369"/>
    </row>
    <row r="30" spans="2:21" s="82" customFormat="1" x14ac:dyDescent="0.3">
      <c r="B30" s="83"/>
      <c r="D30" s="84"/>
      <c r="F30" s="84"/>
      <c r="H30" s="84"/>
      <c r="J30" s="84"/>
      <c r="L30" s="84"/>
      <c r="R30" s="66"/>
      <c r="S30" s="369"/>
    </row>
    <row r="31" spans="2:21" s="369" customFormat="1" ht="27.6" x14ac:dyDescent="0.3">
      <c r="B31" s="125" t="s">
        <v>518</v>
      </c>
      <c r="C31" s="113" t="s">
        <v>506</v>
      </c>
      <c r="D31" s="125"/>
      <c r="E31" s="110" t="s">
        <v>184</v>
      </c>
      <c r="F31" s="113"/>
      <c r="G31" s="168" t="s">
        <v>277</v>
      </c>
      <c r="H31" s="125"/>
      <c r="I31" s="110" t="s">
        <v>183</v>
      </c>
      <c r="J31" s="168"/>
      <c r="K31" s="113" t="s">
        <v>205</v>
      </c>
      <c r="L31" s="189"/>
      <c r="M31" s="110" t="s">
        <v>507</v>
      </c>
      <c r="N31" s="168"/>
      <c r="O31" s="168" t="s">
        <v>206</v>
      </c>
      <c r="P31" s="189"/>
      <c r="Q31" s="110" t="s">
        <v>182</v>
      </c>
    </row>
    <row r="32" spans="2:21" s="369" customFormat="1" ht="14.4" thickBot="1" x14ac:dyDescent="0.35">
      <c r="B32" s="173" t="s">
        <v>282</v>
      </c>
      <c r="C32" s="171" t="s">
        <v>269</v>
      </c>
      <c r="D32" s="178"/>
      <c r="E32" s="174" t="s">
        <v>270</v>
      </c>
      <c r="F32" s="172"/>
      <c r="G32" s="171" t="s">
        <v>271</v>
      </c>
      <c r="H32" s="178"/>
      <c r="I32" s="174" t="s">
        <v>272</v>
      </c>
      <c r="J32" s="172"/>
      <c r="K32" s="171" t="s">
        <v>273</v>
      </c>
      <c r="L32" s="178"/>
      <c r="M32" s="174" t="s">
        <v>274</v>
      </c>
      <c r="N32" s="172"/>
      <c r="O32" s="171" t="s">
        <v>275</v>
      </c>
      <c r="P32" s="178"/>
      <c r="Q32" s="174" t="s">
        <v>276</v>
      </c>
    </row>
    <row r="33" spans="1:24" s="369" customFormat="1" ht="14.4" thickTop="1" x14ac:dyDescent="0.3">
      <c r="B33" s="123" t="s">
        <v>222</v>
      </c>
      <c r="C33" s="85" t="s">
        <v>229</v>
      </c>
      <c r="D33" s="136"/>
      <c r="E33" s="197" t="s">
        <v>185</v>
      </c>
      <c r="F33" s="176"/>
      <c r="G33" s="368" t="s">
        <v>633</v>
      </c>
      <c r="H33" s="136"/>
      <c r="I33" s="845">
        <v>2</v>
      </c>
      <c r="J33" s="345" t="s">
        <v>14</v>
      </c>
      <c r="K33" s="97" t="s">
        <v>14</v>
      </c>
      <c r="L33" s="346" t="s">
        <v>14</v>
      </c>
      <c r="M33" s="283" t="s">
        <v>14</v>
      </c>
      <c r="N33" s="337"/>
      <c r="O33" s="97">
        <v>5</v>
      </c>
      <c r="P33" s="339"/>
      <c r="Q33" s="829">
        <v>0.89</v>
      </c>
    </row>
    <row r="34" spans="1:24" s="369" customFormat="1" x14ac:dyDescent="0.3">
      <c r="B34" s="123" t="s">
        <v>223</v>
      </c>
      <c r="C34" s="85" t="s">
        <v>230</v>
      </c>
      <c r="D34" s="136"/>
      <c r="E34" s="197" t="s">
        <v>185</v>
      </c>
      <c r="F34" s="176"/>
      <c r="G34" s="368" t="s">
        <v>633</v>
      </c>
      <c r="H34" s="136"/>
      <c r="I34" s="845">
        <v>5.5</v>
      </c>
      <c r="J34" s="345" t="s">
        <v>14</v>
      </c>
      <c r="K34" s="97" t="s">
        <v>14</v>
      </c>
      <c r="L34" s="346" t="s">
        <v>14</v>
      </c>
      <c r="M34" s="283" t="s">
        <v>14</v>
      </c>
      <c r="N34" s="337"/>
      <c r="O34" s="97">
        <v>10</v>
      </c>
      <c r="P34" s="339"/>
      <c r="Q34" s="829">
        <v>0.92</v>
      </c>
    </row>
    <row r="35" spans="1:24" x14ac:dyDescent="0.3">
      <c r="A35" s="378"/>
      <c r="B35" s="149" t="s">
        <v>224</v>
      </c>
      <c r="C35" s="150" t="s">
        <v>231</v>
      </c>
      <c r="D35" s="153"/>
      <c r="E35" s="199" t="s">
        <v>185</v>
      </c>
      <c r="F35" s="169"/>
      <c r="G35" s="186" t="s">
        <v>633</v>
      </c>
      <c r="H35" s="153"/>
      <c r="I35" s="846">
        <v>20</v>
      </c>
      <c r="J35" s="348" t="s">
        <v>14</v>
      </c>
      <c r="K35" s="282" t="s">
        <v>14</v>
      </c>
      <c r="L35" s="347" t="s">
        <v>14</v>
      </c>
      <c r="M35" s="281" t="s">
        <v>14</v>
      </c>
      <c r="N35" s="338"/>
      <c r="O35" s="282">
        <v>30</v>
      </c>
      <c r="P35" s="340"/>
      <c r="Q35" s="830">
        <v>0.92</v>
      </c>
      <c r="R35" s="369"/>
      <c r="S35" s="369"/>
    </row>
    <row r="36" spans="1:24" s="369" customFormat="1" x14ac:dyDescent="0.3">
      <c r="B36" s="77"/>
      <c r="C36" s="29"/>
      <c r="R36" s="66"/>
    </row>
    <row r="37" spans="1:24" s="369" customFormat="1" x14ac:dyDescent="0.3">
      <c r="B37" s="85"/>
      <c r="C37" s="83"/>
      <c r="R37" s="66"/>
    </row>
    <row r="38" spans="1:24" s="369" customFormat="1" ht="27.6" x14ac:dyDescent="0.3">
      <c r="A38" s="82"/>
      <c r="B38" s="108" t="s">
        <v>505</v>
      </c>
      <c r="C38" s="113" t="s">
        <v>291</v>
      </c>
      <c r="D38" s="207"/>
      <c r="E38" s="142" t="s">
        <v>292</v>
      </c>
      <c r="F38" s="125"/>
      <c r="G38" s="142" t="s">
        <v>293</v>
      </c>
      <c r="J38" s="397"/>
      <c r="K38" s="397"/>
      <c r="L38" s="397"/>
      <c r="M38" s="82"/>
      <c r="N38" s="82"/>
      <c r="O38" s="397"/>
      <c r="P38" s="397"/>
      <c r="Q38" s="397"/>
      <c r="R38" s="397"/>
      <c r="S38" s="397"/>
      <c r="T38" s="397"/>
      <c r="U38" s="363"/>
      <c r="V38" s="363"/>
      <c r="W38" s="363"/>
      <c r="X38" s="363"/>
    </row>
    <row r="39" spans="1:24" s="369" customFormat="1" ht="15" thickBot="1" x14ac:dyDescent="0.35">
      <c r="A39" s="82"/>
      <c r="B39" s="173" t="s">
        <v>285</v>
      </c>
      <c r="C39" s="171" t="s">
        <v>286</v>
      </c>
      <c r="D39" s="208"/>
      <c r="E39" s="174" t="s">
        <v>287</v>
      </c>
      <c r="F39" s="208"/>
      <c r="G39" s="174" t="s">
        <v>288</v>
      </c>
      <c r="J39" s="397"/>
      <c r="K39" s="397"/>
      <c r="L39" s="397"/>
      <c r="M39" s="82"/>
      <c r="N39" s="82"/>
      <c r="O39" s="397"/>
      <c r="P39" s="397"/>
      <c r="Q39" s="397"/>
      <c r="R39" s="397"/>
      <c r="S39" s="397"/>
      <c r="T39" s="397"/>
      <c r="U39" s="363"/>
      <c r="V39" s="363"/>
      <c r="W39" s="363"/>
      <c r="X39" s="363"/>
    </row>
    <row r="40" spans="1:24" s="362" customFormat="1" ht="14.4" thickTop="1" x14ac:dyDescent="0.3">
      <c r="A40" s="82"/>
      <c r="B40" s="135" t="s">
        <v>215</v>
      </c>
      <c r="C40" s="378" t="s">
        <v>297</v>
      </c>
      <c r="D40" s="418"/>
      <c r="E40" s="378" t="s">
        <v>1323</v>
      </c>
      <c r="F40" s="418"/>
      <c r="G40" s="274" t="s">
        <v>1324</v>
      </c>
      <c r="M40" s="82"/>
      <c r="N40" s="82"/>
      <c r="U40" s="364"/>
      <c r="V40" s="364"/>
      <c r="W40" s="364"/>
      <c r="X40" s="364"/>
    </row>
    <row r="41" spans="1:24" s="369" customFormat="1" x14ac:dyDescent="0.3">
      <c r="A41" s="82"/>
      <c r="B41" s="135" t="s">
        <v>216</v>
      </c>
      <c r="C41" s="378" t="s">
        <v>297</v>
      </c>
      <c r="D41" s="346" t="s">
        <v>14</v>
      </c>
      <c r="E41" s="97" t="s">
        <v>14</v>
      </c>
      <c r="F41" s="418"/>
      <c r="G41" s="274" t="s">
        <v>1324</v>
      </c>
      <c r="J41" s="362"/>
      <c r="K41" s="362"/>
      <c r="L41" s="362"/>
      <c r="M41" s="82"/>
      <c r="N41" s="82"/>
      <c r="O41" s="362"/>
      <c r="P41" s="362"/>
      <c r="Q41" s="362"/>
      <c r="R41" s="362"/>
      <c r="S41" s="362"/>
      <c r="T41" s="362"/>
      <c r="U41" s="364"/>
      <c r="V41" s="364"/>
      <c r="W41" s="364"/>
      <c r="X41" s="364"/>
    </row>
    <row r="42" spans="1:24" s="362" customFormat="1" x14ac:dyDescent="0.3">
      <c r="A42" s="82"/>
      <c r="B42" s="175" t="s">
        <v>217</v>
      </c>
      <c r="C42" s="158" t="s">
        <v>297</v>
      </c>
      <c r="D42" s="347" t="s">
        <v>14</v>
      </c>
      <c r="E42" s="282" t="s">
        <v>14</v>
      </c>
      <c r="F42" s="417"/>
      <c r="G42" s="252" t="s">
        <v>1324</v>
      </c>
      <c r="M42" s="82"/>
      <c r="N42" s="82"/>
      <c r="U42" s="364"/>
      <c r="V42" s="364"/>
      <c r="W42" s="364"/>
      <c r="X42" s="364"/>
    </row>
    <row r="43" spans="1:24" s="369" customFormat="1" x14ac:dyDescent="0.3">
      <c r="B43" s="85"/>
      <c r="C43" s="83"/>
      <c r="R43" s="66"/>
    </row>
    <row r="44" spans="1:24" s="369" customFormat="1" x14ac:dyDescent="0.3">
      <c r="B44" s="85"/>
      <c r="C44" s="83"/>
      <c r="R44" s="66"/>
    </row>
    <row r="45" spans="1:24" s="86" customFormat="1" x14ac:dyDescent="0.3">
      <c r="A45" s="290"/>
      <c r="B45" s="342" t="s">
        <v>48</v>
      </c>
      <c r="C45" s="290"/>
      <c r="D45" s="290"/>
      <c r="E45" s="290"/>
      <c r="F45" s="290"/>
      <c r="G45" s="290"/>
      <c r="H45" s="290"/>
      <c r="I45" s="290"/>
      <c r="J45" s="290"/>
      <c r="K45" s="290"/>
      <c r="L45" s="290"/>
      <c r="M45" s="290"/>
      <c r="N45" s="290"/>
      <c r="O45" s="290"/>
      <c r="P45" s="290"/>
      <c r="Q45" s="290"/>
      <c r="R45" s="290"/>
      <c r="S45" s="290"/>
    </row>
    <row r="46" spans="1:24" s="82" customFormat="1" x14ac:dyDescent="0.3">
      <c r="A46" s="71"/>
      <c r="B46" s="49" t="s">
        <v>517</v>
      </c>
      <c r="D46" s="84"/>
      <c r="F46" s="84"/>
      <c r="H46" s="84"/>
      <c r="J46" s="84"/>
      <c r="L46" s="84"/>
      <c r="N46" s="84"/>
      <c r="P46" s="84"/>
      <c r="S46" s="84"/>
    </row>
    <row r="47" spans="1:24" s="36" customFormat="1" ht="41.4" x14ac:dyDescent="0.3">
      <c r="B47" s="189" t="s">
        <v>605</v>
      </c>
      <c r="C47" s="113" t="s">
        <v>518</v>
      </c>
      <c r="D47" s="125"/>
      <c r="E47" s="110" t="s">
        <v>137</v>
      </c>
      <c r="F47" s="113"/>
      <c r="G47" s="110" t="s">
        <v>186</v>
      </c>
      <c r="H47" s="125"/>
      <c r="I47" s="142" t="s">
        <v>510</v>
      </c>
      <c r="J47" s="113"/>
      <c r="K47" s="142" t="s">
        <v>509</v>
      </c>
      <c r="L47" s="207"/>
      <c r="M47" s="142" t="s">
        <v>508</v>
      </c>
      <c r="N47" s="369"/>
      <c r="O47" s="369"/>
      <c r="P47" s="369"/>
      <c r="Q47" s="369"/>
      <c r="R47" s="66"/>
      <c r="S47" s="369"/>
    </row>
    <row r="48" spans="1:24" s="82" customFormat="1" ht="14.4" thickBot="1" x14ac:dyDescent="0.35">
      <c r="B48" s="128" t="s">
        <v>259</v>
      </c>
      <c r="C48" s="82" t="s">
        <v>258</v>
      </c>
      <c r="D48" s="131"/>
      <c r="E48" s="254" t="s">
        <v>260</v>
      </c>
      <c r="F48" s="84"/>
      <c r="G48" s="254" t="s">
        <v>261</v>
      </c>
      <c r="H48" s="208"/>
      <c r="I48" s="174" t="s">
        <v>646</v>
      </c>
      <c r="J48" s="205"/>
      <c r="K48" s="174" t="s">
        <v>647</v>
      </c>
      <c r="L48" s="208"/>
      <c r="M48" s="174" t="s">
        <v>1387</v>
      </c>
      <c r="N48" s="84"/>
      <c r="P48" s="84"/>
      <c r="R48" s="66"/>
      <c r="S48" s="369"/>
    </row>
    <row r="49" spans="1:37" s="369" customFormat="1" ht="14.4" thickTop="1" x14ac:dyDescent="0.3">
      <c r="B49" s="249" t="s">
        <v>215</v>
      </c>
      <c r="C49" s="256" t="s">
        <v>166</v>
      </c>
      <c r="D49" s="313"/>
      <c r="E49" s="353" t="s">
        <v>167</v>
      </c>
      <c r="F49" s="312"/>
      <c r="G49" s="352" t="s">
        <v>214</v>
      </c>
      <c r="H49" s="134"/>
      <c r="I49" s="378">
        <v>55</v>
      </c>
      <c r="J49" s="145"/>
      <c r="K49" s="197">
        <v>95</v>
      </c>
      <c r="L49" s="134"/>
      <c r="M49" s="274" t="s">
        <v>300</v>
      </c>
    </row>
    <row r="50" spans="1:37" s="369" customFormat="1" x14ac:dyDescent="0.3">
      <c r="B50" s="124" t="s">
        <v>216</v>
      </c>
      <c r="C50" s="85" t="s">
        <v>232</v>
      </c>
      <c r="D50" s="136"/>
      <c r="E50" s="146" t="s">
        <v>237</v>
      </c>
      <c r="F50" s="176"/>
      <c r="G50" s="197" t="s">
        <v>214</v>
      </c>
      <c r="H50" s="409" t="s">
        <v>14</v>
      </c>
      <c r="I50" s="410" t="s">
        <v>14</v>
      </c>
      <c r="J50" s="145"/>
      <c r="K50" s="197">
        <v>95</v>
      </c>
      <c r="L50" s="136"/>
      <c r="M50" s="197" t="s">
        <v>300</v>
      </c>
    </row>
    <row r="51" spans="1:37" x14ac:dyDescent="0.3">
      <c r="A51" s="378"/>
      <c r="B51" s="175" t="s">
        <v>217</v>
      </c>
      <c r="C51" s="150" t="s">
        <v>233</v>
      </c>
      <c r="D51" s="153"/>
      <c r="E51" s="155" t="s">
        <v>237</v>
      </c>
      <c r="F51" s="169"/>
      <c r="G51" s="199" t="s">
        <v>214</v>
      </c>
      <c r="H51" s="411" t="s">
        <v>14</v>
      </c>
      <c r="I51" s="412" t="s">
        <v>14</v>
      </c>
      <c r="J51" s="154"/>
      <c r="K51" s="199">
        <v>95</v>
      </c>
      <c r="L51" s="153"/>
      <c r="M51" s="199" t="s">
        <v>300</v>
      </c>
      <c r="O51" s="378"/>
      <c r="Q51" s="378"/>
      <c r="R51" s="378"/>
    </row>
    <row r="52" spans="1:37" s="369" customFormat="1" x14ac:dyDescent="0.3">
      <c r="B52" s="77"/>
      <c r="C52" s="29"/>
    </row>
    <row r="53" spans="1:37" s="82" customFormat="1" x14ac:dyDescent="0.3">
      <c r="B53" s="83"/>
      <c r="D53" s="84"/>
      <c r="F53" s="84"/>
      <c r="H53" s="84"/>
      <c r="J53" s="84"/>
      <c r="L53" s="84"/>
      <c r="N53" s="84"/>
      <c r="P53" s="369"/>
      <c r="Q53" s="369"/>
      <c r="R53" s="369"/>
      <c r="S53" s="369"/>
      <c r="T53" s="369"/>
      <c r="U53" s="369"/>
      <c r="V53" s="369"/>
      <c r="W53" s="369"/>
      <c r="X53" s="369"/>
      <c r="Y53" s="369"/>
      <c r="Z53" s="369"/>
      <c r="AA53" s="369"/>
      <c r="AB53" s="369"/>
      <c r="AC53" s="369"/>
      <c r="AD53" s="369"/>
      <c r="AE53" s="369"/>
      <c r="AF53" s="369"/>
      <c r="AG53" s="369"/>
      <c r="AH53" s="369"/>
      <c r="AI53" s="369"/>
      <c r="AJ53" s="369"/>
      <c r="AK53" s="369"/>
    </row>
    <row r="54" spans="1:37" s="369" customFormat="1" ht="27.6" x14ac:dyDescent="0.3">
      <c r="B54" s="125" t="s">
        <v>518</v>
      </c>
      <c r="C54" s="113" t="s">
        <v>502</v>
      </c>
      <c r="D54" s="189"/>
      <c r="E54" s="110" t="s">
        <v>137</v>
      </c>
      <c r="F54" s="168"/>
      <c r="G54" s="168" t="s">
        <v>503</v>
      </c>
      <c r="H54" s="189"/>
      <c r="I54" s="110" t="s">
        <v>204</v>
      </c>
      <c r="J54" s="182"/>
      <c r="K54" s="110" t="s">
        <v>1053</v>
      </c>
      <c r="L54" s="442"/>
      <c r="M54" s="110" t="s">
        <v>1054</v>
      </c>
      <c r="N54" s="441"/>
      <c r="O54" s="110" t="s">
        <v>1055</v>
      </c>
    </row>
    <row r="55" spans="1:37" s="369" customFormat="1" ht="14.4" thickBot="1" x14ac:dyDescent="0.35">
      <c r="B55" s="173" t="s">
        <v>280</v>
      </c>
      <c r="C55" s="171" t="s">
        <v>262</v>
      </c>
      <c r="D55" s="178"/>
      <c r="E55" s="174" t="s">
        <v>264</v>
      </c>
      <c r="F55" s="172"/>
      <c r="G55" s="171" t="s">
        <v>933</v>
      </c>
      <c r="H55" s="178"/>
      <c r="I55" s="174"/>
      <c r="J55" s="184"/>
      <c r="K55" s="343" t="s">
        <v>629</v>
      </c>
      <c r="L55" s="173"/>
      <c r="M55" s="325" t="s">
        <v>630</v>
      </c>
      <c r="N55" s="173"/>
      <c r="O55" s="344" t="s">
        <v>631</v>
      </c>
    </row>
    <row r="56" spans="1:37" s="82" customFormat="1" ht="14.4" thickTop="1" x14ac:dyDescent="0.3">
      <c r="B56" s="284" t="s">
        <v>166</v>
      </c>
      <c r="C56" s="158" t="s">
        <v>174</v>
      </c>
      <c r="D56" s="153"/>
      <c r="E56" s="188" t="s">
        <v>173</v>
      </c>
      <c r="F56" s="169"/>
      <c r="G56" s="186">
        <v>11</v>
      </c>
      <c r="H56" s="153"/>
      <c r="I56" s="193">
        <v>1.1499999999999999</v>
      </c>
      <c r="J56" s="359"/>
      <c r="K56" s="261" t="s">
        <v>454</v>
      </c>
      <c r="L56" s="359"/>
      <c r="M56" s="257" t="s">
        <v>530</v>
      </c>
      <c r="N56" s="499"/>
      <c r="O56" s="257" t="s">
        <v>281</v>
      </c>
      <c r="P56" s="369"/>
      <c r="Q56" s="369"/>
      <c r="R56" s="369"/>
      <c r="S56" s="369"/>
      <c r="T56" s="369"/>
      <c r="U56" s="369"/>
      <c r="V56" s="369"/>
      <c r="W56" s="369"/>
      <c r="X56" s="369"/>
      <c r="Y56" s="369"/>
      <c r="Z56" s="369"/>
      <c r="AA56" s="369"/>
      <c r="AB56" s="369"/>
      <c r="AC56" s="369"/>
      <c r="AD56" s="369"/>
      <c r="AE56" s="369"/>
      <c r="AF56" s="369"/>
      <c r="AG56" s="369"/>
      <c r="AH56" s="369"/>
      <c r="AI56" s="369"/>
      <c r="AJ56" s="369"/>
      <c r="AK56" s="369"/>
    </row>
    <row r="57" spans="1:37" s="82" customFormat="1" x14ac:dyDescent="0.3">
      <c r="B57" s="83"/>
      <c r="D57" s="84"/>
      <c r="F57" s="84"/>
      <c r="H57" s="84"/>
      <c r="J57" s="84"/>
      <c r="L57" s="84"/>
      <c r="N57" s="84"/>
      <c r="P57" s="84"/>
      <c r="Q57" s="84"/>
      <c r="R57" s="84"/>
      <c r="S57" s="84"/>
      <c r="T57" s="84"/>
      <c r="U57" s="84"/>
      <c r="V57" s="84"/>
      <c r="W57" s="84"/>
      <c r="X57" s="84"/>
      <c r="Y57" s="84"/>
      <c r="Z57" s="84"/>
      <c r="AA57" s="84"/>
      <c r="AB57" s="84"/>
      <c r="AC57" s="84"/>
      <c r="AD57" s="84"/>
      <c r="AE57" s="84"/>
      <c r="AF57" s="84"/>
      <c r="AG57" s="84"/>
      <c r="AH57" s="84"/>
      <c r="AI57" s="84"/>
      <c r="AJ57" s="84"/>
      <c r="AK57" s="84"/>
    </row>
    <row r="58" spans="1:37" s="82" customFormat="1" x14ac:dyDescent="0.3">
      <c r="B58" s="83"/>
      <c r="D58" s="84"/>
      <c r="F58" s="84"/>
      <c r="H58" s="84"/>
      <c r="J58" s="84"/>
      <c r="L58" s="84"/>
      <c r="N58" s="84"/>
      <c r="P58" s="84"/>
      <c r="Q58" s="84"/>
      <c r="R58" s="84"/>
      <c r="S58" s="84"/>
      <c r="T58" s="84"/>
      <c r="U58" s="84"/>
      <c r="V58" s="84"/>
      <c r="W58" s="84"/>
      <c r="X58" s="84"/>
      <c r="Y58" s="84"/>
      <c r="Z58" s="84"/>
      <c r="AA58" s="84"/>
      <c r="AB58" s="84"/>
      <c r="AC58" s="84"/>
      <c r="AD58" s="84"/>
      <c r="AE58" s="84"/>
      <c r="AF58" s="84"/>
      <c r="AG58" s="84"/>
      <c r="AH58" s="84"/>
      <c r="AI58" s="84"/>
      <c r="AJ58" s="84"/>
      <c r="AK58" s="84"/>
    </row>
    <row r="59" spans="1:37" s="369" customFormat="1" ht="27.6" x14ac:dyDescent="0.3">
      <c r="B59" s="125" t="s">
        <v>518</v>
      </c>
      <c r="C59" s="113" t="s">
        <v>504</v>
      </c>
      <c r="D59" s="189"/>
      <c r="E59" s="110" t="s">
        <v>137</v>
      </c>
      <c r="F59" s="168"/>
      <c r="G59" s="168" t="s">
        <v>603</v>
      </c>
      <c r="H59" s="189"/>
      <c r="I59" s="110" t="s">
        <v>204</v>
      </c>
      <c r="J59" s="182"/>
      <c r="K59" s="110" t="s">
        <v>1056</v>
      </c>
    </row>
    <row r="60" spans="1:37" s="369" customFormat="1" ht="14.4" thickBot="1" x14ac:dyDescent="0.35">
      <c r="B60" s="173" t="s">
        <v>282</v>
      </c>
      <c r="C60" s="171" t="s">
        <v>265</v>
      </c>
      <c r="D60" s="178"/>
      <c r="E60" s="174" t="s">
        <v>266</v>
      </c>
      <c r="F60" s="172"/>
      <c r="G60" s="171" t="s">
        <v>267</v>
      </c>
      <c r="H60" s="178"/>
      <c r="I60" s="174"/>
      <c r="J60" s="117"/>
      <c r="K60" s="174" t="s">
        <v>283</v>
      </c>
    </row>
    <row r="61" spans="1:37" s="82" customFormat="1" ht="14.4" thickTop="1" x14ac:dyDescent="0.3">
      <c r="B61" s="135" t="s">
        <v>166</v>
      </c>
      <c r="C61" s="378" t="s">
        <v>175</v>
      </c>
      <c r="D61" s="136"/>
      <c r="E61" s="187" t="s">
        <v>815</v>
      </c>
      <c r="F61" s="176"/>
      <c r="G61" s="467">
        <f>0.0051427*(78)+0.3989</f>
        <v>0.80003059999999993</v>
      </c>
      <c r="H61" s="136"/>
      <c r="I61" s="365">
        <v>1.25</v>
      </c>
      <c r="J61" s="136"/>
      <c r="K61" s="365" t="s">
        <v>284</v>
      </c>
      <c r="L61" s="84"/>
      <c r="N61" s="84"/>
      <c r="P61" s="84"/>
      <c r="Q61" s="84"/>
      <c r="R61" s="84"/>
      <c r="S61" s="84"/>
      <c r="T61" s="84"/>
      <c r="U61" s="84"/>
      <c r="V61" s="84"/>
      <c r="W61" s="84"/>
      <c r="X61" s="84"/>
      <c r="Y61" s="84"/>
      <c r="Z61" s="84"/>
      <c r="AA61" s="84"/>
      <c r="AB61" s="84"/>
      <c r="AC61" s="84"/>
      <c r="AD61" s="84"/>
      <c r="AE61" s="84"/>
      <c r="AF61" s="84"/>
      <c r="AG61" s="84"/>
      <c r="AH61" s="84"/>
      <c r="AI61" s="84"/>
      <c r="AJ61" s="84"/>
      <c r="AK61" s="84"/>
    </row>
    <row r="62" spans="1:37" s="82" customFormat="1" x14ac:dyDescent="0.3">
      <c r="B62" s="135" t="s">
        <v>232</v>
      </c>
      <c r="C62" s="378" t="s">
        <v>238</v>
      </c>
      <c r="D62" s="136"/>
      <c r="E62" s="187" t="s">
        <v>815</v>
      </c>
      <c r="F62" s="176"/>
      <c r="G62" s="467">
        <f>0.0051427*(78)+0.3989</f>
        <v>0.80003059999999993</v>
      </c>
      <c r="H62" s="136"/>
      <c r="I62" s="365">
        <v>1.25</v>
      </c>
      <c r="J62" s="136"/>
      <c r="K62" s="365" t="s">
        <v>284</v>
      </c>
      <c r="L62" s="84"/>
      <c r="N62" s="84"/>
      <c r="P62" s="84"/>
      <c r="Q62" s="84"/>
      <c r="R62" s="84"/>
      <c r="S62" s="84"/>
      <c r="T62" s="84"/>
      <c r="U62" s="84"/>
      <c r="V62" s="84"/>
      <c r="W62" s="84"/>
      <c r="X62" s="84"/>
      <c r="Y62" s="84"/>
      <c r="Z62" s="84"/>
      <c r="AA62" s="84"/>
      <c r="AB62" s="84"/>
      <c r="AC62" s="84"/>
      <c r="AD62" s="84"/>
      <c r="AE62" s="84"/>
      <c r="AF62" s="84"/>
      <c r="AG62" s="84"/>
      <c r="AH62" s="84"/>
      <c r="AI62" s="84"/>
      <c r="AJ62" s="84"/>
      <c r="AK62" s="84"/>
    </row>
    <row r="63" spans="1:37" s="82" customFormat="1" x14ac:dyDescent="0.3">
      <c r="B63" s="316" t="s">
        <v>233</v>
      </c>
      <c r="C63" s="158" t="s">
        <v>239</v>
      </c>
      <c r="D63" s="153"/>
      <c r="E63" s="188" t="s">
        <v>815</v>
      </c>
      <c r="F63" s="169"/>
      <c r="G63" s="228">
        <v>0.80003100000000005</v>
      </c>
      <c r="H63" s="153"/>
      <c r="I63" s="193">
        <v>1.25</v>
      </c>
      <c r="J63" s="153"/>
      <c r="K63" s="193" t="s">
        <v>284</v>
      </c>
      <c r="L63" s="84"/>
      <c r="N63" s="84"/>
      <c r="P63" s="84"/>
      <c r="Q63" s="84"/>
      <c r="R63" s="84"/>
      <c r="S63" s="84"/>
      <c r="T63" s="84"/>
      <c r="U63" s="84"/>
      <c r="V63" s="84"/>
      <c r="W63" s="84"/>
      <c r="X63" s="84"/>
      <c r="Y63" s="84"/>
      <c r="Z63" s="84"/>
      <c r="AA63" s="84"/>
      <c r="AB63" s="84"/>
      <c r="AC63" s="84"/>
      <c r="AD63" s="84"/>
      <c r="AE63" s="84"/>
      <c r="AF63" s="84"/>
      <c r="AG63" s="84"/>
      <c r="AH63" s="84"/>
      <c r="AI63" s="84"/>
      <c r="AJ63" s="84"/>
      <c r="AK63" s="84"/>
    </row>
    <row r="64" spans="1:37" s="82" customFormat="1" x14ac:dyDescent="0.3">
      <c r="B64" s="83"/>
      <c r="D64" s="84"/>
      <c r="F64" s="84"/>
      <c r="H64" s="84"/>
      <c r="J64" s="84"/>
      <c r="L64" s="84"/>
      <c r="N64" s="84"/>
      <c r="P64" s="84"/>
      <c r="Q64" s="84"/>
      <c r="R64" s="84"/>
      <c r="S64" s="84"/>
      <c r="T64" s="84"/>
      <c r="U64" s="84"/>
      <c r="V64" s="84"/>
      <c r="W64" s="84"/>
      <c r="X64" s="84"/>
      <c r="Y64" s="84"/>
      <c r="Z64" s="84"/>
      <c r="AA64" s="84"/>
      <c r="AB64" s="84"/>
      <c r="AC64" s="84"/>
      <c r="AD64" s="84"/>
      <c r="AE64" s="84"/>
      <c r="AF64" s="84"/>
      <c r="AG64" s="84"/>
      <c r="AH64" s="84"/>
      <c r="AI64" s="84"/>
      <c r="AJ64" s="84"/>
      <c r="AK64" s="84"/>
    </row>
    <row r="65" spans="1:24" s="82" customFormat="1" x14ac:dyDescent="0.3">
      <c r="B65" s="83"/>
      <c r="D65" s="84"/>
      <c r="F65" s="84"/>
      <c r="H65" s="84"/>
      <c r="J65" s="84"/>
      <c r="L65" s="84"/>
      <c r="N65" s="84"/>
      <c r="P65" s="84"/>
      <c r="Q65" s="403"/>
      <c r="R65" s="403"/>
      <c r="T65" s="403"/>
      <c r="U65" s="670"/>
    </row>
    <row r="66" spans="1:24" s="369" customFormat="1" ht="27.6" x14ac:dyDescent="0.3">
      <c r="B66" s="125" t="s">
        <v>518</v>
      </c>
      <c r="C66" s="113" t="s">
        <v>506</v>
      </c>
      <c r="D66" s="125"/>
      <c r="E66" s="110" t="s">
        <v>184</v>
      </c>
      <c r="F66" s="113"/>
      <c r="G66" s="168" t="s">
        <v>277</v>
      </c>
      <c r="H66" s="125"/>
      <c r="I66" s="110" t="s">
        <v>511</v>
      </c>
      <c r="J66" s="113"/>
      <c r="K66" s="110" t="s">
        <v>183</v>
      </c>
      <c r="L66" s="168"/>
      <c r="M66" s="113" t="s">
        <v>632</v>
      </c>
      <c r="N66" s="189"/>
      <c r="O66" s="110" t="s">
        <v>507</v>
      </c>
      <c r="P66" s="168"/>
      <c r="Q66" s="168" t="s">
        <v>206</v>
      </c>
      <c r="R66" s="189"/>
      <c r="S66" s="110" t="s">
        <v>182</v>
      </c>
    </row>
    <row r="67" spans="1:24" s="369" customFormat="1" ht="14.4" thickBot="1" x14ac:dyDescent="0.35">
      <c r="B67" s="173" t="s">
        <v>282</v>
      </c>
      <c r="C67" s="171" t="s">
        <v>269</v>
      </c>
      <c r="D67" s="178"/>
      <c r="E67" s="174" t="s">
        <v>270</v>
      </c>
      <c r="F67" s="172"/>
      <c r="G67" s="171" t="s">
        <v>271</v>
      </c>
      <c r="H67" s="173"/>
      <c r="I67" s="174"/>
      <c r="J67" s="172"/>
      <c r="K67" s="174" t="s">
        <v>272</v>
      </c>
      <c r="L67" s="172"/>
      <c r="M67" s="171" t="s">
        <v>273</v>
      </c>
      <c r="N67" s="178"/>
      <c r="O67" s="174" t="s">
        <v>274</v>
      </c>
      <c r="P67" s="172"/>
      <c r="Q67" s="171" t="s">
        <v>275</v>
      </c>
      <c r="R67" s="178"/>
      <c r="S67" s="174" t="s">
        <v>276</v>
      </c>
    </row>
    <row r="68" spans="1:24" s="369" customFormat="1" ht="14.4" thickTop="1" x14ac:dyDescent="0.3">
      <c r="B68" s="135" t="s">
        <v>166</v>
      </c>
      <c r="C68" s="180" t="s">
        <v>234</v>
      </c>
      <c r="D68" s="136"/>
      <c r="E68" s="197" t="s">
        <v>185</v>
      </c>
      <c r="F68" s="136"/>
      <c r="G68" s="368" t="s">
        <v>279</v>
      </c>
      <c r="H68" s="339"/>
      <c r="I68" s="829">
        <v>3300.8</v>
      </c>
      <c r="J68" s="136"/>
      <c r="K68" s="527">
        <f>I68*O68*(0.1175/745.6)/M68</f>
        <v>2.6008851931330472</v>
      </c>
      <c r="L68" s="136"/>
      <c r="M68" s="527">
        <f>IF(I68&lt;2000,0.5,IF(I68&lt;10000,0.6,0.62))</f>
        <v>0.6</v>
      </c>
      <c r="N68" s="136"/>
      <c r="O68" s="847">
        <v>3</v>
      </c>
      <c r="P68" s="176"/>
      <c r="Q68" s="807">
        <v>3</v>
      </c>
      <c r="R68" s="136"/>
      <c r="S68" s="848">
        <v>0.89500000000000002</v>
      </c>
    </row>
    <row r="69" spans="1:24" s="369" customFormat="1" x14ac:dyDescent="0.3">
      <c r="B69" s="135" t="s">
        <v>232</v>
      </c>
      <c r="C69" s="180" t="s">
        <v>235</v>
      </c>
      <c r="D69" s="136"/>
      <c r="E69" s="197" t="s">
        <v>185</v>
      </c>
      <c r="F69" s="136"/>
      <c r="G69" s="368" t="s">
        <v>279</v>
      </c>
      <c r="H69" s="339"/>
      <c r="I69" s="829">
        <v>6165.05</v>
      </c>
      <c r="J69" s="136"/>
      <c r="K69" s="527">
        <f>I69*O69*(0.1175/745.6)/M69</f>
        <v>4.8577881907188836</v>
      </c>
      <c r="L69" s="136"/>
      <c r="M69" s="527">
        <f>IF(I69&lt;2000,0.5,IF(I69&lt;10000,0.6,0.62))</f>
        <v>0.6</v>
      </c>
      <c r="N69" s="136"/>
      <c r="O69" s="847">
        <v>3</v>
      </c>
      <c r="P69" s="176"/>
      <c r="Q69" s="807">
        <v>5</v>
      </c>
      <c r="R69" s="136"/>
      <c r="S69" s="848">
        <v>0.89500000000000002</v>
      </c>
    </row>
    <row r="70" spans="1:24" s="369" customFormat="1" x14ac:dyDescent="0.3">
      <c r="B70" s="135" t="s">
        <v>233</v>
      </c>
      <c r="C70" s="180" t="s">
        <v>236</v>
      </c>
      <c r="D70" s="240"/>
      <c r="E70" s="197" t="s">
        <v>185</v>
      </c>
      <c r="F70" s="240"/>
      <c r="G70" s="368" t="s">
        <v>279</v>
      </c>
      <c r="H70" s="466"/>
      <c r="I70" s="829">
        <v>29459.599999999999</v>
      </c>
      <c r="J70" s="240"/>
      <c r="K70" s="527">
        <f>I70*O70*(0.1175/745.6)/M70</f>
        <v>26.208077711823336</v>
      </c>
      <c r="L70" s="240"/>
      <c r="M70" s="527">
        <f>IF(I70&lt;2000,0.5,IF(I70&lt;10000,0.6,0.62))</f>
        <v>0.62</v>
      </c>
      <c r="N70" s="240"/>
      <c r="O70" s="847">
        <v>3.5</v>
      </c>
      <c r="P70" s="241"/>
      <c r="Q70" s="807">
        <v>30</v>
      </c>
      <c r="R70" s="240"/>
      <c r="S70" s="848">
        <v>0.93600000000000005</v>
      </c>
    </row>
    <row r="71" spans="1:24" s="369" customFormat="1" x14ac:dyDescent="0.3">
      <c r="B71" s="149" t="s">
        <v>166</v>
      </c>
      <c r="C71" s="357" t="s">
        <v>791</v>
      </c>
      <c r="D71" s="485"/>
      <c r="E71" s="209" t="s">
        <v>482</v>
      </c>
      <c r="F71" s="485"/>
      <c r="G71" s="186" t="s">
        <v>279</v>
      </c>
      <c r="H71" s="340"/>
      <c r="I71" s="830">
        <v>3173.31</v>
      </c>
      <c r="J71" s="153"/>
      <c r="K71" s="469">
        <f>I71*O71*(0.1175/745.6)/M71</f>
        <v>0.93766075559951712</v>
      </c>
      <c r="L71" s="153"/>
      <c r="M71" s="469">
        <f>IF(I71&lt;10000,0.4,0.5)</f>
        <v>0.4</v>
      </c>
      <c r="N71" s="153"/>
      <c r="O71" s="849">
        <f>IF(I71&lt;10000,0.75,1)</f>
        <v>0.75</v>
      </c>
      <c r="P71" s="153"/>
      <c r="Q71" s="808">
        <v>1</v>
      </c>
      <c r="R71" s="153"/>
      <c r="S71" s="850">
        <v>0.85499999999999998</v>
      </c>
    </row>
    <row r="72" spans="1:24" x14ac:dyDescent="0.3">
      <c r="I72" s="378"/>
      <c r="R72" s="378"/>
      <c r="S72" s="372"/>
    </row>
    <row r="74" spans="1:24" s="369" customFormat="1" ht="27.6" x14ac:dyDescent="0.3">
      <c r="A74" s="82"/>
      <c r="B74" s="108" t="s">
        <v>505</v>
      </c>
      <c r="C74" s="113" t="s">
        <v>291</v>
      </c>
      <c r="D74" s="207"/>
      <c r="E74" s="142" t="s">
        <v>292</v>
      </c>
      <c r="F74" s="125"/>
      <c r="G74" s="142" t="s">
        <v>293</v>
      </c>
      <c r="J74" s="397"/>
      <c r="K74" s="397"/>
      <c r="L74" s="397"/>
      <c r="M74" s="82"/>
      <c r="N74" s="82"/>
      <c r="O74" s="397"/>
      <c r="P74" s="397"/>
      <c r="Q74" s="397"/>
      <c r="R74" s="397"/>
      <c r="S74" s="397"/>
      <c r="T74" s="397"/>
      <c r="U74" s="363"/>
      <c r="V74" s="363"/>
      <c r="W74" s="363"/>
      <c r="X74" s="363"/>
    </row>
    <row r="75" spans="1:24" s="369" customFormat="1" ht="15" thickBot="1" x14ac:dyDescent="0.35">
      <c r="A75" s="82"/>
      <c r="B75" s="173" t="s">
        <v>285</v>
      </c>
      <c r="C75" s="171" t="s">
        <v>286</v>
      </c>
      <c r="D75" s="208"/>
      <c r="E75" s="174" t="s">
        <v>287</v>
      </c>
      <c r="F75" s="208"/>
      <c r="G75" s="174" t="s">
        <v>288</v>
      </c>
      <c r="J75" s="397"/>
      <c r="K75" s="397"/>
      <c r="L75" s="397"/>
      <c r="M75" s="82"/>
      <c r="N75" s="82"/>
      <c r="O75" s="397"/>
      <c r="P75" s="397"/>
      <c r="Q75" s="397"/>
      <c r="R75" s="397"/>
      <c r="S75" s="397"/>
      <c r="T75" s="397"/>
      <c r="U75" s="363"/>
      <c r="V75" s="363"/>
      <c r="W75" s="363"/>
      <c r="X75" s="363"/>
    </row>
    <row r="76" spans="1:24" s="362" customFormat="1" ht="14.4" thickTop="1" x14ac:dyDescent="0.3">
      <c r="A76" s="82"/>
      <c r="B76" s="135" t="s">
        <v>215</v>
      </c>
      <c r="C76" s="378" t="s">
        <v>297</v>
      </c>
      <c r="D76" s="420"/>
      <c r="E76" s="378" t="s">
        <v>1323</v>
      </c>
      <c r="F76" s="418"/>
      <c r="G76" s="274" t="s">
        <v>1324</v>
      </c>
      <c r="M76" s="82"/>
      <c r="N76" s="82"/>
      <c r="U76" s="364"/>
      <c r="V76" s="364"/>
      <c r="W76" s="364"/>
      <c r="X76" s="364"/>
    </row>
    <row r="77" spans="1:24" s="369" customFormat="1" x14ac:dyDescent="0.3">
      <c r="A77" s="82"/>
      <c r="B77" s="135" t="s">
        <v>216</v>
      </c>
      <c r="C77" s="378" t="s">
        <v>297</v>
      </c>
      <c r="D77" s="346" t="s">
        <v>14</v>
      </c>
      <c r="E77" s="97" t="s">
        <v>14</v>
      </c>
      <c r="F77" s="418"/>
      <c r="G77" s="274" t="s">
        <v>1324</v>
      </c>
      <c r="J77" s="362"/>
      <c r="K77" s="362"/>
      <c r="L77" s="362"/>
      <c r="M77" s="82"/>
      <c r="N77" s="82"/>
      <c r="O77" s="362"/>
      <c r="P77" s="362"/>
      <c r="Q77" s="362"/>
      <c r="R77" s="362"/>
      <c r="S77" s="362"/>
      <c r="T77" s="362"/>
      <c r="U77" s="364"/>
      <c r="V77" s="364"/>
      <c r="W77" s="364"/>
      <c r="X77" s="364"/>
    </row>
    <row r="78" spans="1:24" s="362" customFormat="1" x14ac:dyDescent="0.3">
      <c r="A78" s="82"/>
      <c r="B78" s="175" t="s">
        <v>217</v>
      </c>
      <c r="C78" s="158" t="s">
        <v>297</v>
      </c>
      <c r="D78" s="347" t="s">
        <v>14</v>
      </c>
      <c r="E78" s="282" t="s">
        <v>14</v>
      </c>
      <c r="F78" s="417"/>
      <c r="G78" s="252" t="s">
        <v>1324</v>
      </c>
      <c r="M78" s="82"/>
      <c r="N78" s="82"/>
      <c r="U78" s="364"/>
      <c r="V78" s="364"/>
      <c r="W78" s="364"/>
      <c r="X78" s="364"/>
    </row>
  </sheetData>
  <pageMargins left="0.7" right="0.7" top="0.75" bottom="0.75" header="0.3" footer="0.3"/>
  <pageSetup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sheetPr>
  <dimension ref="A1:AZ421"/>
  <sheetViews>
    <sheetView zoomScale="85" zoomScaleNormal="85" workbookViewId="0"/>
  </sheetViews>
  <sheetFormatPr defaultColWidth="9.109375" defaultRowHeight="14.4" x14ac:dyDescent="0.3"/>
  <cols>
    <col min="1" max="1" width="3.6640625" style="369" customWidth="1"/>
    <col min="2" max="2" width="28.5546875" style="369" customWidth="1"/>
    <col min="3" max="3" width="33.44140625" style="85" customWidth="1"/>
    <col min="4" max="4" width="11.6640625" style="369" bestFit="1" customWidth="1"/>
    <col min="5" max="5" width="2.6640625" style="76" customWidth="1"/>
    <col min="6" max="6" width="32.109375" style="371" bestFit="1" customWidth="1"/>
    <col min="7" max="7" width="2.6640625" style="76" customWidth="1"/>
    <col min="8" max="8" width="31.88671875" style="29" customWidth="1"/>
    <col min="9" max="9" width="2.6640625" style="369" customWidth="1"/>
    <col min="10" max="10" width="22.5546875" style="85" customWidth="1"/>
    <col min="11" max="11" width="2.6640625" style="369" customWidth="1"/>
    <col min="12" max="12" width="26.88671875" style="85" customWidth="1"/>
    <col min="13" max="13" width="2.6640625" style="369" customWidth="1"/>
    <col min="14" max="14" width="26" style="85" customWidth="1"/>
    <col min="15" max="15" width="2.6640625" style="369" customWidth="1"/>
    <col min="16" max="16" width="27.6640625" style="85" customWidth="1"/>
    <col min="17" max="17" width="2.6640625" style="369" customWidth="1"/>
    <col min="18" max="18" width="16.6640625" style="85" bestFit="1" customWidth="1"/>
    <col min="19" max="19" width="2.6640625" style="369" customWidth="1"/>
    <col min="20" max="20" width="32.109375" style="85" customWidth="1"/>
    <col min="21" max="21" width="2.6640625" style="369" customWidth="1"/>
    <col min="22" max="22" width="14.44140625" style="85" customWidth="1"/>
    <col min="23" max="23" width="2.6640625" style="369" customWidth="1"/>
    <col min="24" max="24" width="28.88671875" style="85" bestFit="1" customWidth="1"/>
    <col min="25" max="25" width="2.6640625" style="397" customWidth="1"/>
    <col min="26" max="26" width="18.5546875" style="397" customWidth="1"/>
    <col min="27" max="27" width="2.6640625" style="397" customWidth="1"/>
    <col min="28" max="28" width="17" style="397" customWidth="1"/>
    <col min="29" max="29" width="2.6640625" style="397" customWidth="1"/>
    <col min="30" max="30" width="17" style="397" customWidth="1"/>
    <col min="31" max="31" width="2.6640625" style="397" customWidth="1"/>
    <col min="32" max="32" width="16.88671875" style="397" customWidth="1"/>
    <col min="33" max="33" width="2.6640625" style="397" customWidth="1"/>
    <col min="34" max="34" width="22.88671875" style="397" customWidth="1"/>
    <col min="35" max="35" width="13.88671875" style="397" bestFit="1" customWidth="1"/>
    <col min="36" max="16384" width="9.109375" style="397"/>
  </cols>
  <sheetData>
    <row r="1" spans="1:24" ht="12.75" customHeight="1" x14ac:dyDescent="0.3">
      <c r="V1" s="397"/>
      <c r="W1" s="397"/>
      <c r="X1" s="397"/>
    </row>
    <row r="2" spans="1:24" x14ac:dyDescent="0.3">
      <c r="B2" s="567" t="s">
        <v>5</v>
      </c>
      <c r="C2" s="568"/>
      <c r="D2" s="567"/>
      <c r="E2" s="574"/>
      <c r="F2" s="568" t="s">
        <v>6</v>
      </c>
      <c r="G2" s="369"/>
      <c r="K2" s="567"/>
      <c r="L2" s="568" t="s">
        <v>1101</v>
      </c>
    </row>
    <row r="3" spans="1:24" ht="12.75" customHeight="1" x14ac:dyDescent="0.3">
      <c r="B3" s="369" t="s">
        <v>0</v>
      </c>
      <c r="C3" s="887" t="s">
        <v>1434</v>
      </c>
      <c r="E3" s="369"/>
      <c r="F3" s="85" t="s">
        <v>8</v>
      </c>
      <c r="G3" s="369"/>
      <c r="H3" s="887"/>
      <c r="K3" s="888"/>
      <c r="L3" s="369" t="s">
        <v>1106</v>
      </c>
    </row>
    <row r="4" spans="1:24" ht="12.75" customHeight="1" x14ac:dyDescent="0.3">
      <c r="B4" s="369" t="s">
        <v>1</v>
      </c>
      <c r="C4" s="85" t="str">
        <f>C3&amp;".cibd16"</f>
        <v>070015-HotSml-Run22.cibd16</v>
      </c>
      <c r="F4" s="85" t="s">
        <v>110</v>
      </c>
      <c r="H4" s="396" t="str">
        <f>'Documentation Main Sheet'!I3</f>
        <v>Release package</v>
      </c>
      <c r="I4" s="62"/>
      <c r="K4" s="889"/>
      <c r="L4" s="369" t="s">
        <v>1102</v>
      </c>
      <c r="T4" s="9"/>
      <c r="V4" s="9"/>
      <c r="X4" s="9"/>
    </row>
    <row r="5" spans="1:24" ht="12.75" customHeight="1" x14ac:dyDescent="0.3">
      <c r="B5" s="369" t="s">
        <v>54</v>
      </c>
      <c r="C5" s="85" t="s">
        <v>56</v>
      </c>
      <c r="F5" s="85" t="s">
        <v>7</v>
      </c>
      <c r="H5" s="396" t="str">
        <f>'Documentation Main Sheet'!I4</f>
        <v>CBECC-Com 209.1.0 release</v>
      </c>
      <c r="I5" s="62"/>
      <c r="K5" s="571">
        <v>1</v>
      </c>
      <c r="L5" s="378" t="s">
        <v>1103</v>
      </c>
      <c r="T5" s="9"/>
      <c r="V5" s="9"/>
      <c r="X5" s="9"/>
    </row>
    <row r="6" spans="1:24" ht="12.75" customHeight="1" x14ac:dyDescent="0.3">
      <c r="B6" s="369" t="s">
        <v>390</v>
      </c>
      <c r="C6" s="85" t="s">
        <v>396</v>
      </c>
      <c r="F6" s="85" t="s">
        <v>2</v>
      </c>
      <c r="H6" s="394">
        <f>'Documentation Main Sheet'!I5</f>
        <v>43754</v>
      </c>
      <c r="K6" s="582">
        <v>1</v>
      </c>
      <c r="L6" s="381" t="s">
        <v>1104</v>
      </c>
    </row>
    <row r="7" spans="1:24" ht="12.75" customHeight="1" x14ac:dyDescent="0.3">
      <c r="B7" s="369" t="s">
        <v>432</v>
      </c>
      <c r="C7" s="85" t="s">
        <v>410</v>
      </c>
      <c r="F7" s="85" t="s">
        <v>3</v>
      </c>
      <c r="H7" s="396" t="str">
        <f>'Documentation Main Sheet'!I6</f>
        <v>Jireh Peng</v>
      </c>
      <c r="K7" s="583">
        <v>1</v>
      </c>
      <c r="L7" s="378" t="s">
        <v>1105</v>
      </c>
    </row>
    <row r="8" spans="1:24" ht="12.75" customHeight="1" x14ac:dyDescent="0.3">
      <c r="B8" s="369" t="s">
        <v>952</v>
      </c>
      <c r="C8" s="85" t="s">
        <v>953</v>
      </c>
      <c r="F8" s="369"/>
      <c r="G8" s="369"/>
      <c r="H8" s="369"/>
      <c r="K8" s="796">
        <v>1</v>
      </c>
      <c r="L8" s="369" t="s">
        <v>1396</v>
      </c>
    </row>
    <row r="9" spans="1:24" x14ac:dyDescent="0.3">
      <c r="F9" s="369"/>
      <c r="G9" s="369"/>
      <c r="H9" s="369"/>
    </row>
    <row r="10" spans="1:24" x14ac:dyDescent="0.3">
      <c r="A10" s="286"/>
      <c r="B10" s="287" t="s">
        <v>37</v>
      </c>
      <c r="C10" s="288"/>
      <c r="D10" s="286"/>
      <c r="E10" s="286"/>
      <c r="F10" s="289"/>
      <c r="G10" s="286"/>
      <c r="H10" s="288"/>
      <c r="I10" s="286"/>
      <c r="J10" s="288"/>
      <c r="K10" s="286"/>
      <c r="L10" s="288"/>
      <c r="M10" s="286"/>
      <c r="N10" s="288"/>
      <c r="O10" s="286"/>
      <c r="P10" s="288"/>
      <c r="Q10" s="286"/>
      <c r="R10" s="288"/>
      <c r="S10" s="286"/>
      <c r="T10" s="288"/>
      <c r="U10" s="288"/>
      <c r="V10" s="288"/>
    </row>
    <row r="11" spans="1:24" x14ac:dyDescent="0.3">
      <c r="A11" s="26"/>
      <c r="B11" s="28" t="s">
        <v>517</v>
      </c>
      <c r="C11" s="83"/>
      <c r="D11" s="397"/>
      <c r="E11" s="369"/>
      <c r="F11" s="369"/>
      <c r="G11" s="369"/>
      <c r="H11" s="369"/>
      <c r="J11" s="369"/>
      <c r="L11" s="66"/>
      <c r="N11" s="66"/>
      <c r="P11" s="66"/>
      <c r="R11" s="66"/>
      <c r="T11" s="66"/>
    </row>
    <row r="12" spans="1:24" ht="41.4" x14ac:dyDescent="0.3">
      <c r="A12" s="82"/>
      <c r="B12" s="108" t="s">
        <v>500</v>
      </c>
      <c r="C12" s="116" t="s">
        <v>501</v>
      </c>
      <c r="D12" s="112" t="s">
        <v>433</v>
      </c>
      <c r="E12" s="177"/>
      <c r="F12" s="113" t="s">
        <v>437</v>
      </c>
      <c r="G12" s="177"/>
      <c r="H12" s="116" t="s">
        <v>137</v>
      </c>
      <c r="I12" s="177"/>
      <c r="J12" s="109" t="s">
        <v>186</v>
      </c>
      <c r="K12" s="125"/>
      <c r="L12" s="142" t="s">
        <v>510</v>
      </c>
      <c r="M12" s="113"/>
      <c r="N12" s="113" t="s">
        <v>509</v>
      </c>
      <c r="O12" s="207"/>
      <c r="P12" s="142" t="s">
        <v>508</v>
      </c>
      <c r="Q12" s="125"/>
      <c r="R12" s="142" t="s">
        <v>486</v>
      </c>
      <c r="S12" s="125"/>
      <c r="T12" s="142" t="s">
        <v>534</v>
      </c>
    </row>
    <row r="13" spans="1:24" ht="15" thickBot="1" x14ac:dyDescent="0.35">
      <c r="A13" s="82"/>
      <c r="B13" s="173" t="s">
        <v>259</v>
      </c>
      <c r="C13" s="171" t="s">
        <v>258</v>
      </c>
      <c r="D13" s="376"/>
      <c r="E13" s="178"/>
      <c r="F13" s="376"/>
      <c r="G13" s="375"/>
      <c r="H13" s="171" t="s">
        <v>260</v>
      </c>
      <c r="I13" s="178"/>
      <c r="J13" s="174" t="s">
        <v>261</v>
      </c>
      <c r="K13" s="208"/>
      <c r="L13" s="174" t="s">
        <v>646</v>
      </c>
      <c r="M13" s="205"/>
      <c r="N13" s="171" t="s">
        <v>647</v>
      </c>
      <c r="O13" s="208"/>
      <c r="P13" s="174" t="s">
        <v>1387</v>
      </c>
      <c r="Q13" s="230"/>
      <c r="R13" s="174" t="s">
        <v>1127</v>
      </c>
      <c r="S13" s="230"/>
      <c r="T13" s="174" t="s">
        <v>1128</v>
      </c>
    </row>
    <row r="14" spans="1:24" s="364" customFormat="1" thickTop="1" x14ac:dyDescent="0.3">
      <c r="A14" s="378"/>
      <c r="B14" s="135" t="s">
        <v>797</v>
      </c>
      <c r="C14" s="378" t="s">
        <v>554</v>
      </c>
      <c r="D14" s="378" t="s">
        <v>435</v>
      </c>
      <c r="E14" s="131"/>
      <c r="F14" s="437" t="s">
        <v>797</v>
      </c>
      <c r="G14" s="890"/>
      <c r="H14" s="378" t="s">
        <v>449</v>
      </c>
      <c r="I14" s="890"/>
      <c r="J14" s="378" t="s">
        <v>187</v>
      </c>
      <c r="K14" s="890"/>
      <c r="L14" s="378">
        <v>55</v>
      </c>
      <c r="M14" s="890"/>
      <c r="N14" s="378">
        <v>60</v>
      </c>
      <c r="O14" s="890"/>
      <c r="P14" s="378" t="s">
        <v>930</v>
      </c>
      <c r="Q14" s="890"/>
      <c r="R14" s="369">
        <v>60</v>
      </c>
      <c r="S14" s="890"/>
      <c r="T14" s="206">
        <v>55</v>
      </c>
      <c r="U14" s="369"/>
      <c r="V14" s="85"/>
      <c r="W14" s="369"/>
      <c r="X14" s="85"/>
    </row>
    <row r="15" spans="1:24" s="364" customFormat="1" ht="13.8" x14ac:dyDescent="0.3">
      <c r="A15" s="378"/>
      <c r="B15" s="135" t="s">
        <v>798</v>
      </c>
      <c r="C15" s="378" t="s">
        <v>565</v>
      </c>
      <c r="D15" s="378" t="s">
        <v>435</v>
      </c>
      <c r="E15" s="131"/>
      <c r="F15" s="371" t="s">
        <v>798</v>
      </c>
      <c r="G15" s="888"/>
      <c r="H15" s="378" t="s">
        <v>449</v>
      </c>
      <c r="I15" s="888"/>
      <c r="J15" s="378" t="s">
        <v>187</v>
      </c>
      <c r="K15" s="888"/>
      <c r="L15" s="378">
        <v>55</v>
      </c>
      <c r="M15" s="888"/>
      <c r="N15" s="378">
        <v>60</v>
      </c>
      <c r="O15" s="888"/>
      <c r="P15" s="378" t="s">
        <v>930</v>
      </c>
      <c r="Q15" s="888"/>
      <c r="R15" s="369">
        <v>60</v>
      </c>
      <c r="S15" s="888"/>
      <c r="T15" s="206">
        <v>55</v>
      </c>
      <c r="U15" s="369"/>
      <c r="V15" s="85"/>
      <c r="W15" s="369"/>
      <c r="X15" s="85"/>
    </row>
    <row r="16" spans="1:24" s="362" customFormat="1" ht="13.8" x14ac:dyDescent="0.3">
      <c r="A16" s="82"/>
      <c r="B16" s="135" t="s">
        <v>799</v>
      </c>
      <c r="C16" s="378" t="s">
        <v>566</v>
      </c>
      <c r="D16" s="378" t="s">
        <v>435</v>
      </c>
      <c r="E16" s="131"/>
      <c r="F16" s="371" t="s">
        <v>799</v>
      </c>
      <c r="G16" s="888"/>
      <c r="H16" s="378" t="s">
        <v>449</v>
      </c>
      <c r="I16" s="888"/>
      <c r="J16" s="378" t="s">
        <v>187</v>
      </c>
      <c r="K16" s="888"/>
      <c r="L16" s="378">
        <v>55</v>
      </c>
      <c r="M16" s="888"/>
      <c r="N16" s="378">
        <v>60</v>
      </c>
      <c r="O16" s="888"/>
      <c r="P16" s="378" t="s">
        <v>930</v>
      </c>
      <c r="Q16" s="888"/>
      <c r="R16" s="369">
        <v>60</v>
      </c>
      <c r="S16" s="888"/>
      <c r="T16" s="206">
        <v>55</v>
      </c>
      <c r="U16" s="369"/>
      <c r="V16" s="85"/>
      <c r="W16" s="369"/>
      <c r="X16" s="85"/>
    </row>
    <row r="17" spans="1:24" s="362" customFormat="1" ht="13.8" x14ac:dyDescent="0.3">
      <c r="A17" s="82"/>
      <c r="B17" s="135" t="s">
        <v>800</v>
      </c>
      <c r="C17" s="378" t="s">
        <v>795</v>
      </c>
      <c r="D17" s="378" t="s">
        <v>435</v>
      </c>
      <c r="E17" s="131"/>
      <c r="F17" s="371" t="s">
        <v>800</v>
      </c>
      <c r="G17" s="888"/>
      <c r="H17" s="378" t="s">
        <v>449</v>
      </c>
      <c r="I17" s="888"/>
      <c r="J17" s="378" t="s">
        <v>187</v>
      </c>
      <c r="K17" s="888"/>
      <c r="L17" s="378">
        <v>55</v>
      </c>
      <c r="M17" s="888"/>
      <c r="N17" s="378">
        <v>60</v>
      </c>
      <c r="O17" s="888"/>
      <c r="P17" s="378" t="s">
        <v>930</v>
      </c>
      <c r="Q17" s="888"/>
      <c r="R17" s="369">
        <v>60</v>
      </c>
      <c r="S17" s="888"/>
      <c r="T17" s="206">
        <v>55</v>
      </c>
      <c r="U17" s="369"/>
      <c r="V17" s="85"/>
      <c r="W17" s="369"/>
      <c r="X17" s="85"/>
    </row>
    <row r="18" spans="1:24" s="362" customFormat="1" ht="13.8" x14ac:dyDescent="0.3">
      <c r="A18" s="82"/>
      <c r="B18" s="316" t="s">
        <v>801</v>
      </c>
      <c r="C18" s="158" t="s">
        <v>796</v>
      </c>
      <c r="D18" s="158" t="s">
        <v>435</v>
      </c>
      <c r="E18" s="233"/>
      <c r="F18" s="160" t="s">
        <v>801</v>
      </c>
      <c r="G18" s="891"/>
      <c r="H18" s="158" t="s">
        <v>167</v>
      </c>
      <c r="I18" s="891"/>
      <c r="J18" s="158" t="s">
        <v>802</v>
      </c>
      <c r="K18" s="891"/>
      <c r="L18" s="158">
        <v>55</v>
      </c>
      <c r="M18" s="891"/>
      <c r="N18" s="158">
        <v>95</v>
      </c>
      <c r="O18" s="891"/>
      <c r="P18" s="158" t="s">
        <v>300</v>
      </c>
      <c r="Q18" s="411" t="s">
        <v>14</v>
      </c>
      <c r="R18" s="432" t="s">
        <v>14</v>
      </c>
      <c r="S18" s="411" t="s">
        <v>14</v>
      </c>
      <c r="T18" s="412" t="s">
        <v>14</v>
      </c>
      <c r="U18" s="369"/>
      <c r="V18" s="85"/>
      <c r="W18" s="369"/>
      <c r="X18" s="85"/>
    </row>
    <row r="19" spans="1:24" x14ac:dyDescent="0.3">
      <c r="A19" s="82"/>
      <c r="B19" s="77"/>
      <c r="C19" s="75"/>
      <c r="D19" s="29"/>
      <c r="E19" s="369"/>
      <c r="F19" s="369"/>
      <c r="G19" s="369"/>
      <c r="H19" s="369"/>
      <c r="J19" s="369"/>
      <c r="K19" s="84"/>
      <c r="L19" s="82"/>
      <c r="N19" s="369"/>
      <c r="P19" s="369"/>
      <c r="R19" s="369"/>
      <c r="T19" s="369"/>
    </row>
    <row r="20" spans="1:24" x14ac:dyDescent="0.3">
      <c r="A20" s="82"/>
      <c r="B20" s="77"/>
      <c r="C20" s="75"/>
      <c r="D20" s="29"/>
      <c r="E20" s="369"/>
      <c r="F20" s="369"/>
      <c r="G20" s="369"/>
      <c r="H20" s="369"/>
      <c r="J20" s="369"/>
      <c r="K20" s="84"/>
      <c r="L20" s="82"/>
      <c r="N20" s="369"/>
      <c r="P20" s="369"/>
      <c r="R20" s="369"/>
      <c r="T20" s="369"/>
    </row>
    <row r="21" spans="1:24" ht="41.4" x14ac:dyDescent="0.3">
      <c r="A21" s="82"/>
      <c r="B21" s="108" t="s">
        <v>500</v>
      </c>
      <c r="C21" s="116" t="s">
        <v>804</v>
      </c>
      <c r="D21" s="112" t="s">
        <v>433</v>
      </c>
      <c r="E21" s="177"/>
      <c r="F21" s="113" t="s">
        <v>437</v>
      </c>
      <c r="G21" s="177"/>
      <c r="H21" s="116" t="s">
        <v>137</v>
      </c>
      <c r="I21" s="177"/>
      <c r="J21" s="109" t="s">
        <v>186</v>
      </c>
      <c r="K21" s="125"/>
      <c r="L21" s="142" t="s">
        <v>510</v>
      </c>
      <c r="M21" s="113"/>
      <c r="N21" s="113" t="s">
        <v>509</v>
      </c>
      <c r="O21" s="207"/>
      <c r="P21" s="142" t="s">
        <v>508</v>
      </c>
      <c r="Q21" s="125"/>
      <c r="R21" s="142" t="s">
        <v>486</v>
      </c>
      <c r="S21" s="125"/>
      <c r="T21" s="142" t="s">
        <v>534</v>
      </c>
    </row>
    <row r="22" spans="1:24" ht="15" thickBot="1" x14ac:dyDescent="0.35">
      <c r="A22" s="82"/>
      <c r="B22" s="173" t="s">
        <v>912</v>
      </c>
      <c r="C22" s="171"/>
      <c r="D22" s="376"/>
      <c r="E22" s="178"/>
      <c r="F22" s="376"/>
      <c r="G22" s="375"/>
      <c r="H22" s="171" t="s">
        <v>260</v>
      </c>
      <c r="I22" s="178"/>
      <c r="J22" s="174" t="s">
        <v>261</v>
      </c>
      <c r="K22" s="208"/>
      <c r="L22" s="174" t="s">
        <v>646</v>
      </c>
      <c r="M22" s="205"/>
      <c r="N22" s="171" t="s">
        <v>647</v>
      </c>
      <c r="O22" s="208"/>
      <c r="P22" s="174" t="s">
        <v>1388</v>
      </c>
      <c r="Q22" s="230"/>
      <c r="R22" s="377"/>
      <c r="S22" s="230"/>
      <c r="T22" s="377"/>
    </row>
    <row r="23" spans="1:24" s="363" customFormat="1" ht="15" thickTop="1" x14ac:dyDescent="0.3">
      <c r="A23" s="378"/>
      <c r="B23" s="135" t="s">
        <v>1242</v>
      </c>
      <c r="C23" s="378" t="s">
        <v>1360</v>
      </c>
      <c r="D23" s="378" t="s">
        <v>435</v>
      </c>
      <c r="E23" s="131"/>
      <c r="F23" s="371" t="s">
        <v>1361</v>
      </c>
      <c r="G23" s="888"/>
      <c r="H23" s="378" t="s">
        <v>1433</v>
      </c>
      <c r="I23" s="888"/>
      <c r="J23" s="378" t="s">
        <v>806</v>
      </c>
      <c r="K23" s="888"/>
      <c r="L23" s="378">
        <v>58</v>
      </c>
      <c r="M23" s="888"/>
      <c r="N23" s="378">
        <v>95</v>
      </c>
      <c r="O23" s="890"/>
      <c r="P23" s="378" t="s">
        <v>300</v>
      </c>
      <c r="Q23" s="409" t="s">
        <v>14</v>
      </c>
      <c r="R23" s="410" t="s">
        <v>14</v>
      </c>
      <c r="S23" s="409" t="s">
        <v>14</v>
      </c>
      <c r="T23" s="410" t="s">
        <v>14</v>
      </c>
      <c r="U23" s="378"/>
      <c r="V23" s="371"/>
      <c r="W23" s="378"/>
      <c r="X23" s="371"/>
    </row>
    <row r="24" spans="1:24" s="363" customFormat="1" x14ac:dyDescent="0.3">
      <c r="A24" s="378"/>
      <c r="B24" s="135" t="s">
        <v>1243</v>
      </c>
      <c r="C24" s="378" t="s">
        <v>1362</v>
      </c>
      <c r="D24" s="378" t="s">
        <v>435</v>
      </c>
      <c r="E24" s="131"/>
      <c r="F24" s="371" t="s">
        <v>1363</v>
      </c>
      <c r="G24" s="888"/>
      <c r="H24" s="378" t="s">
        <v>1433</v>
      </c>
      <c r="I24" s="888"/>
      <c r="J24" s="378" t="s">
        <v>806</v>
      </c>
      <c r="K24" s="888"/>
      <c r="L24" s="378">
        <v>58</v>
      </c>
      <c r="M24" s="888"/>
      <c r="N24" s="378">
        <v>95</v>
      </c>
      <c r="O24" s="888"/>
      <c r="P24" s="378" t="s">
        <v>300</v>
      </c>
      <c r="Q24" s="409" t="s">
        <v>14</v>
      </c>
      <c r="R24" s="410" t="s">
        <v>14</v>
      </c>
      <c r="S24" s="409" t="s">
        <v>14</v>
      </c>
      <c r="T24" s="410" t="s">
        <v>14</v>
      </c>
      <c r="U24" s="378"/>
      <c r="V24" s="371"/>
      <c r="W24" s="378"/>
      <c r="X24" s="371"/>
    </row>
    <row r="25" spans="1:24" s="363" customFormat="1" x14ac:dyDescent="0.3">
      <c r="A25" s="378"/>
      <c r="B25" s="135" t="s">
        <v>1244</v>
      </c>
      <c r="C25" s="378" t="s">
        <v>1364</v>
      </c>
      <c r="D25" s="378" t="s">
        <v>435</v>
      </c>
      <c r="E25" s="131"/>
      <c r="F25" s="371" t="s">
        <v>1365</v>
      </c>
      <c r="G25" s="888"/>
      <c r="H25" s="378" t="s">
        <v>1435</v>
      </c>
      <c r="I25" s="888"/>
      <c r="J25" s="378" t="s">
        <v>806</v>
      </c>
      <c r="K25" s="888"/>
      <c r="L25" s="378">
        <v>58</v>
      </c>
      <c r="M25" s="888"/>
      <c r="N25" s="378">
        <v>95</v>
      </c>
      <c r="O25" s="888"/>
      <c r="P25" s="378" t="s">
        <v>300</v>
      </c>
      <c r="Q25" s="409" t="s">
        <v>14</v>
      </c>
      <c r="R25" s="410" t="s">
        <v>14</v>
      </c>
      <c r="S25" s="409" t="s">
        <v>14</v>
      </c>
      <c r="T25" s="410" t="s">
        <v>14</v>
      </c>
      <c r="U25" s="378"/>
      <c r="V25" s="371"/>
      <c r="W25" s="378"/>
      <c r="X25" s="371"/>
    </row>
    <row r="26" spans="1:24" s="363" customFormat="1" x14ac:dyDescent="0.3">
      <c r="A26" s="378"/>
      <c r="B26" s="135" t="s">
        <v>1245</v>
      </c>
      <c r="C26" s="378" t="s">
        <v>1366</v>
      </c>
      <c r="D26" s="378" t="s">
        <v>435</v>
      </c>
      <c r="E26" s="131"/>
      <c r="F26" s="371" t="s">
        <v>1194</v>
      </c>
      <c r="G26" s="888"/>
      <c r="H26" s="378" t="s">
        <v>1435</v>
      </c>
      <c r="I26" s="888"/>
      <c r="J26" s="378" t="s">
        <v>806</v>
      </c>
      <c r="K26" s="888"/>
      <c r="L26" s="378">
        <v>58</v>
      </c>
      <c r="M26" s="888"/>
      <c r="N26" s="378">
        <v>95</v>
      </c>
      <c r="O26" s="888"/>
      <c r="P26" s="378" t="s">
        <v>300</v>
      </c>
      <c r="Q26" s="409" t="s">
        <v>14</v>
      </c>
      <c r="R26" s="410" t="s">
        <v>14</v>
      </c>
      <c r="S26" s="409" t="s">
        <v>14</v>
      </c>
      <c r="T26" s="410" t="s">
        <v>14</v>
      </c>
      <c r="U26" s="378"/>
      <c r="V26" s="371"/>
      <c r="W26" s="378"/>
      <c r="X26" s="371"/>
    </row>
    <row r="27" spans="1:24" ht="27.6" x14ac:dyDescent="0.3">
      <c r="A27" s="82"/>
      <c r="B27" s="122" t="s">
        <v>1367</v>
      </c>
      <c r="C27" s="371" t="s">
        <v>1368</v>
      </c>
      <c r="D27" s="378" t="s">
        <v>435</v>
      </c>
      <c r="E27" s="131"/>
      <c r="F27" s="371" t="s">
        <v>803</v>
      </c>
      <c r="G27" s="888"/>
      <c r="H27" s="378" t="s">
        <v>805</v>
      </c>
      <c r="I27" s="888"/>
      <c r="J27" s="378" t="s">
        <v>806</v>
      </c>
      <c r="K27" s="888"/>
      <c r="L27" s="378">
        <v>58</v>
      </c>
      <c r="M27" s="888"/>
      <c r="N27" s="378">
        <v>95</v>
      </c>
      <c r="O27" s="888"/>
      <c r="P27" s="378" t="s">
        <v>300</v>
      </c>
      <c r="Q27" s="409" t="s">
        <v>14</v>
      </c>
      <c r="R27" s="410" t="s">
        <v>14</v>
      </c>
      <c r="S27" s="409" t="s">
        <v>14</v>
      </c>
      <c r="T27" s="410" t="s">
        <v>14</v>
      </c>
    </row>
    <row r="28" spans="1:24" s="364" customFormat="1" ht="13.8" x14ac:dyDescent="0.3">
      <c r="A28" s="378"/>
      <c r="B28" s="316" t="s">
        <v>801</v>
      </c>
      <c r="C28" s="158" t="s">
        <v>913</v>
      </c>
      <c r="D28" s="158" t="s">
        <v>435</v>
      </c>
      <c r="E28" s="233"/>
      <c r="F28" s="160" t="s">
        <v>801</v>
      </c>
      <c r="G28" s="892"/>
      <c r="H28" s="158" t="s">
        <v>807</v>
      </c>
      <c r="I28" s="892"/>
      <c r="J28" s="158" t="s">
        <v>802</v>
      </c>
      <c r="K28" s="411" t="s">
        <v>14</v>
      </c>
      <c r="L28" s="432" t="s">
        <v>14</v>
      </c>
      <c r="M28" s="411" t="s">
        <v>14</v>
      </c>
      <c r="N28" s="432" t="s">
        <v>14</v>
      </c>
      <c r="O28" s="892"/>
      <c r="P28" s="199" t="s">
        <v>300</v>
      </c>
      <c r="Q28" s="411" t="s">
        <v>14</v>
      </c>
      <c r="R28" s="412" t="s">
        <v>14</v>
      </c>
      <c r="S28" s="411" t="s">
        <v>14</v>
      </c>
      <c r="T28" s="412" t="s">
        <v>14</v>
      </c>
      <c r="U28" s="369"/>
      <c r="V28" s="85"/>
      <c r="W28" s="369"/>
      <c r="X28" s="85"/>
    </row>
    <row r="29" spans="1:24" x14ac:dyDescent="0.3">
      <c r="A29" s="82"/>
      <c r="B29" s="77"/>
      <c r="C29" s="84"/>
      <c r="D29" s="82"/>
      <c r="E29" s="84"/>
      <c r="F29" s="82"/>
      <c r="G29" s="82"/>
      <c r="H29" s="82"/>
      <c r="I29" s="84"/>
      <c r="J29" s="82"/>
      <c r="K29" s="84"/>
      <c r="L29" s="82"/>
      <c r="N29" s="369"/>
      <c r="P29" s="369"/>
      <c r="R29" s="369"/>
      <c r="T29" s="369"/>
    </row>
    <row r="30" spans="1:24" x14ac:dyDescent="0.3">
      <c r="A30" s="82"/>
      <c r="B30" s="77"/>
      <c r="C30" s="84"/>
      <c r="D30" s="82"/>
      <c r="E30" s="84"/>
      <c r="F30" s="82"/>
      <c r="G30" s="84"/>
      <c r="H30" s="82"/>
      <c r="I30" s="84"/>
      <c r="J30" s="82"/>
      <c r="K30" s="82"/>
      <c r="L30" s="82"/>
      <c r="N30" s="369"/>
      <c r="P30" s="369"/>
      <c r="R30" s="369"/>
      <c r="T30" s="369"/>
    </row>
    <row r="31" spans="1:24" ht="41.4" x14ac:dyDescent="0.3">
      <c r="A31" s="82"/>
      <c r="B31" s="108" t="s">
        <v>501</v>
      </c>
      <c r="C31" s="116" t="s">
        <v>502</v>
      </c>
      <c r="D31" s="112" t="s">
        <v>433</v>
      </c>
      <c r="E31" s="177"/>
      <c r="F31" s="110" t="s">
        <v>137</v>
      </c>
      <c r="G31" s="170"/>
      <c r="H31" s="168" t="s">
        <v>503</v>
      </c>
      <c r="I31" s="189"/>
      <c r="J31" s="110" t="s">
        <v>204</v>
      </c>
      <c r="K31" s="440"/>
      <c r="L31" s="110" t="s">
        <v>1053</v>
      </c>
      <c r="M31" s="442"/>
      <c r="N31" s="110" t="s">
        <v>1054</v>
      </c>
      <c r="O31" s="441"/>
      <c r="P31" s="110" t="s">
        <v>1055</v>
      </c>
      <c r="R31" s="369"/>
      <c r="T31" s="369"/>
      <c r="V31" s="369"/>
      <c r="X31" s="369"/>
    </row>
    <row r="32" spans="1:24" ht="15" thickBot="1" x14ac:dyDescent="0.35">
      <c r="A32" s="82"/>
      <c r="B32" s="173" t="s">
        <v>280</v>
      </c>
      <c r="C32" s="171" t="s">
        <v>262</v>
      </c>
      <c r="D32" s="376"/>
      <c r="E32" s="178"/>
      <c r="F32" s="174" t="s">
        <v>264</v>
      </c>
      <c r="G32" s="172"/>
      <c r="H32" s="171" t="s">
        <v>933</v>
      </c>
      <c r="I32" s="178"/>
      <c r="J32" s="174" t="s">
        <v>263</v>
      </c>
      <c r="K32" s="184"/>
      <c r="L32" s="171" t="s">
        <v>629</v>
      </c>
      <c r="M32" s="173"/>
      <c r="N32" s="174" t="s">
        <v>630</v>
      </c>
      <c r="O32" s="171"/>
      <c r="P32" s="174" t="s">
        <v>631</v>
      </c>
      <c r="R32" s="369"/>
      <c r="T32" s="369"/>
      <c r="V32" s="369"/>
      <c r="X32" s="369"/>
    </row>
    <row r="33" spans="1:24" s="364" customFormat="1" thickTop="1" x14ac:dyDescent="0.3">
      <c r="A33" s="378"/>
      <c r="B33" s="135" t="s">
        <v>554</v>
      </c>
      <c r="C33" s="378" t="s">
        <v>558</v>
      </c>
      <c r="D33" s="378" t="s">
        <v>435</v>
      </c>
      <c r="E33" s="890"/>
      <c r="F33" s="378" t="s">
        <v>173</v>
      </c>
      <c r="G33" s="890"/>
      <c r="H33" s="1">
        <v>9.8000000000000007</v>
      </c>
      <c r="I33" s="409" t="s">
        <v>14</v>
      </c>
      <c r="J33" s="410" t="s">
        <v>14</v>
      </c>
      <c r="K33" s="890"/>
      <c r="L33" s="378" t="s">
        <v>454</v>
      </c>
      <c r="M33" s="890"/>
      <c r="N33" s="378" t="s">
        <v>530</v>
      </c>
      <c r="O33" s="890"/>
      <c r="P33" s="263" t="s">
        <v>281</v>
      </c>
      <c r="Q33" s="369"/>
      <c r="R33" s="369"/>
      <c r="S33" s="369"/>
      <c r="T33" s="369"/>
      <c r="U33" s="378"/>
      <c r="V33" s="378"/>
      <c r="W33" s="378"/>
      <c r="X33" s="378"/>
    </row>
    <row r="34" spans="1:24" s="364" customFormat="1" ht="27.6" x14ac:dyDescent="0.3">
      <c r="A34" s="378"/>
      <c r="B34" s="135" t="s">
        <v>565</v>
      </c>
      <c r="C34" s="378" t="s">
        <v>573</v>
      </c>
      <c r="D34" s="378" t="s">
        <v>435</v>
      </c>
      <c r="E34" s="888"/>
      <c r="F34" s="378" t="s">
        <v>173</v>
      </c>
      <c r="G34" s="888"/>
      <c r="H34" s="1">
        <v>10.8446</v>
      </c>
      <c r="I34" s="409" t="s">
        <v>14</v>
      </c>
      <c r="J34" s="410" t="s">
        <v>14</v>
      </c>
      <c r="K34" s="893"/>
      <c r="L34" s="371" t="s">
        <v>1431</v>
      </c>
      <c r="M34" s="888"/>
      <c r="N34" s="378" t="s">
        <v>302</v>
      </c>
      <c r="O34" s="888"/>
      <c r="P34" s="197" t="s">
        <v>281</v>
      </c>
      <c r="Q34" s="369"/>
      <c r="R34" s="369"/>
      <c r="S34" s="369"/>
      <c r="T34" s="369"/>
      <c r="U34" s="378"/>
      <c r="V34" s="378"/>
      <c r="W34" s="378"/>
      <c r="X34" s="378"/>
    </row>
    <row r="35" spans="1:24" s="364" customFormat="1" ht="27.6" x14ac:dyDescent="0.3">
      <c r="A35" s="378"/>
      <c r="B35" s="135" t="s">
        <v>566</v>
      </c>
      <c r="C35" s="378" t="s">
        <v>574</v>
      </c>
      <c r="D35" s="378" t="s">
        <v>435</v>
      </c>
      <c r="E35" s="888"/>
      <c r="F35" s="378" t="s">
        <v>173</v>
      </c>
      <c r="G35" s="888"/>
      <c r="H35" s="1">
        <v>10.8446</v>
      </c>
      <c r="I35" s="409" t="s">
        <v>14</v>
      </c>
      <c r="J35" s="410" t="s">
        <v>14</v>
      </c>
      <c r="K35" s="893"/>
      <c r="L35" s="371" t="s">
        <v>1431</v>
      </c>
      <c r="M35" s="888"/>
      <c r="N35" s="378" t="s">
        <v>302</v>
      </c>
      <c r="O35" s="888"/>
      <c r="P35" s="197" t="s">
        <v>281</v>
      </c>
      <c r="Q35" s="369"/>
      <c r="R35" s="369"/>
      <c r="S35" s="369"/>
      <c r="T35" s="369"/>
      <c r="U35" s="378"/>
      <c r="V35" s="378"/>
      <c r="W35" s="378"/>
      <c r="X35" s="378"/>
    </row>
    <row r="36" spans="1:24" s="364" customFormat="1" ht="13.8" x14ac:dyDescent="0.3">
      <c r="A36" s="378"/>
      <c r="B36" s="135" t="s">
        <v>795</v>
      </c>
      <c r="C36" s="378" t="s">
        <v>808</v>
      </c>
      <c r="D36" s="378" t="s">
        <v>435</v>
      </c>
      <c r="E36" s="888"/>
      <c r="F36" s="378" t="s">
        <v>173</v>
      </c>
      <c r="G36" s="888"/>
      <c r="H36" s="1">
        <v>11</v>
      </c>
      <c r="I36" s="409" t="s">
        <v>14</v>
      </c>
      <c r="J36" s="410" t="s">
        <v>14</v>
      </c>
      <c r="K36" s="893"/>
      <c r="L36" s="371" t="s">
        <v>454</v>
      </c>
      <c r="M36" s="888"/>
      <c r="N36" s="378" t="s">
        <v>530</v>
      </c>
      <c r="O36" s="888"/>
      <c r="P36" s="197" t="s">
        <v>281</v>
      </c>
      <c r="Q36" s="369"/>
      <c r="R36" s="369"/>
      <c r="S36" s="369"/>
      <c r="T36" s="369"/>
      <c r="U36" s="378"/>
      <c r="V36" s="378"/>
      <c r="W36" s="378"/>
      <c r="X36" s="378"/>
    </row>
    <row r="37" spans="1:24" s="364" customFormat="1" ht="27.6" x14ac:dyDescent="0.3">
      <c r="A37" s="378"/>
      <c r="B37" s="135" t="s">
        <v>1360</v>
      </c>
      <c r="C37" s="378" t="s">
        <v>1369</v>
      </c>
      <c r="D37" s="378" t="s">
        <v>435</v>
      </c>
      <c r="E37" s="894"/>
      <c r="F37" s="378" t="s">
        <v>173</v>
      </c>
      <c r="G37" s="888"/>
      <c r="H37" s="1">
        <v>10.8</v>
      </c>
      <c r="I37" s="409"/>
      <c r="J37" s="410"/>
      <c r="K37" s="893"/>
      <c r="L37" s="371" t="s">
        <v>1431</v>
      </c>
      <c r="M37" s="888"/>
      <c r="N37" s="378" t="s">
        <v>302</v>
      </c>
      <c r="O37" s="888"/>
      <c r="P37" s="197" t="s">
        <v>281</v>
      </c>
      <c r="Q37" s="369"/>
      <c r="R37" s="369"/>
      <c r="S37" s="369"/>
      <c r="T37" s="369"/>
      <c r="U37" s="378"/>
      <c r="V37" s="378"/>
      <c r="W37" s="378"/>
      <c r="X37" s="378"/>
    </row>
    <row r="38" spans="1:24" s="364" customFormat="1" ht="27.6" x14ac:dyDescent="0.3">
      <c r="A38" s="378"/>
      <c r="B38" s="135" t="s">
        <v>1362</v>
      </c>
      <c r="C38" s="378" t="s">
        <v>1370</v>
      </c>
      <c r="D38" s="378" t="s">
        <v>435</v>
      </c>
      <c r="E38" s="894"/>
      <c r="F38" s="378" t="s">
        <v>173</v>
      </c>
      <c r="G38" s="888"/>
      <c r="H38" s="1">
        <v>12.2</v>
      </c>
      <c r="I38" s="409"/>
      <c r="J38" s="410"/>
      <c r="K38" s="893"/>
      <c r="L38" s="371" t="s">
        <v>1431</v>
      </c>
      <c r="M38" s="888"/>
      <c r="N38" s="378" t="s">
        <v>302</v>
      </c>
      <c r="O38" s="888"/>
      <c r="P38" s="197" t="s">
        <v>281</v>
      </c>
      <c r="Q38" s="369"/>
      <c r="R38" s="369"/>
      <c r="S38" s="369"/>
      <c r="T38" s="369"/>
      <c r="U38" s="378"/>
      <c r="V38" s="378"/>
      <c r="W38" s="378"/>
      <c r="X38" s="378"/>
    </row>
    <row r="39" spans="1:24" s="364" customFormat="1" ht="27.6" x14ac:dyDescent="0.3">
      <c r="A39" s="378"/>
      <c r="B39" s="135" t="s">
        <v>1364</v>
      </c>
      <c r="C39" s="378" t="s">
        <v>1371</v>
      </c>
      <c r="D39" s="378" t="s">
        <v>435</v>
      </c>
      <c r="E39" s="894"/>
      <c r="F39" s="378" t="s">
        <v>173</v>
      </c>
      <c r="G39" s="888"/>
      <c r="H39" s="1">
        <v>11.4072</v>
      </c>
      <c r="I39" s="409"/>
      <c r="J39" s="410"/>
      <c r="K39" s="893"/>
      <c r="L39" s="371" t="s">
        <v>1431</v>
      </c>
      <c r="M39" s="888"/>
      <c r="N39" s="378" t="s">
        <v>302</v>
      </c>
      <c r="O39" s="888"/>
      <c r="P39" s="197" t="s">
        <v>281</v>
      </c>
      <c r="Q39" s="369"/>
      <c r="R39" s="369"/>
      <c r="S39" s="369"/>
      <c r="T39" s="369"/>
      <c r="U39" s="378"/>
      <c r="V39" s="378"/>
      <c r="W39" s="378"/>
      <c r="X39" s="378"/>
    </row>
    <row r="40" spans="1:24" s="364" customFormat="1" ht="27.6" x14ac:dyDescent="0.3">
      <c r="A40" s="378"/>
      <c r="B40" s="135" t="s">
        <v>1366</v>
      </c>
      <c r="C40" s="378" t="s">
        <v>1372</v>
      </c>
      <c r="D40" s="378" t="s">
        <v>435</v>
      </c>
      <c r="E40" s="894"/>
      <c r="F40" s="378" t="s">
        <v>173</v>
      </c>
      <c r="G40" s="888"/>
      <c r="H40" s="1">
        <v>11.4072</v>
      </c>
      <c r="I40" s="409"/>
      <c r="J40" s="410"/>
      <c r="K40" s="893"/>
      <c r="L40" s="371" t="s">
        <v>1431</v>
      </c>
      <c r="M40" s="888"/>
      <c r="N40" s="378" t="s">
        <v>302</v>
      </c>
      <c r="O40" s="888"/>
      <c r="P40" s="197" t="s">
        <v>281</v>
      </c>
      <c r="Q40" s="369"/>
      <c r="R40" s="369"/>
      <c r="S40" s="369"/>
      <c r="T40" s="369"/>
      <c r="U40" s="378"/>
      <c r="V40" s="378"/>
      <c r="W40" s="378"/>
      <c r="X40" s="378"/>
    </row>
    <row r="41" spans="1:24" s="364" customFormat="1" ht="13.8" x14ac:dyDescent="0.3">
      <c r="A41" s="378"/>
      <c r="B41" s="135" t="s">
        <v>809</v>
      </c>
      <c r="C41" s="378" t="s">
        <v>810</v>
      </c>
      <c r="D41" s="378" t="s">
        <v>435</v>
      </c>
      <c r="E41" s="888"/>
      <c r="F41" s="378" t="s">
        <v>704</v>
      </c>
      <c r="G41" s="409" t="s">
        <v>14</v>
      </c>
      <c r="H41" s="851" t="s">
        <v>14</v>
      </c>
      <c r="I41" s="409" t="s">
        <v>14</v>
      </c>
      <c r="J41" s="410" t="s">
        <v>14</v>
      </c>
      <c r="K41" s="409" t="s">
        <v>14</v>
      </c>
      <c r="L41" s="472" t="s">
        <v>14</v>
      </c>
      <c r="M41" s="409" t="s">
        <v>14</v>
      </c>
      <c r="N41" s="428" t="s">
        <v>14</v>
      </c>
      <c r="O41" s="409" t="s">
        <v>14</v>
      </c>
      <c r="P41" s="410" t="s">
        <v>14</v>
      </c>
      <c r="Q41" s="369"/>
      <c r="R41" s="369"/>
      <c r="S41" s="369"/>
      <c r="T41" s="369"/>
      <c r="U41" s="378"/>
      <c r="V41" s="378"/>
      <c r="W41" s="378"/>
      <c r="X41" s="378"/>
    </row>
    <row r="42" spans="1:24" s="364" customFormat="1" ht="27.6" x14ac:dyDescent="0.3">
      <c r="A42" s="378"/>
      <c r="B42" s="316" t="s">
        <v>796</v>
      </c>
      <c r="C42" s="158" t="s">
        <v>814</v>
      </c>
      <c r="D42" s="158" t="s">
        <v>435</v>
      </c>
      <c r="E42" s="891"/>
      <c r="F42" s="158" t="s">
        <v>173</v>
      </c>
      <c r="G42" s="895"/>
      <c r="H42" s="234">
        <v>10.8446</v>
      </c>
      <c r="I42" s="411" t="s">
        <v>14</v>
      </c>
      <c r="J42" s="412" t="s">
        <v>14</v>
      </c>
      <c r="K42" s="895"/>
      <c r="L42" s="160" t="s">
        <v>1431</v>
      </c>
      <c r="M42" s="895"/>
      <c r="N42" s="158" t="s">
        <v>302</v>
      </c>
      <c r="O42" s="895"/>
      <c r="P42" s="199" t="s">
        <v>281</v>
      </c>
      <c r="Q42" s="369"/>
      <c r="R42" s="369"/>
      <c r="S42" s="369"/>
      <c r="T42" s="369"/>
      <c r="U42" s="378"/>
      <c r="V42" s="378"/>
      <c r="W42" s="378"/>
      <c r="X42" s="378"/>
    </row>
    <row r="43" spans="1:24" x14ac:dyDescent="0.3">
      <c r="A43" s="82"/>
      <c r="B43" s="77"/>
      <c r="C43" s="75"/>
      <c r="D43" s="82"/>
      <c r="E43" s="84"/>
      <c r="F43" s="82"/>
      <c r="G43" s="84"/>
      <c r="H43" s="82"/>
      <c r="I43" s="84"/>
      <c r="J43" s="82"/>
      <c r="K43" s="29"/>
      <c r="L43" s="369"/>
      <c r="N43" s="369"/>
      <c r="P43" s="369"/>
      <c r="R43" s="369"/>
      <c r="T43" s="369"/>
      <c r="V43" s="369"/>
      <c r="X43" s="369"/>
    </row>
    <row r="44" spans="1:24" x14ac:dyDescent="0.3">
      <c r="G44" s="369"/>
      <c r="H44" s="85"/>
      <c r="R44" s="369"/>
      <c r="T44" s="369"/>
      <c r="U44" s="397"/>
      <c r="V44" s="397"/>
      <c r="W44" s="397"/>
      <c r="X44" s="397"/>
    </row>
    <row r="45" spans="1:24" ht="27.6" x14ac:dyDescent="0.3">
      <c r="A45" s="82"/>
      <c r="B45" s="108" t="s">
        <v>501</v>
      </c>
      <c r="C45" s="116" t="s">
        <v>504</v>
      </c>
      <c r="D45" s="112" t="s">
        <v>433</v>
      </c>
      <c r="E45" s="177"/>
      <c r="F45" s="110" t="s">
        <v>474</v>
      </c>
      <c r="G45" s="168"/>
      <c r="H45" s="168" t="s">
        <v>603</v>
      </c>
      <c r="I45" s="189"/>
      <c r="J45" s="110" t="s">
        <v>204</v>
      </c>
      <c r="K45" s="182"/>
      <c r="L45" s="110" t="s">
        <v>1056</v>
      </c>
      <c r="N45" s="369"/>
      <c r="P45" s="369"/>
      <c r="R45" s="369"/>
      <c r="S45" s="397"/>
      <c r="T45" s="397"/>
      <c r="U45" s="397"/>
      <c r="V45" s="397"/>
      <c r="W45" s="397"/>
      <c r="X45" s="397"/>
    </row>
    <row r="46" spans="1:24" ht="15" thickBot="1" x14ac:dyDescent="0.35">
      <c r="A46" s="82"/>
      <c r="B46" s="173" t="s">
        <v>282</v>
      </c>
      <c r="C46" s="171" t="s">
        <v>265</v>
      </c>
      <c r="D46" s="171"/>
      <c r="E46" s="178"/>
      <c r="F46" s="174" t="s">
        <v>266</v>
      </c>
      <c r="G46" s="172"/>
      <c r="H46" s="171" t="s">
        <v>267</v>
      </c>
      <c r="I46" s="178"/>
      <c r="J46" s="174"/>
      <c r="K46" s="117"/>
      <c r="L46" s="174" t="s">
        <v>283</v>
      </c>
      <c r="N46" s="369"/>
      <c r="P46" s="369"/>
      <c r="R46" s="369"/>
      <c r="S46" s="397"/>
      <c r="T46" s="397"/>
      <c r="U46" s="397"/>
      <c r="V46" s="397"/>
      <c r="W46" s="397"/>
      <c r="X46" s="397"/>
    </row>
    <row r="47" spans="1:24" s="364" customFormat="1" thickTop="1" x14ac:dyDescent="0.3">
      <c r="A47" s="378"/>
      <c r="B47" s="135" t="s">
        <v>554</v>
      </c>
      <c r="C47" s="378" t="s">
        <v>559</v>
      </c>
      <c r="D47" s="378" t="s">
        <v>435</v>
      </c>
      <c r="E47" s="896"/>
      <c r="F47" s="274" t="s">
        <v>562</v>
      </c>
      <c r="G47" s="380" t="s">
        <v>14</v>
      </c>
      <c r="H47" s="283" t="s">
        <v>14</v>
      </c>
      <c r="I47" s="380" t="s">
        <v>14</v>
      </c>
      <c r="J47" s="283" t="s">
        <v>14</v>
      </c>
      <c r="K47" s="380" t="s">
        <v>14</v>
      </c>
      <c r="L47" s="283" t="s">
        <v>14</v>
      </c>
      <c r="M47" s="378"/>
      <c r="N47" s="378"/>
      <c r="O47" s="378"/>
      <c r="P47" s="369"/>
      <c r="Q47" s="378"/>
      <c r="R47" s="378"/>
    </row>
    <row r="48" spans="1:24" s="364" customFormat="1" ht="13.8" x14ac:dyDescent="0.3">
      <c r="A48" s="378"/>
      <c r="B48" s="135" t="s">
        <v>565</v>
      </c>
      <c r="C48" s="378" t="s">
        <v>575</v>
      </c>
      <c r="D48" s="378" t="s">
        <v>435</v>
      </c>
      <c r="E48" s="897"/>
      <c r="F48" s="274" t="s">
        <v>562</v>
      </c>
      <c r="G48" s="380" t="s">
        <v>14</v>
      </c>
      <c r="H48" s="283" t="s">
        <v>14</v>
      </c>
      <c r="I48" s="380" t="s">
        <v>14</v>
      </c>
      <c r="J48" s="283" t="s">
        <v>14</v>
      </c>
      <c r="K48" s="380" t="s">
        <v>14</v>
      </c>
      <c r="L48" s="283" t="s">
        <v>14</v>
      </c>
      <c r="M48" s="378"/>
      <c r="N48" s="378"/>
      <c r="O48" s="378"/>
      <c r="P48" s="369"/>
      <c r="Q48" s="378"/>
      <c r="R48" s="378"/>
    </row>
    <row r="49" spans="1:24" s="364" customFormat="1" ht="13.8" x14ac:dyDescent="0.3">
      <c r="A49" s="378"/>
      <c r="B49" s="135" t="s">
        <v>566</v>
      </c>
      <c r="C49" s="378" t="s">
        <v>576</v>
      </c>
      <c r="D49" s="378" t="s">
        <v>435</v>
      </c>
      <c r="E49" s="897"/>
      <c r="F49" s="274" t="s">
        <v>562</v>
      </c>
      <c r="G49" s="380" t="s">
        <v>14</v>
      </c>
      <c r="H49" s="283" t="s">
        <v>14</v>
      </c>
      <c r="I49" s="380" t="s">
        <v>14</v>
      </c>
      <c r="J49" s="283" t="s">
        <v>14</v>
      </c>
      <c r="K49" s="380" t="s">
        <v>14</v>
      </c>
      <c r="L49" s="283" t="s">
        <v>14</v>
      </c>
      <c r="M49" s="378"/>
      <c r="N49" s="378"/>
      <c r="O49" s="378"/>
      <c r="P49" s="378"/>
      <c r="Q49" s="378"/>
      <c r="R49" s="378"/>
    </row>
    <row r="50" spans="1:24" s="364" customFormat="1" ht="13.8" x14ac:dyDescent="0.3">
      <c r="A50" s="378"/>
      <c r="B50" s="135" t="s">
        <v>795</v>
      </c>
      <c r="C50" s="378" t="s">
        <v>811</v>
      </c>
      <c r="D50" s="378" t="s">
        <v>435</v>
      </c>
      <c r="E50" s="897"/>
      <c r="F50" s="274" t="s">
        <v>562</v>
      </c>
      <c r="G50" s="380" t="s">
        <v>14</v>
      </c>
      <c r="H50" s="283" t="s">
        <v>14</v>
      </c>
      <c r="I50" s="380" t="s">
        <v>14</v>
      </c>
      <c r="J50" s="283" t="s">
        <v>14</v>
      </c>
      <c r="K50" s="380" t="s">
        <v>14</v>
      </c>
      <c r="L50" s="283" t="s">
        <v>14</v>
      </c>
      <c r="M50" s="378"/>
      <c r="N50" s="378"/>
      <c r="O50" s="378"/>
      <c r="P50" s="378"/>
      <c r="Q50" s="378"/>
      <c r="R50" s="378"/>
    </row>
    <row r="51" spans="1:24" s="364" customFormat="1" ht="13.8" x14ac:dyDescent="0.3">
      <c r="A51" s="378"/>
      <c r="B51" s="135" t="s">
        <v>554</v>
      </c>
      <c r="C51" s="378" t="s">
        <v>587</v>
      </c>
      <c r="D51" s="378" t="s">
        <v>435</v>
      </c>
      <c r="E51" s="897"/>
      <c r="F51" s="274" t="s">
        <v>562</v>
      </c>
      <c r="G51" s="380" t="s">
        <v>14</v>
      </c>
      <c r="H51" s="283" t="s">
        <v>14</v>
      </c>
      <c r="I51" s="380" t="s">
        <v>14</v>
      </c>
      <c r="J51" s="283" t="s">
        <v>14</v>
      </c>
      <c r="K51" s="380" t="s">
        <v>14</v>
      </c>
      <c r="L51" s="283" t="s">
        <v>14</v>
      </c>
      <c r="M51" s="378"/>
      <c r="N51" s="378"/>
      <c r="O51" s="378"/>
      <c r="P51" s="378"/>
      <c r="Q51" s="378"/>
      <c r="R51" s="378"/>
    </row>
    <row r="52" spans="1:24" s="364" customFormat="1" ht="13.8" x14ac:dyDescent="0.3">
      <c r="A52" s="378"/>
      <c r="B52" s="135" t="s">
        <v>565</v>
      </c>
      <c r="C52" s="378" t="s">
        <v>587</v>
      </c>
      <c r="D52" s="378" t="s">
        <v>435</v>
      </c>
      <c r="E52" s="897"/>
      <c r="F52" s="274" t="s">
        <v>562</v>
      </c>
      <c r="G52" s="380" t="s">
        <v>14</v>
      </c>
      <c r="H52" s="283" t="s">
        <v>14</v>
      </c>
      <c r="I52" s="380" t="s">
        <v>14</v>
      </c>
      <c r="J52" s="283" t="s">
        <v>14</v>
      </c>
      <c r="K52" s="380" t="s">
        <v>14</v>
      </c>
      <c r="L52" s="283" t="s">
        <v>14</v>
      </c>
      <c r="M52" s="378"/>
      <c r="N52" s="378"/>
      <c r="O52" s="378"/>
      <c r="P52" s="378"/>
      <c r="Q52" s="378"/>
      <c r="R52" s="378"/>
    </row>
    <row r="53" spans="1:24" s="364" customFormat="1" ht="13.8" x14ac:dyDescent="0.3">
      <c r="A53" s="378"/>
      <c r="B53" s="135" t="s">
        <v>566</v>
      </c>
      <c r="C53" s="378" t="s">
        <v>587</v>
      </c>
      <c r="D53" s="378" t="s">
        <v>435</v>
      </c>
      <c r="E53" s="897"/>
      <c r="F53" s="274" t="s">
        <v>562</v>
      </c>
      <c r="G53" s="380" t="s">
        <v>14</v>
      </c>
      <c r="H53" s="283" t="s">
        <v>14</v>
      </c>
      <c r="I53" s="380" t="s">
        <v>14</v>
      </c>
      <c r="J53" s="283" t="s">
        <v>14</v>
      </c>
      <c r="K53" s="380" t="s">
        <v>14</v>
      </c>
      <c r="L53" s="283" t="s">
        <v>14</v>
      </c>
      <c r="M53" s="378"/>
      <c r="N53" s="378"/>
      <c r="O53" s="378"/>
      <c r="P53" s="378"/>
      <c r="Q53" s="378"/>
      <c r="R53" s="378"/>
    </row>
    <row r="54" spans="1:24" s="364" customFormat="1" ht="13.8" x14ac:dyDescent="0.3">
      <c r="A54" s="378"/>
      <c r="B54" s="135" t="s">
        <v>795</v>
      </c>
      <c r="C54" s="378" t="s">
        <v>587</v>
      </c>
      <c r="D54" s="378" t="s">
        <v>435</v>
      </c>
      <c r="E54" s="897"/>
      <c r="F54" s="197" t="s">
        <v>562</v>
      </c>
      <c r="G54" s="380" t="s">
        <v>14</v>
      </c>
      <c r="H54" s="283" t="s">
        <v>14</v>
      </c>
      <c r="I54" s="380" t="s">
        <v>14</v>
      </c>
      <c r="J54" s="283" t="s">
        <v>14</v>
      </c>
      <c r="K54" s="380" t="s">
        <v>14</v>
      </c>
      <c r="L54" s="283" t="s">
        <v>14</v>
      </c>
      <c r="M54" s="378"/>
      <c r="N54" s="378"/>
      <c r="O54" s="378"/>
      <c r="P54" s="378"/>
      <c r="Q54" s="378"/>
      <c r="R54" s="378"/>
    </row>
    <row r="55" spans="1:24" s="364" customFormat="1" ht="13.8" x14ac:dyDescent="0.3">
      <c r="A55" s="378"/>
      <c r="B55" s="135" t="s">
        <v>1360</v>
      </c>
      <c r="C55" s="378" t="s">
        <v>1373</v>
      </c>
      <c r="D55" s="378" t="s">
        <v>435</v>
      </c>
      <c r="E55" s="898"/>
      <c r="F55" s="197" t="s">
        <v>815</v>
      </c>
      <c r="G55" s="899"/>
      <c r="H55" s="779">
        <f>0.0051427*(78)+0.3989</f>
        <v>0.80003059999999993</v>
      </c>
      <c r="I55" s="380" t="s">
        <v>14</v>
      </c>
      <c r="J55" s="283" t="s">
        <v>14</v>
      </c>
      <c r="K55" s="899"/>
      <c r="L55" s="197" t="s">
        <v>284</v>
      </c>
      <c r="M55" s="378"/>
      <c r="N55" s="378"/>
      <c r="O55" s="378"/>
      <c r="P55" s="378"/>
      <c r="Q55" s="378"/>
      <c r="R55" s="378"/>
    </row>
    <row r="56" spans="1:24" s="364" customFormat="1" ht="13.8" x14ac:dyDescent="0.3">
      <c r="A56" s="378"/>
      <c r="B56" s="135" t="s">
        <v>1362</v>
      </c>
      <c r="C56" s="378" t="s">
        <v>1374</v>
      </c>
      <c r="D56" s="378" t="s">
        <v>435</v>
      </c>
      <c r="E56" s="898"/>
      <c r="F56" s="197" t="s">
        <v>815</v>
      </c>
      <c r="G56" s="897"/>
      <c r="H56" s="779">
        <f>0.0051427*(78)+0.3989</f>
        <v>0.80003059999999993</v>
      </c>
      <c r="I56" s="380" t="s">
        <v>14</v>
      </c>
      <c r="J56" s="283" t="s">
        <v>14</v>
      </c>
      <c r="K56" s="897"/>
      <c r="L56" s="197" t="s">
        <v>284</v>
      </c>
      <c r="M56" s="378"/>
      <c r="N56" s="378"/>
      <c r="O56" s="378"/>
      <c r="P56" s="378"/>
      <c r="Q56" s="378"/>
      <c r="R56" s="378"/>
    </row>
    <row r="57" spans="1:24" s="364" customFormat="1" ht="13.8" x14ac:dyDescent="0.3">
      <c r="A57" s="378"/>
      <c r="B57" s="135" t="s">
        <v>1364</v>
      </c>
      <c r="C57" s="378" t="s">
        <v>1375</v>
      </c>
      <c r="D57" s="378" t="s">
        <v>435</v>
      </c>
      <c r="E57" s="898"/>
      <c r="F57" s="197" t="s">
        <v>1376</v>
      </c>
      <c r="G57" s="380" t="s">
        <v>14</v>
      </c>
      <c r="H57" s="283" t="s">
        <v>14</v>
      </c>
      <c r="I57" s="380" t="s">
        <v>14</v>
      </c>
      <c r="J57" s="283" t="s">
        <v>14</v>
      </c>
      <c r="K57" s="380" t="s">
        <v>14</v>
      </c>
      <c r="L57" s="283" t="s">
        <v>14</v>
      </c>
      <c r="M57" s="378"/>
      <c r="N57" s="378"/>
      <c r="O57" s="378"/>
      <c r="P57" s="378"/>
      <c r="Q57" s="378"/>
      <c r="R57" s="378"/>
    </row>
    <row r="58" spans="1:24" s="364" customFormat="1" ht="13.8" x14ac:dyDescent="0.3">
      <c r="A58" s="378"/>
      <c r="B58" s="135" t="s">
        <v>1366</v>
      </c>
      <c r="C58" s="378" t="s">
        <v>1377</v>
      </c>
      <c r="D58" s="378" t="s">
        <v>435</v>
      </c>
      <c r="E58" s="898"/>
      <c r="F58" s="197" t="s">
        <v>1376</v>
      </c>
      <c r="G58" s="380" t="s">
        <v>14</v>
      </c>
      <c r="H58" s="283" t="s">
        <v>14</v>
      </c>
      <c r="I58" s="380" t="s">
        <v>14</v>
      </c>
      <c r="J58" s="283" t="s">
        <v>14</v>
      </c>
      <c r="K58" s="380" t="s">
        <v>14</v>
      </c>
      <c r="L58" s="283" t="s">
        <v>14</v>
      </c>
      <c r="M58" s="378"/>
      <c r="N58" s="378"/>
      <c r="O58" s="378"/>
      <c r="P58" s="378"/>
      <c r="Q58" s="378"/>
      <c r="R58" s="378"/>
    </row>
    <row r="59" spans="1:24" s="364" customFormat="1" ht="13.8" x14ac:dyDescent="0.3">
      <c r="A59" s="378"/>
      <c r="B59" s="135" t="s">
        <v>809</v>
      </c>
      <c r="C59" s="378" t="s">
        <v>812</v>
      </c>
      <c r="D59" s="378" t="s">
        <v>435</v>
      </c>
      <c r="E59" s="898"/>
      <c r="F59" s="197" t="s">
        <v>562</v>
      </c>
      <c r="G59" s="380" t="s">
        <v>14</v>
      </c>
      <c r="H59" s="283" t="s">
        <v>14</v>
      </c>
      <c r="I59" s="380" t="s">
        <v>14</v>
      </c>
      <c r="J59" s="283" t="s">
        <v>14</v>
      </c>
      <c r="K59" s="380" t="s">
        <v>14</v>
      </c>
      <c r="L59" s="283" t="s">
        <v>14</v>
      </c>
      <c r="M59" s="378"/>
      <c r="N59" s="378"/>
      <c r="O59" s="378"/>
      <c r="P59" s="378"/>
      <c r="Q59" s="378"/>
      <c r="R59" s="378"/>
    </row>
    <row r="60" spans="1:24" s="364" customFormat="1" ht="13.8" x14ac:dyDescent="0.3">
      <c r="A60" s="378"/>
      <c r="B60" s="284" t="s">
        <v>796</v>
      </c>
      <c r="C60" s="160" t="s">
        <v>813</v>
      </c>
      <c r="D60" s="476" t="s">
        <v>435</v>
      </c>
      <c r="E60" s="895"/>
      <c r="F60" s="193" t="s">
        <v>815</v>
      </c>
      <c r="G60" s="900"/>
      <c r="H60" s="579">
        <f>0.0051427*(78)+0.3989</f>
        <v>0.80003059999999993</v>
      </c>
      <c r="I60" s="279" t="s">
        <v>14</v>
      </c>
      <c r="J60" s="281" t="s">
        <v>14</v>
      </c>
      <c r="K60" s="900"/>
      <c r="L60" s="155" t="s">
        <v>284</v>
      </c>
      <c r="M60" s="378"/>
      <c r="N60" s="378"/>
      <c r="O60" s="378"/>
      <c r="P60" s="378"/>
      <c r="Q60" s="378"/>
      <c r="R60" s="378"/>
    </row>
    <row r="61" spans="1:24" x14ac:dyDescent="0.3">
      <c r="A61" s="82"/>
      <c r="B61" s="384"/>
      <c r="C61" s="384"/>
      <c r="D61" s="397"/>
      <c r="E61" s="362"/>
      <c r="F61" s="397"/>
      <c r="G61" s="362"/>
      <c r="H61" s="397"/>
      <c r="I61" s="362"/>
      <c r="J61" s="397"/>
      <c r="K61" s="362"/>
      <c r="L61" s="397"/>
      <c r="N61" s="369"/>
      <c r="P61" s="369"/>
      <c r="R61" s="369"/>
      <c r="T61" s="369"/>
      <c r="U61" s="363"/>
      <c r="V61" s="363"/>
      <c r="W61" s="363"/>
      <c r="X61" s="363"/>
    </row>
    <row r="62" spans="1:24" x14ac:dyDescent="0.3">
      <c r="A62" s="82"/>
      <c r="B62" s="83"/>
      <c r="C62" s="86"/>
      <c r="D62" s="82"/>
      <c r="E62" s="84"/>
      <c r="F62" s="82"/>
      <c r="G62" s="84"/>
      <c r="H62" s="82"/>
      <c r="I62" s="84"/>
      <c r="J62" s="82"/>
      <c r="K62" s="84"/>
      <c r="L62" s="82"/>
      <c r="M62" s="84"/>
      <c r="N62" s="82"/>
      <c r="O62" s="84"/>
      <c r="P62" s="82"/>
      <c r="Q62" s="84"/>
      <c r="R62" s="82"/>
      <c r="S62" s="84"/>
      <c r="T62" s="82"/>
      <c r="U62" s="363"/>
      <c r="V62" s="363"/>
      <c r="W62" s="363"/>
      <c r="X62" s="363"/>
    </row>
    <row r="63" spans="1:24" ht="27.6" x14ac:dyDescent="0.3">
      <c r="A63" s="82"/>
      <c r="B63" s="108" t="s">
        <v>500</v>
      </c>
      <c r="C63" s="116" t="s">
        <v>506</v>
      </c>
      <c r="D63" s="113" t="s">
        <v>433</v>
      </c>
      <c r="E63" s="177"/>
      <c r="F63" s="110" t="s">
        <v>184</v>
      </c>
      <c r="G63" s="113"/>
      <c r="H63" s="168" t="s">
        <v>277</v>
      </c>
      <c r="I63" s="125"/>
      <c r="J63" s="110" t="s">
        <v>511</v>
      </c>
      <c r="K63" s="125"/>
      <c r="L63" s="110" t="s">
        <v>183</v>
      </c>
      <c r="M63" s="168"/>
      <c r="N63" s="113" t="s">
        <v>205</v>
      </c>
      <c r="O63" s="189"/>
      <c r="P63" s="110" t="s">
        <v>507</v>
      </c>
      <c r="Q63" s="168"/>
      <c r="R63" s="168" t="s">
        <v>206</v>
      </c>
      <c r="S63" s="189"/>
      <c r="T63" s="110" t="s">
        <v>182</v>
      </c>
      <c r="U63" s="363"/>
      <c r="V63" s="363"/>
      <c r="W63" s="363"/>
      <c r="X63" s="363"/>
    </row>
    <row r="64" spans="1:24" ht="15" thickBot="1" x14ac:dyDescent="0.35">
      <c r="A64" s="82"/>
      <c r="B64" s="173" t="s">
        <v>268</v>
      </c>
      <c r="C64" s="171" t="s">
        <v>269</v>
      </c>
      <c r="D64" s="171"/>
      <c r="E64" s="178"/>
      <c r="F64" s="174" t="s">
        <v>270</v>
      </c>
      <c r="G64" s="172"/>
      <c r="H64" s="171" t="s">
        <v>271</v>
      </c>
      <c r="I64" s="178"/>
      <c r="J64" s="174"/>
      <c r="K64" s="178"/>
      <c r="L64" s="174" t="s">
        <v>272</v>
      </c>
      <c r="M64" s="172"/>
      <c r="N64" s="171" t="s">
        <v>273</v>
      </c>
      <c r="O64" s="178"/>
      <c r="P64" s="174" t="s">
        <v>274</v>
      </c>
      <c r="Q64" s="172"/>
      <c r="R64" s="171" t="s">
        <v>275</v>
      </c>
      <c r="S64" s="178"/>
      <c r="T64" s="174" t="s">
        <v>276</v>
      </c>
      <c r="U64" s="363"/>
      <c r="V64" s="363"/>
      <c r="W64" s="363"/>
      <c r="X64" s="363"/>
    </row>
    <row r="65" spans="1:24" s="364" customFormat="1" ht="15" thickTop="1" x14ac:dyDescent="0.3">
      <c r="A65" s="378"/>
      <c r="B65" s="135" t="s">
        <v>797</v>
      </c>
      <c r="C65" s="378" t="s">
        <v>563</v>
      </c>
      <c r="D65" s="378" t="s">
        <v>435</v>
      </c>
      <c r="E65" s="897"/>
      <c r="F65" s="378" t="s">
        <v>482</v>
      </c>
      <c r="G65" s="897"/>
      <c r="H65" s="378" t="s">
        <v>279</v>
      </c>
      <c r="I65" s="901" t="s">
        <v>919</v>
      </c>
      <c r="J65" s="496">
        <v>12396.3</v>
      </c>
      <c r="K65" s="897"/>
      <c r="L65" s="443">
        <f>J65*P65*(0.1175/745.6)/N65</f>
        <v>12.603534282846461</v>
      </c>
      <c r="M65" s="897"/>
      <c r="N65" s="274">
        <v>0.62</v>
      </c>
      <c r="O65" s="897"/>
      <c r="P65" s="435">
        <v>4</v>
      </c>
      <c r="Q65" s="897"/>
      <c r="R65" s="435">
        <v>15</v>
      </c>
      <c r="S65" s="897"/>
      <c r="T65" s="445">
        <v>0.92400000000000004</v>
      </c>
      <c r="V65" s="397"/>
      <c r="X65" s="528"/>
    </row>
    <row r="66" spans="1:24" s="364" customFormat="1" x14ac:dyDescent="0.3">
      <c r="A66" s="378"/>
      <c r="B66" s="135" t="s">
        <v>798</v>
      </c>
      <c r="C66" s="378" t="s">
        <v>577</v>
      </c>
      <c r="D66" s="378" t="s">
        <v>435</v>
      </c>
      <c r="E66" s="902"/>
      <c r="F66" s="378" t="s">
        <v>482</v>
      </c>
      <c r="G66" s="902"/>
      <c r="H66" s="378" t="s">
        <v>279</v>
      </c>
      <c r="I66" s="903" t="s">
        <v>919</v>
      </c>
      <c r="J66" s="496">
        <v>1646.78</v>
      </c>
      <c r="K66" s="899"/>
      <c r="L66" s="443">
        <f>J66*P66*(0.1175/745.6)/N66</f>
        <v>1.5571082349785406</v>
      </c>
      <c r="M66" s="902"/>
      <c r="N66" s="1">
        <v>0.5</v>
      </c>
      <c r="O66" s="902"/>
      <c r="P66" s="1">
        <v>3</v>
      </c>
      <c r="Q66" s="902"/>
      <c r="R66" s="1">
        <v>2</v>
      </c>
      <c r="S66" s="902"/>
      <c r="T66" s="431">
        <v>0.86499999999999999</v>
      </c>
      <c r="V66" s="397"/>
      <c r="X66" s="528"/>
    </row>
    <row r="67" spans="1:24" s="364" customFormat="1" x14ac:dyDescent="0.3">
      <c r="A67" s="378"/>
      <c r="B67" s="135" t="s">
        <v>799</v>
      </c>
      <c r="C67" s="378" t="s">
        <v>578</v>
      </c>
      <c r="D67" s="378" t="s">
        <v>435</v>
      </c>
      <c r="E67" s="902"/>
      <c r="F67" s="378" t="s">
        <v>482</v>
      </c>
      <c r="G67" s="902"/>
      <c r="H67" s="378" t="s">
        <v>279</v>
      </c>
      <c r="I67" s="903" t="s">
        <v>919</v>
      </c>
      <c r="J67" s="496">
        <v>1674.51</v>
      </c>
      <c r="K67" s="899"/>
      <c r="L67" s="443">
        <f t="shared" ref="L67:L105" si="0">J67*P67*(0.1175/745.6)/N67</f>
        <v>1.5833282591201714</v>
      </c>
      <c r="M67" s="902"/>
      <c r="N67" s="1">
        <v>0.5</v>
      </c>
      <c r="O67" s="902"/>
      <c r="P67" s="1">
        <v>3</v>
      </c>
      <c r="Q67" s="902"/>
      <c r="R67" s="1">
        <v>2</v>
      </c>
      <c r="S67" s="902"/>
      <c r="T67" s="431">
        <v>0.86499999999999999</v>
      </c>
      <c r="V67" s="397"/>
      <c r="X67" s="528"/>
    </row>
    <row r="68" spans="1:24" s="364" customFormat="1" x14ac:dyDescent="0.3">
      <c r="A68" s="378"/>
      <c r="B68" s="135" t="s">
        <v>800</v>
      </c>
      <c r="C68" s="378" t="s">
        <v>816</v>
      </c>
      <c r="D68" s="378" t="s">
        <v>435</v>
      </c>
      <c r="E68" s="902"/>
      <c r="F68" s="378" t="s">
        <v>482</v>
      </c>
      <c r="G68" s="902"/>
      <c r="H68" s="378" t="s">
        <v>279</v>
      </c>
      <c r="I68" s="903" t="s">
        <v>919</v>
      </c>
      <c r="J68" s="496">
        <v>1721.44</v>
      </c>
      <c r="K68" s="899"/>
      <c r="L68" s="443">
        <f t="shared" si="0"/>
        <v>1.6277027896995706</v>
      </c>
      <c r="M68" s="902"/>
      <c r="N68" s="1">
        <v>0.5</v>
      </c>
      <c r="O68" s="902"/>
      <c r="P68" s="1">
        <v>3</v>
      </c>
      <c r="Q68" s="902"/>
      <c r="R68" s="1">
        <v>2</v>
      </c>
      <c r="S68" s="902"/>
      <c r="T68" s="431">
        <v>0.86499999999999999</v>
      </c>
      <c r="V68" s="397"/>
      <c r="X68" s="528"/>
    </row>
    <row r="69" spans="1:24" s="627" customFormat="1" x14ac:dyDescent="0.3">
      <c r="A69" s="403"/>
      <c r="B69" s="135" t="s">
        <v>872</v>
      </c>
      <c r="C69" s="378" t="s">
        <v>1378</v>
      </c>
      <c r="D69" s="378" t="s">
        <v>435</v>
      </c>
      <c r="E69" s="902"/>
      <c r="F69" s="378" t="s">
        <v>485</v>
      </c>
      <c r="G69" s="902"/>
      <c r="H69" s="378" t="s">
        <v>279</v>
      </c>
      <c r="I69" s="904" t="s">
        <v>919</v>
      </c>
      <c r="J69" s="496">
        <v>351.02600000000001</v>
      </c>
      <c r="K69" s="903" t="s">
        <v>919</v>
      </c>
      <c r="L69" s="443">
        <f t="shared" si="0"/>
        <v>0.14088543384388411</v>
      </c>
      <c r="M69" s="902"/>
      <c r="N69" s="1">
        <v>0.5</v>
      </c>
      <c r="O69" s="902"/>
      <c r="P69" s="1">
        <v>1.2734000000000001</v>
      </c>
      <c r="Q69" s="902"/>
      <c r="R69" s="1">
        <v>0.25</v>
      </c>
      <c r="S69" s="905"/>
      <c r="T69" s="431">
        <v>0.85499999999999998</v>
      </c>
      <c r="V69" s="621"/>
      <c r="X69" s="780"/>
    </row>
    <row r="70" spans="1:24" s="627" customFormat="1" x14ac:dyDescent="0.3">
      <c r="A70" s="403"/>
      <c r="B70" s="135" t="s">
        <v>872</v>
      </c>
      <c r="C70" s="378" t="s">
        <v>1379</v>
      </c>
      <c r="D70" s="378" t="s">
        <v>435</v>
      </c>
      <c r="E70" s="902"/>
      <c r="F70" s="378" t="s">
        <v>485</v>
      </c>
      <c r="G70" s="902"/>
      <c r="H70" s="378" t="s">
        <v>279</v>
      </c>
      <c r="I70" s="904" t="s">
        <v>919</v>
      </c>
      <c r="J70" s="496">
        <v>351.02600000000001</v>
      </c>
      <c r="K70" s="903" t="s">
        <v>919</v>
      </c>
      <c r="L70" s="443">
        <f t="shared" si="0"/>
        <v>0.14088543384388411</v>
      </c>
      <c r="M70" s="902"/>
      <c r="N70" s="1">
        <v>0.5</v>
      </c>
      <c r="O70" s="902"/>
      <c r="P70" s="1">
        <v>1.2734000000000001</v>
      </c>
      <c r="Q70" s="902"/>
      <c r="R70" s="1">
        <v>0.25</v>
      </c>
      <c r="S70" s="905"/>
      <c r="T70" s="431">
        <v>0.85499999999999998</v>
      </c>
      <c r="V70" s="621"/>
      <c r="X70" s="780"/>
    </row>
    <row r="71" spans="1:24" s="627" customFormat="1" x14ac:dyDescent="0.3">
      <c r="A71" s="403"/>
      <c r="B71" s="135" t="s">
        <v>872</v>
      </c>
      <c r="C71" s="378" t="s">
        <v>1380</v>
      </c>
      <c r="D71" s="378" t="s">
        <v>435</v>
      </c>
      <c r="E71" s="902"/>
      <c r="F71" s="378" t="s">
        <v>485</v>
      </c>
      <c r="G71" s="902"/>
      <c r="H71" s="378" t="s">
        <v>279</v>
      </c>
      <c r="I71" s="904" t="s">
        <v>919</v>
      </c>
      <c r="J71" s="496">
        <v>351.02600000000001</v>
      </c>
      <c r="K71" s="903" t="s">
        <v>919</v>
      </c>
      <c r="L71" s="443">
        <f t="shared" si="0"/>
        <v>0.14088543384388411</v>
      </c>
      <c r="M71" s="902"/>
      <c r="N71" s="1">
        <v>0.5</v>
      </c>
      <c r="O71" s="902"/>
      <c r="P71" s="1">
        <v>1.2734000000000001</v>
      </c>
      <c r="Q71" s="902"/>
      <c r="R71" s="1">
        <v>0.25</v>
      </c>
      <c r="S71" s="905"/>
      <c r="T71" s="431">
        <v>0.85499999999999998</v>
      </c>
      <c r="V71" s="621"/>
      <c r="X71" s="780"/>
    </row>
    <row r="72" spans="1:24" s="627" customFormat="1" x14ac:dyDescent="0.3">
      <c r="A72" s="403"/>
      <c r="B72" s="135" t="s">
        <v>872</v>
      </c>
      <c r="C72" s="378" t="s">
        <v>1381</v>
      </c>
      <c r="D72" s="378" t="s">
        <v>435</v>
      </c>
      <c r="E72" s="902"/>
      <c r="F72" s="378" t="s">
        <v>485</v>
      </c>
      <c r="G72" s="902"/>
      <c r="H72" s="378" t="s">
        <v>279</v>
      </c>
      <c r="I72" s="904" t="s">
        <v>919</v>
      </c>
      <c r="J72" s="496">
        <v>351</v>
      </c>
      <c r="K72" s="903" t="s">
        <v>919</v>
      </c>
      <c r="L72" s="443">
        <f t="shared" si="0"/>
        <v>0.14087499865879827</v>
      </c>
      <c r="M72" s="902"/>
      <c r="N72" s="1">
        <v>0.5</v>
      </c>
      <c r="O72" s="902"/>
      <c r="P72" s="1">
        <v>1.2734000000000001</v>
      </c>
      <c r="Q72" s="902"/>
      <c r="R72" s="1">
        <v>0.25</v>
      </c>
      <c r="S72" s="905"/>
      <c r="T72" s="431">
        <v>0.85499999999999998</v>
      </c>
      <c r="V72" s="621"/>
      <c r="X72" s="780"/>
    </row>
    <row r="73" spans="1:24" s="364" customFormat="1" x14ac:dyDescent="0.3">
      <c r="A73" s="378"/>
      <c r="B73" s="135" t="s">
        <v>872</v>
      </c>
      <c r="C73" s="378" t="s">
        <v>841</v>
      </c>
      <c r="D73" s="378" t="s">
        <v>435</v>
      </c>
      <c r="E73" s="902"/>
      <c r="F73" s="378" t="s">
        <v>485</v>
      </c>
      <c r="G73" s="902"/>
      <c r="H73" s="378" t="s">
        <v>279</v>
      </c>
      <c r="I73" s="903" t="s">
        <v>919</v>
      </c>
      <c r="J73" s="496">
        <v>351</v>
      </c>
      <c r="K73" s="903" t="s">
        <v>919</v>
      </c>
      <c r="L73" s="443">
        <f t="shared" si="0"/>
        <v>0.14087499865879827</v>
      </c>
      <c r="M73" s="902"/>
      <c r="N73" s="1">
        <v>0.5</v>
      </c>
      <c r="O73" s="902"/>
      <c r="P73" s="1">
        <v>1.2734000000000001</v>
      </c>
      <c r="Q73" s="902"/>
      <c r="R73" s="1">
        <v>0.25</v>
      </c>
      <c r="S73" s="902"/>
      <c r="T73" s="431">
        <v>0.85499999999999998</v>
      </c>
      <c r="V73" s="397"/>
      <c r="X73" s="528"/>
    </row>
    <row r="74" spans="1:24" s="364" customFormat="1" x14ac:dyDescent="0.3">
      <c r="A74" s="378"/>
      <c r="B74" s="135" t="s">
        <v>873</v>
      </c>
      <c r="C74" s="378" t="s">
        <v>842</v>
      </c>
      <c r="D74" s="378" t="s">
        <v>435</v>
      </c>
      <c r="E74" s="902"/>
      <c r="F74" s="378" t="s">
        <v>485</v>
      </c>
      <c r="G74" s="902"/>
      <c r="H74" s="378" t="s">
        <v>279</v>
      </c>
      <c r="I74" s="903" t="s">
        <v>919</v>
      </c>
      <c r="J74" s="496">
        <v>351.02699999999999</v>
      </c>
      <c r="K74" s="903" t="s">
        <v>919</v>
      </c>
      <c r="L74" s="443">
        <f t="shared" si="0"/>
        <v>0.14088583519715664</v>
      </c>
      <c r="M74" s="902"/>
      <c r="N74" s="1">
        <v>0.5</v>
      </c>
      <c r="O74" s="902"/>
      <c r="P74" s="1">
        <v>1.2734000000000001</v>
      </c>
      <c r="Q74" s="902"/>
      <c r="R74" s="1">
        <v>0.25</v>
      </c>
      <c r="S74" s="902"/>
      <c r="T74" s="431">
        <v>0.85499999999999998</v>
      </c>
      <c r="V74" s="397"/>
      <c r="X74" s="528"/>
    </row>
    <row r="75" spans="1:24" s="364" customFormat="1" x14ac:dyDescent="0.3">
      <c r="A75" s="378"/>
      <c r="B75" s="135" t="s">
        <v>873</v>
      </c>
      <c r="C75" s="378" t="s">
        <v>843</v>
      </c>
      <c r="D75" s="378" t="s">
        <v>435</v>
      </c>
      <c r="E75" s="902"/>
      <c r="F75" s="378" t="s">
        <v>485</v>
      </c>
      <c r="G75" s="902"/>
      <c r="H75" s="378" t="s">
        <v>279</v>
      </c>
      <c r="I75" s="903" t="s">
        <v>919</v>
      </c>
      <c r="J75" s="496">
        <v>351.02600000000001</v>
      </c>
      <c r="K75" s="903" t="s">
        <v>919</v>
      </c>
      <c r="L75" s="443">
        <f t="shared" si="0"/>
        <v>0.14088543384388411</v>
      </c>
      <c r="M75" s="902"/>
      <c r="N75" s="1">
        <v>0.5</v>
      </c>
      <c r="O75" s="902"/>
      <c r="P75" s="1">
        <v>1.2734000000000001</v>
      </c>
      <c r="Q75" s="902"/>
      <c r="R75" s="1">
        <v>0.25</v>
      </c>
      <c r="S75" s="902"/>
      <c r="T75" s="431">
        <v>0.85499999999999998</v>
      </c>
      <c r="V75" s="397"/>
      <c r="X75" s="528"/>
    </row>
    <row r="76" spans="1:24" s="364" customFormat="1" x14ac:dyDescent="0.3">
      <c r="A76" s="378"/>
      <c r="B76" s="135" t="s">
        <v>873</v>
      </c>
      <c r="C76" s="378" t="s">
        <v>844</v>
      </c>
      <c r="D76" s="378" t="s">
        <v>435</v>
      </c>
      <c r="E76" s="902"/>
      <c r="F76" s="378" t="s">
        <v>485</v>
      </c>
      <c r="G76" s="902"/>
      <c r="H76" s="378" t="s">
        <v>279</v>
      </c>
      <c r="I76" s="903" t="s">
        <v>919</v>
      </c>
      <c r="J76" s="496">
        <v>378.03</v>
      </c>
      <c r="K76" s="903" t="s">
        <v>919</v>
      </c>
      <c r="L76" s="443">
        <f t="shared" si="0"/>
        <v>0.15172357761534333</v>
      </c>
      <c r="M76" s="902"/>
      <c r="N76" s="1">
        <v>0.5</v>
      </c>
      <c r="O76" s="902"/>
      <c r="P76" s="1">
        <v>1.2734000000000001</v>
      </c>
      <c r="Q76" s="902"/>
      <c r="R76" s="1">
        <v>0.25</v>
      </c>
      <c r="S76" s="902"/>
      <c r="T76" s="431">
        <v>0.85499999999999998</v>
      </c>
      <c r="V76" s="397"/>
      <c r="X76" s="528"/>
    </row>
    <row r="77" spans="1:24" s="364" customFormat="1" x14ac:dyDescent="0.3">
      <c r="A77" s="378"/>
      <c r="B77" s="135" t="s">
        <v>873</v>
      </c>
      <c r="C77" s="378" t="s">
        <v>845</v>
      </c>
      <c r="D77" s="378" t="s">
        <v>435</v>
      </c>
      <c r="E77" s="902"/>
      <c r="F77" s="378" t="s">
        <v>485</v>
      </c>
      <c r="G77" s="902"/>
      <c r="H77" s="378" t="s">
        <v>279</v>
      </c>
      <c r="I77" s="903" t="s">
        <v>919</v>
      </c>
      <c r="J77" s="496">
        <v>351.02600000000001</v>
      </c>
      <c r="K77" s="903" t="s">
        <v>919</v>
      </c>
      <c r="L77" s="443">
        <f t="shared" si="0"/>
        <v>0.14088543384388411</v>
      </c>
      <c r="M77" s="902"/>
      <c r="N77" s="1">
        <v>0.5</v>
      </c>
      <c r="O77" s="902"/>
      <c r="P77" s="1">
        <v>1.2734000000000001</v>
      </c>
      <c r="Q77" s="902"/>
      <c r="R77" s="1">
        <v>0.25</v>
      </c>
      <c r="S77" s="902"/>
      <c r="T77" s="431">
        <v>0.85499999999999998</v>
      </c>
      <c r="V77" s="397"/>
      <c r="X77" s="528"/>
    </row>
    <row r="78" spans="1:24" s="364" customFormat="1" x14ac:dyDescent="0.3">
      <c r="A78" s="378"/>
      <c r="B78" s="135" t="s">
        <v>873</v>
      </c>
      <c r="C78" s="378" t="s">
        <v>846</v>
      </c>
      <c r="D78" s="378" t="s">
        <v>435</v>
      </c>
      <c r="E78" s="902"/>
      <c r="F78" s="378" t="s">
        <v>485</v>
      </c>
      <c r="G78" s="902"/>
      <c r="H78" s="378" t="s">
        <v>279</v>
      </c>
      <c r="I78" s="903" t="s">
        <v>919</v>
      </c>
      <c r="J78" s="496">
        <v>351.02600000000001</v>
      </c>
      <c r="K78" s="903" t="s">
        <v>919</v>
      </c>
      <c r="L78" s="443">
        <f t="shared" si="0"/>
        <v>0.14088543384388411</v>
      </c>
      <c r="M78" s="902"/>
      <c r="N78" s="1">
        <v>0.5</v>
      </c>
      <c r="O78" s="902"/>
      <c r="P78" s="1">
        <v>1.2734000000000001</v>
      </c>
      <c r="Q78" s="902"/>
      <c r="R78" s="1">
        <v>0.25</v>
      </c>
      <c r="S78" s="902"/>
      <c r="T78" s="431">
        <v>0.85499999999999998</v>
      </c>
      <c r="V78" s="397"/>
      <c r="X78" s="528"/>
    </row>
    <row r="79" spans="1:24" s="364" customFormat="1" x14ac:dyDescent="0.3">
      <c r="A79" s="378"/>
      <c r="B79" s="135" t="s">
        <v>873</v>
      </c>
      <c r="C79" s="378" t="s">
        <v>847</v>
      </c>
      <c r="D79" s="378" t="s">
        <v>435</v>
      </c>
      <c r="E79" s="902"/>
      <c r="F79" s="378" t="s">
        <v>485</v>
      </c>
      <c r="G79" s="902"/>
      <c r="H79" s="378" t="s">
        <v>279</v>
      </c>
      <c r="I79" s="903" t="s">
        <v>919</v>
      </c>
      <c r="J79" s="496">
        <v>351</v>
      </c>
      <c r="K79" s="903" t="s">
        <v>919</v>
      </c>
      <c r="L79" s="443">
        <f t="shared" si="0"/>
        <v>0.14087499865879827</v>
      </c>
      <c r="M79" s="902"/>
      <c r="N79" s="1">
        <v>0.5</v>
      </c>
      <c r="O79" s="902"/>
      <c r="P79" s="1">
        <v>1.2734000000000001</v>
      </c>
      <c r="Q79" s="902"/>
      <c r="R79" s="1">
        <v>0.25</v>
      </c>
      <c r="S79" s="902"/>
      <c r="T79" s="431">
        <v>0.85499999999999998</v>
      </c>
      <c r="V79" s="397"/>
      <c r="X79" s="528"/>
    </row>
    <row r="80" spans="1:24" s="364" customFormat="1" x14ac:dyDescent="0.3">
      <c r="A80" s="378"/>
      <c r="B80" s="135" t="s">
        <v>873</v>
      </c>
      <c r="C80" s="378" t="s">
        <v>848</v>
      </c>
      <c r="D80" s="378" t="s">
        <v>435</v>
      </c>
      <c r="E80" s="902"/>
      <c r="F80" s="378" t="s">
        <v>485</v>
      </c>
      <c r="G80" s="902"/>
      <c r="H80" s="378" t="s">
        <v>279</v>
      </c>
      <c r="I80" s="903" t="s">
        <v>919</v>
      </c>
      <c r="J80" s="496">
        <v>351</v>
      </c>
      <c r="K80" s="903" t="s">
        <v>919</v>
      </c>
      <c r="L80" s="443">
        <f t="shared" si="0"/>
        <v>0.14087499865879827</v>
      </c>
      <c r="M80" s="902"/>
      <c r="N80" s="1">
        <v>0.5</v>
      </c>
      <c r="O80" s="902"/>
      <c r="P80" s="1">
        <v>1.2734000000000001</v>
      </c>
      <c r="Q80" s="902"/>
      <c r="R80" s="1">
        <v>0.25</v>
      </c>
      <c r="S80" s="902"/>
      <c r="T80" s="431">
        <v>0.85499999999999998</v>
      </c>
      <c r="V80" s="397"/>
      <c r="X80" s="528"/>
    </row>
    <row r="81" spans="1:24" s="364" customFormat="1" x14ac:dyDescent="0.3">
      <c r="A81" s="378"/>
      <c r="B81" s="135" t="s">
        <v>873</v>
      </c>
      <c r="C81" s="378" t="s">
        <v>849</v>
      </c>
      <c r="D81" s="378" t="s">
        <v>435</v>
      </c>
      <c r="E81" s="902"/>
      <c r="F81" s="378" t="s">
        <v>485</v>
      </c>
      <c r="G81" s="902"/>
      <c r="H81" s="378" t="s">
        <v>279</v>
      </c>
      <c r="I81" s="903" t="s">
        <v>919</v>
      </c>
      <c r="J81" s="496">
        <v>351.00599999999997</v>
      </c>
      <c r="K81" s="903" t="s">
        <v>919</v>
      </c>
      <c r="L81" s="443">
        <f t="shared" si="0"/>
        <v>0.14087740677843347</v>
      </c>
      <c r="M81" s="902"/>
      <c r="N81" s="1">
        <v>0.5</v>
      </c>
      <c r="O81" s="902"/>
      <c r="P81" s="1">
        <v>1.2734000000000001</v>
      </c>
      <c r="Q81" s="902"/>
      <c r="R81" s="1">
        <v>0.25</v>
      </c>
      <c r="S81" s="902"/>
      <c r="T81" s="431">
        <v>0.85499999999999998</v>
      </c>
      <c r="V81" s="397"/>
      <c r="X81" s="528"/>
    </row>
    <row r="82" spans="1:24" s="364" customFormat="1" x14ac:dyDescent="0.3">
      <c r="A82" s="378"/>
      <c r="B82" s="135" t="s">
        <v>873</v>
      </c>
      <c r="C82" s="378" t="s">
        <v>850</v>
      </c>
      <c r="D82" s="378" t="s">
        <v>435</v>
      </c>
      <c r="E82" s="902"/>
      <c r="F82" s="378" t="s">
        <v>485</v>
      </c>
      <c r="G82" s="902"/>
      <c r="H82" s="378" t="s">
        <v>279</v>
      </c>
      <c r="I82" s="903" t="s">
        <v>919</v>
      </c>
      <c r="J82" s="496">
        <v>351</v>
      </c>
      <c r="K82" s="903" t="s">
        <v>919</v>
      </c>
      <c r="L82" s="443">
        <f t="shared" si="0"/>
        <v>0.14087499865879827</v>
      </c>
      <c r="M82" s="902"/>
      <c r="N82" s="1">
        <v>0.5</v>
      </c>
      <c r="O82" s="902"/>
      <c r="P82" s="1">
        <v>1.2734000000000001</v>
      </c>
      <c r="Q82" s="902"/>
      <c r="R82" s="1">
        <v>0.25</v>
      </c>
      <c r="S82" s="902"/>
      <c r="T82" s="431">
        <v>0.85499999999999998</v>
      </c>
      <c r="V82" s="397"/>
      <c r="X82" s="528"/>
    </row>
    <row r="83" spans="1:24" s="364" customFormat="1" x14ac:dyDescent="0.3">
      <c r="A83" s="378"/>
      <c r="B83" s="135" t="s">
        <v>873</v>
      </c>
      <c r="C83" s="378" t="s">
        <v>851</v>
      </c>
      <c r="D83" s="378" t="s">
        <v>435</v>
      </c>
      <c r="E83" s="902"/>
      <c r="F83" s="378" t="s">
        <v>485</v>
      </c>
      <c r="G83" s="902"/>
      <c r="H83" s="378" t="s">
        <v>279</v>
      </c>
      <c r="I83" s="903" t="s">
        <v>919</v>
      </c>
      <c r="J83" s="496">
        <v>351</v>
      </c>
      <c r="K83" s="903" t="s">
        <v>919</v>
      </c>
      <c r="L83" s="443">
        <f t="shared" si="0"/>
        <v>0.14087499865879827</v>
      </c>
      <c r="M83" s="902"/>
      <c r="N83" s="1">
        <v>0.5</v>
      </c>
      <c r="O83" s="902"/>
      <c r="P83" s="1">
        <v>1.2734000000000001</v>
      </c>
      <c r="Q83" s="902"/>
      <c r="R83" s="1">
        <v>0.25</v>
      </c>
      <c r="S83" s="902"/>
      <c r="T83" s="431">
        <v>0.85499999999999998</v>
      </c>
      <c r="V83" s="397"/>
      <c r="X83" s="528"/>
    </row>
    <row r="84" spans="1:24" s="364" customFormat="1" x14ac:dyDescent="0.3">
      <c r="A84" s="378"/>
      <c r="B84" s="135" t="s">
        <v>874</v>
      </c>
      <c r="C84" s="378" t="s">
        <v>852</v>
      </c>
      <c r="D84" s="378" t="s">
        <v>435</v>
      </c>
      <c r="E84" s="902"/>
      <c r="F84" s="378" t="s">
        <v>485</v>
      </c>
      <c r="G84" s="902"/>
      <c r="H84" s="378" t="s">
        <v>279</v>
      </c>
      <c r="I84" s="903" t="s">
        <v>919</v>
      </c>
      <c r="J84" s="496">
        <v>351.02699999999999</v>
      </c>
      <c r="K84" s="903" t="s">
        <v>919</v>
      </c>
      <c r="L84" s="443">
        <f t="shared" si="0"/>
        <v>0.14088583519715664</v>
      </c>
      <c r="M84" s="902"/>
      <c r="N84" s="1">
        <v>0.5</v>
      </c>
      <c r="O84" s="902"/>
      <c r="P84" s="1">
        <v>1.2734000000000001</v>
      </c>
      <c r="Q84" s="902"/>
      <c r="R84" s="1">
        <v>0.25</v>
      </c>
      <c r="S84" s="902"/>
      <c r="T84" s="431">
        <v>0.85499999999999998</v>
      </c>
      <c r="V84" s="397"/>
      <c r="X84" s="528"/>
    </row>
    <row r="85" spans="1:24" s="364" customFormat="1" x14ac:dyDescent="0.3">
      <c r="A85" s="378"/>
      <c r="B85" s="135" t="s">
        <v>874</v>
      </c>
      <c r="C85" s="378" t="s">
        <v>853</v>
      </c>
      <c r="D85" s="378" t="s">
        <v>435</v>
      </c>
      <c r="E85" s="902"/>
      <c r="F85" s="378" t="s">
        <v>485</v>
      </c>
      <c r="G85" s="902"/>
      <c r="H85" s="378" t="s">
        <v>279</v>
      </c>
      <c r="I85" s="903" t="s">
        <v>919</v>
      </c>
      <c r="J85" s="496">
        <v>351.02600000000001</v>
      </c>
      <c r="K85" s="903" t="s">
        <v>919</v>
      </c>
      <c r="L85" s="443">
        <f t="shared" si="0"/>
        <v>0.14088543384388411</v>
      </c>
      <c r="M85" s="902"/>
      <c r="N85" s="1">
        <v>0.5</v>
      </c>
      <c r="O85" s="902"/>
      <c r="P85" s="1">
        <v>1.2734000000000001</v>
      </c>
      <c r="Q85" s="902"/>
      <c r="R85" s="1">
        <v>0.25</v>
      </c>
      <c r="S85" s="902"/>
      <c r="T85" s="431">
        <v>0.85499999999999998</v>
      </c>
      <c r="V85" s="397"/>
      <c r="X85" s="528"/>
    </row>
    <row r="86" spans="1:24" s="364" customFormat="1" x14ac:dyDescent="0.3">
      <c r="A86" s="378"/>
      <c r="B86" s="135" t="s">
        <v>874</v>
      </c>
      <c r="C86" s="378" t="s">
        <v>854</v>
      </c>
      <c r="D86" s="378" t="s">
        <v>435</v>
      </c>
      <c r="E86" s="902"/>
      <c r="F86" s="378" t="s">
        <v>485</v>
      </c>
      <c r="G86" s="902"/>
      <c r="H86" s="378" t="s">
        <v>279</v>
      </c>
      <c r="I86" s="903" t="s">
        <v>919</v>
      </c>
      <c r="J86" s="496">
        <v>378.03</v>
      </c>
      <c r="K86" s="903" t="s">
        <v>919</v>
      </c>
      <c r="L86" s="443">
        <f t="shared" si="0"/>
        <v>0.15172357761534333</v>
      </c>
      <c r="M86" s="902"/>
      <c r="N86" s="1">
        <v>0.5</v>
      </c>
      <c r="O86" s="902"/>
      <c r="P86" s="1">
        <v>1.2734000000000001</v>
      </c>
      <c r="Q86" s="902"/>
      <c r="R86" s="1">
        <v>0.25</v>
      </c>
      <c r="S86" s="902"/>
      <c r="T86" s="431">
        <v>0.85499999999999998</v>
      </c>
      <c r="V86" s="397"/>
      <c r="X86" s="528"/>
    </row>
    <row r="87" spans="1:24" s="364" customFormat="1" x14ac:dyDescent="0.3">
      <c r="A87" s="378"/>
      <c r="B87" s="135" t="s">
        <v>874</v>
      </c>
      <c r="C87" s="378" t="s">
        <v>855</v>
      </c>
      <c r="D87" s="378" t="s">
        <v>435</v>
      </c>
      <c r="E87" s="902"/>
      <c r="F87" s="378" t="s">
        <v>485</v>
      </c>
      <c r="G87" s="902"/>
      <c r="H87" s="378" t="s">
        <v>279</v>
      </c>
      <c r="I87" s="903" t="s">
        <v>919</v>
      </c>
      <c r="J87" s="496">
        <v>351.02600000000001</v>
      </c>
      <c r="K87" s="903" t="s">
        <v>919</v>
      </c>
      <c r="L87" s="443">
        <f t="shared" si="0"/>
        <v>0.14088543384388411</v>
      </c>
      <c r="M87" s="902"/>
      <c r="N87" s="1">
        <v>0.5</v>
      </c>
      <c r="O87" s="902"/>
      <c r="P87" s="1">
        <v>1.2734000000000001</v>
      </c>
      <c r="Q87" s="902"/>
      <c r="R87" s="1">
        <v>0.25</v>
      </c>
      <c r="S87" s="902"/>
      <c r="T87" s="431">
        <v>0.85499999999999998</v>
      </c>
      <c r="V87" s="397"/>
      <c r="X87" s="528"/>
    </row>
    <row r="88" spans="1:24" s="364" customFormat="1" x14ac:dyDescent="0.3">
      <c r="A88" s="378"/>
      <c r="B88" s="135" t="s">
        <v>874</v>
      </c>
      <c r="C88" s="378" t="s">
        <v>856</v>
      </c>
      <c r="D88" s="378" t="s">
        <v>435</v>
      </c>
      <c r="E88" s="902"/>
      <c r="F88" s="378" t="s">
        <v>485</v>
      </c>
      <c r="G88" s="902"/>
      <c r="H88" s="378" t="s">
        <v>279</v>
      </c>
      <c r="I88" s="903" t="s">
        <v>919</v>
      </c>
      <c r="J88" s="496">
        <v>351.02600000000001</v>
      </c>
      <c r="K88" s="903" t="s">
        <v>919</v>
      </c>
      <c r="L88" s="443">
        <f t="shared" si="0"/>
        <v>0.14088543384388411</v>
      </c>
      <c r="M88" s="902"/>
      <c r="N88" s="1">
        <v>0.5</v>
      </c>
      <c r="O88" s="902"/>
      <c r="P88" s="1">
        <v>1.2734000000000001</v>
      </c>
      <c r="Q88" s="902"/>
      <c r="R88" s="1">
        <v>0.25</v>
      </c>
      <c r="S88" s="902"/>
      <c r="T88" s="431">
        <v>0.85499999999999998</v>
      </c>
      <c r="V88" s="397"/>
      <c r="X88" s="528"/>
    </row>
    <row r="89" spans="1:24" s="364" customFormat="1" x14ac:dyDescent="0.3">
      <c r="A89" s="378"/>
      <c r="B89" s="135" t="s">
        <v>874</v>
      </c>
      <c r="C89" s="378" t="s">
        <v>857</v>
      </c>
      <c r="D89" s="378" t="s">
        <v>435</v>
      </c>
      <c r="E89" s="902"/>
      <c r="F89" s="378" t="s">
        <v>485</v>
      </c>
      <c r="G89" s="902"/>
      <c r="H89" s="378" t="s">
        <v>279</v>
      </c>
      <c r="I89" s="903" t="s">
        <v>919</v>
      </c>
      <c r="J89" s="496">
        <v>351</v>
      </c>
      <c r="K89" s="903" t="s">
        <v>919</v>
      </c>
      <c r="L89" s="443">
        <f t="shared" si="0"/>
        <v>0.14087499865879827</v>
      </c>
      <c r="M89" s="902"/>
      <c r="N89" s="1">
        <v>0.5</v>
      </c>
      <c r="O89" s="902"/>
      <c r="P89" s="1">
        <v>1.2734000000000001</v>
      </c>
      <c r="Q89" s="902"/>
      <c r="R89" s="1">
        <v>0.25</v>
      </c>
      <c r="S89" s="902"/>
      <c r="T89" s="431">
        <v>0.85499999999999998</v>
      </c>
      <c r="V89" s="397"/>
      <c r="X89" s="528"/>
    </row>
    <row r="90" spans="1:24" s="364" customFormat="1" x14ac:dyDescent="0.3">
      <c r="A90" s="378"/>
      <c r="B90" s="135" t="s">
        <v>874</v>
      </c>
      <c r="C90" s="378" t="s">
        <v>858</v>
      </c>
      <c r="D90" s="378" t="s">
        <v>435</v>
      </c>
      <c r="E90" s="902"/>
      <c r="F90" s="378" t="s">
        <v>485</v>
      </c>
      <c r="G90" s="902"/>
      <c r="H90" s="378" t="s">
        <v>279</v>
      </c>
      <c r="I90" s="903" t="s">
        <v>919</v>
      </c>
      <c r="J90" s="496">
        <v>351</v>
      </c>
      <c r="K90" s="903" t="s">
        <v>919</v>
      </c>
      <c r="L90" s="443">
        <f t="shared" si="0"/>
        <v>0.14087499865879827</v>
      </c>
      <c r="M90" s="902"/>
      <c r="N90" s="1">
        <v>0.5</v>
      </c>
      <c r="O90" s="902"/>
      <c r="P90" s="1">
        <v>1.2734000000000001</v>
      </c>
      <c r="Q90" s="902"/>
      <c r="R90" s="1">
        <v>0.25</v>
      </c>
      <c r="S90" s="902"/>
      <c r="T90" s="431">
        <v>0.85499999999999998</v>
      </c>
      <c r="V90" s="397"/>
      <c r="X90" s="528"/>
    </row>
    <row r="91" spans="1:24" s="364" customFormat="1" x14ac:dyDescent="0.3">
      <c r="A91" s="378"/>
      <c r="B91" s="135" t="s">
        <v>874</v>
      </c>
      <c r="C91" s="378" t="s">
        <v>859</v>
      </c>
      <c r="D91" s="378" t="s">
        <v>435</v>
      </c>
      <c r="E91" s="902"/>
      <c r="F91" s="378" t="s">
        <v>485</v>
      </c>
      <c r="G91" s="902"/>
      <c r="H91" s="378" t="s">
        <v>279</v>
      </c>
      <c r="I91" s="903" t="s">
        <v>919</v>
      </c>
      <c r="J91" s="496">
        <v>351.00599999999997</v>
      </c>
      <c r="K91" s="903" t="s">
        <v>919</v>
      </c>
      <c r="L91" s="443">
        <f t="shared" si="0"/>
        <v>0.14087740677843347</v>
      </c>
      <c r="M91" s="902"/>
      <c r="N91" s="1">
        <v>0.5</v>
      </c>
      <c r="O91" s="902"/>
      <c r="P91" s="1">
        <v>1.2734000000000001</v>
      </c>
      <c r="Q91" s="902"/>
      <c r="R91" s="1">
        <v>0.25</v>
      </c>
      <c r="S91" s="902"/>
      <c r="T91" s="431">
        <v>0.85499999999999998</v>
      </c>
      <c r="V91" s="397"/>
      <c r="X91" s="528"/>
    </row>
    <row r="92" spans="1:24" s="364" customFormat="1" x14ac:dyDescent="0.3">
      <c r="A92" s="378"/>
      <c r="B92" s="135" t="s">
        <v>874</v>
      </c>
      <c r="C92" s="378" t="s">
        <v>860</v>
      </c>
      <c r="D92" s="378" t="s">
        <v>435</v>
      </c>
      <c r="E92" s="902"/>
      <c r="F92" s="378" t="s">
        <v>485</v>
      </c>
      <c r="G92" s="902"/>
      <c r="H92" s="378" t="s">
        <v>279</v>
      </c>
      <c r="I92" s="903" t="s">
        <v>919</v>
      </c>
      <c r="J92" s="496">
        <v>351</v>
      </c>
      <c r="K92" s="903" t="s">
        <v>919</v>
      </c>
      <c r="L92" s="443">
        <f t="shared" si="0"/>
        <v>0.14087499865879827</v>
      </c>
      <c r="M92" s="902"/>
      <c r="N92" s="1">
        <v>0.5</v>
      </c>
      <c r="O92" s="902"/>
      <c r="P92" s="1">
        <v>1.2734000000000001</v>
      </c>
      <c r="Q92" s="902"/>
      <c r="R92" s="1">
        <v>0.25</v>
      </c>
      <c r="S92" s="902"/>
      <c r="T92" s="431">
        <v>0.85499999999999998</v>
      </c>
      <c r="V92" s="397"/>
      <c r="X92" s="528"/>
    </row>
    <row r="93" spans="1:24" s="364" customFormat="1" x14ac:dyDescent="0.3">
      <c r="A93" s="378"/>
      <c r="B93" s="135" t="s">
        <v>874</v>
      </c>
      <c r="C93" s="378" t="s">
        <v>861</v>
      </c>
      <c r="D93" s="378" t="s">
        <v>435</v>
      </c>
      <c r="E93" s="902"/>
      <c r="F93" s="378" t="s">
        <v>485</v>
      </c>
      <c r="G93" s="902"/>
      <c r="H93" s="378" t="s">
        <v>279</v>
      </c>
      <c r="I93" s="903" t="s">
        <v>919</v>
      </c>
      <c r="J93" s="496">
        <v>351</v>
      </c>
      <c r="K93" s="903" t="s">
        <v>919</v>
      </c>
      <c r="L93" s="443">
        <f t="shared" si="0"/>
        <v>0.14087499865879827</v>
      </c>
      <c r="M93" s="902"/>
      <c r="N93" s="1">
        <v>0.5</v>
      </c>
      <c r="O93" s="902"/>
      <c r="P93" s="1">
        <v>1.2734000000000001</v>
      </c>
      <c r="Q93" s="902"/>
      <c r="R93" s="1">
        <v>0.25</v>
      </c>
      <c r="S93" s="902"/>
      <c r="T93" s="431">
        <v>0.85499999999999998</v>
      </c>
      <c r="V93" s="397"/>
      <c r="X93" s="528"/>
    </row>
    <row r="94" spans="1:24" s="364" customFormat="1" x14ac:dyDescent="0.3">
      <c r="A94" s="378"/>
      <c r="B94" s="135" t="s">
        <v>875</v>
      </c>
      <c r="C94" s="378" t="s">
        <v>862</v>
      </c>
      <c r="D94" s="378" t="s">
        <v>435</v>
      </c>
      <c r="E94" s="902"/>
      <c r="F94" s="378" t="s">
        <v>485</v>
      </c>
      <c r="G94" s="902"/>
      <c r="H94" s="378" t="s">
        <v>279</v>
      </c>
      <c r="I94" s="903" t="s">
        <v>919</v>
      </c>
      <c r="J94" s="496">
        <v>351.02699999999999</v>
      </c>
      <c r="K94" s="903" t="s">
        <v>919</v>
      </c>
      <c r="L94" s="443">
        <f t="shared" si="0"/>
        <v>0.14088583519715664</v>
      </c>
      <c r="M94" s="902"/>
      <c r="N94" s="1">
        <v>0.5</v>
      </c>
      <c r="O94" s="902"/>
      <c r="P94" s="1">
        <v>1.2734000000000001</v>
      </c>
      <c r="Q94" s="902"/>
      <c r="R94" s="1">
        <v>0.25</v>
      </c>
      <c r="S94" s="902"/>
      <c r="T94" s="431">
        <v>0.85499999999999998</v>
      </c>
      <c r="V94" s="397"/>
      <c r="X94" s="528"/>
    </row>
    <row r="95" spans="1:24" s="364" customFormat="1" x14ac:dyDescent="0.3">
      <c r="A95" s="378"/>
      <c r="B95" s="135" t="s">
        <v>875</v>
      </c>
      <c r="C95" s="378" t="s">
        <v>863</v>
      </c>
      <c r="D95" s="378" t="s">
        <v>435</v>
      </c>
      <c r="E95" s="902"/>
      <c r="F95" s="378" t="s">
        <v>485</v>
      </c>
      <c r="G95" s="902"/>
      <c r="H95" s="378" t="s">
        <v>279</v>
      </c>
      <c r="I95" s="903" t="s">
        <v>919</v>
      </c>
      <c r="J95" s="496">
        <v>351.02600000000001</v>
      </c>
      <c r="K95" s="903" t="s">
        <v>919</v>
      </c>
      <c r="L95" s="443">
        <f t="shared" si="0"/>
        <v>0.14088543384388411</v>
      </c>
      <c r="M95" s="902"/>
      <c r="N95" s="1">
        <v>0.5</v>
      </c>
      <c r="O95" s="902"/>
      <c r="P95" s="1">
        <v>1.2734000000000001</v>
      </c>
      <c r="Q95" s="902"/>
      <c r="R95" s="1">
        <v>0.25</v>
      </c>
      <c r="S95" s="902"/>
      <c r="T95" s="431">
        <v>0.85499999999999998</v>
      </c>
      <c r="V95" s="397"/>
      <c r="X95" s="528"/>
    </row>
    <row r="96" spans="1:24" s="364" customFormat="1" x14ac:dyDescent="0.3">
      <c r="A96" s="378"/>
      <c r="B96" s="135" t="s">
        <v>875</v>
      </c>
      <c r="C96" s="378" t="s">
        <v>864</v>
      </c>
      <c r="D96" s="378" t="s">
        <v>435</v>
      </c>
      <c r="E96" s="902"/>
      <c r="F96" s="378" t="s">
        <v>485</v>
      </c>
      <c r="G96" s="902"/>
      <c r="H96" s="378" t="s">
        <v>279</v>
      </c>
      <c r="I96" s="903" t="s">
        <v>919</v>
      </c>
      <c r="J96" s="496">
        <v>378.03</v>
      </c>
      <c r="K96" s="903" t="s">
        <v>919</v>
      </c>
      <c r="L96" s="443">
        <f>J96*P96*(0.1175/745.6)/N96</f>
        <v>0.15172357761534333</v>
      </c>
      <c r="M96" s="902"/>
      <c r="N96" s="1">
        <v>0.5</v>
      </c>
      <c r="O96" s="902"/>
      <c r="P96" s="1">
        <v>1.2734000000000001</v>
      </c>
      <c r="Q96" s="902"/>
      <c r="R96" s="1">
        <v>0.25</v>
      </c>
      <c r="S96" s="902"/>
      <c r="T96" s="431">
        <v>0.85499999999999998</v>
      </c>
      <c r="V96" s="397"/>
      <c r="X96" s="528"/>
    </row>
    <row r="97" spans="1:24" s="364" customFormat="1" x14ac:dyDescent="0.3">
      <c r="A97" s="378"/>
      <c r="B97" s="135" t="s">
        <v>875</v>
      </c>
      <c r="C97" s="378" t="s">
        <v>865</v>
      </c>
      <c r="D97" s="378" t="s">
        <v>435</v>
      </c>
      <c r="E97" s="902"/>
      <c r="F97" s="378" t="s">
        <v>485</v>
      </c>
      <c r="G97" s="902"/>
      <c r="H97" s="378" t="s">
        <v>279</v>
      </c>
      <c r="I97" s="903" t="s">
        <v>919</v>
      </c>
      <c r="J97" s="496">
        <v>351.02600000000001</v>
      </c>
      <c r="K97" s="903" t="s">
        <v>919</v>
      </c>
      <c r="L97" s="443">
        <f t="shared" si="0"/>
        <v>0.14088543384388411</v>
      </c>
      <c r="M97" s="902"/>
      <c r="N97" s="1">
        <v>0.5</v>
      </c>
      <c r="O97" s="902"/>
      <c r="P97" s="1">
        <v>1.2734000000000001</v>
      </c>
      <c r="Q97" s="902"/>
      <c r="R97" s="1">
        <v>0.25</v>
      </c>
      <c r="S97" s="902"/>
      <c r="T97" s="431">
        <v>0.85499999999999998</v>
      </c>
      <c r="V97" s="397"/>
      <c r="X97" s="528"/>
    </row>
    <row r="98" spans="1:24" s="364" customFormat="1" x14ac:dyDescent="0.3">
      <c r="A98" s="378"/>
      <c r="B98" s="135" t="s">
        <v>875</v>
      </c>
      <c r="C98" s="378" t="s">
        <v>866</v>
      </c>
      <c r="D98" s="378" t="s">
        <v>435</v>
      </c>
      <c r="E98" s="902"/>
      <c r="F98" s="378" t="s">
        <v>485</v>
      </c>
      <c r="G98" s="902"/>
      <c r="H98" s="378" t="s">
        <v>279</v>
      </c>
      <c r="I98" s="903" t="s">
        <v>919</v>
      </c>
      <c r="J98" s="496">
        <v>351.02600000000001</v>
      </c>
      <c r="K98" s="903" t="s">
        <v>919</v>
      </c>
      <c r="L98" s="443">
        <f t="shared" si="0"/>
        <v>0.14088543384388411</v>
      </c>
      <c r="M98" s="902"/>
      <c r="N98" s="1">
        <v>0.5</v>
      </c>
      <c r="O98" s="902"/>
      <c r="P98" s="1">
        <v>1.2734000000000001</v>
      </c>
      <c r="Q98" s="902"/>
      <c r="R98" s="1">
        <v>0.25</v>
      </c>
      <c r="S98" s="902"/>
      <c r="T98" s="431">
        <v>0.85499999999999998</v>
      </c>
      <c r="V98" s="397"/>
      <c r="X98" s="528"/>
    </row>
    <row r="99" spans="1:24" s="364" customFormat="1" x14ac:dyDescent="0.3">
      <c r="A99" s="378"/>
      <c r="B99" s="135" t="s">
        <v>875</v>
      </c>
      <c r="C99" s="378" t="s">
        <v>867</v>
      </c>
      <c r="D99" s="378" t="s">
        <v>435</v>
      </c>
      <c r="E99" s="902"/>
      <c r="F99" s="378" t="s">
        <v>485</v>
      </c>
      <c r="G99" s="902"/>
      <c r="H99" s="378" t="s">
        <v>279</v>
      </c>
      <c r="I99" s="903" t="s">
        <v>919</v>
      </c>
      <c r="J99" s="496">
        <v>351</v>
      </c>
      <c r="K99" s="903" t="s">
        <v>919</v>
      </c>
      <c r="L99" s="443">
        <f t="shared" si="0"/>
        <v>0.14087499865879827</v>
      </c>
      <c r="M99" s="902"/>
      <c r="N99" s="1">
        <v>0.5</v>
      </c>
      <c r="O99" s="902"/>
      <c r="P99" s="1">
        <v>1.2734000000000001</v>
      </c>
      <c r="Q99" s="902"/>
      <c r="R99" s="1">
        <v>0.25</v>
      </c>
      <c r="S99" s="902"/>
      <c r="T99" s="431">
        <v>0.85499999999999998</v>
      </c>
      <c r="V99" s="397"/>
      <c r="X99" s="528"/>
    </row>
    <row r="100" spans="1:24" s="364" customFormat="1" x14ac:dyDescent="0.3">
      <c r="A100" s="378"/>
      <c r="B100" s="135" t="s">
        <v>875</v>
      </c>
      <c r="C100" s="378" t="s">
        <v>868</v>
      </c>
      <c r="D100" s="378" t="s">
        <v>435</v>
      </c>
      <c r="E100" s="902"/>
      <c r="F100" s="378" t="s">
        <v>485</v>
      </c>
      <c r="G100" s="902"/>
      <c r="H100" s="378" t="s">
        <v>279</v>
      </c>
      <c r="I100" s="903" t="s">
        <v>919</v>
      </c>
      <c r="J100" s="496">
        <v>351</v>
      </c>
      <c r="K100" s="903" t="s">
        <v>919</v>
      </c>
      <c r="L100" s="443">
        <f t="shared" si="0"/>
        <v>0.14087499865879827</v>
      </c>
      <c r="M100" s="902"/>
      <c r="N100" s="1">
        <v>0.5</v>
      </c>
      <c r="O100" s="902"/>
      <c r="P100" s="1">
        <v>1.2734000000000001</v>
      </c>
      <c r="Q100" s="902"/>
      <c r="R100" s="1">
        <v>0.25</v>
      </c>
      <c r="S100" s="902"/>
      <c r="T100" s="431">
        <v>0.85499999999999998</v>
      </c>
      <c r="V100" s="397"/>
      <c r="X100" s="528"/>
    </row>
    <row r="101" spans="1:24" s="364" customFormat="1" x14ac:dyDescent="0.3">
      <c r="A101" s="378"/>
      <c r="B101" s="135" t="s">
        <v>875</v>
      </c>
      <c r="C101" s="378" t="s">
        <v>869</v>
      </c>
      <c r="D101" s="378" t="s">
        <v>435</v>
      </c>
      <c r="E101" s="902"/>
      <c r="F101" s="378" t="s">
        <v>485</v>
      </c>
      <c r="G101" s="902"/>
      <c r="H101" s="378" t="s">
        <v>279</v>
      </c>
      <c r="I101" s="903" t="s">
        <v>919</v>
      </c>
      <c r="J101" s="496">
        <v>351.00599999999997</v>
      </c>
      <c r="K101" s="903" t="s">
        <v>919</v>
      </c>
      <c r="L101" s="443">
        <f t="shared" si="0"/>
        <v>0.14087740677843347</v>
      </c>
      <c r="M101" s="902"/>
      <c r="N101" s="1">
        <v>0.5</v>
      </c>
      <c r="O101" s="902"/>
      <c r="P101" s="1">
        <v>1.2734000000000001</v>
      </c>
      <c r="Q101" s="902"/>
      <c r="R101" s="1">
        <v>0.25</v>
      </c>
      <c r="S101" s="902"/>
      <c r="T101" s="431">
        <v>0.85499999999999998</v>
      </c>
      <c r="V101" s="397"/>
      <c r="X101" s="528"/>
    </row>
    <row r="102" spans="1:24" s="364" customFormat="1" x14ac:dyDescent="0.3">
      <c r="A102" s="378"/>
      <c r="B102" s="135" t="s">
        <v>875</v>
      </c>
      <c r="C102" s="378" t="s">
        <v>870</v>
      </c>
      <c r="D102" s="378" t="s">
        <v>435</v>
      </c>
      <c r="E102" s="902"/>
      <c r="F102" s="378" t="s">
        <v>485</v>
      </c>
      <c r="G102" s="902"/>
      <c r="H102" s="378" t="s">
        <v>279</v>
      </c>
      <c r="I102" s="903" t="s">
        <v>919</v>
      </c>
      <c r="J102" s="496">
        <v>351</v>
      </c>
      <c r="K102" s="903" t="s">
        <v>919</v>
      </c>
      <c r="L102" s="443">
        <f t="shared" si="0"/>
        <v>0.14087499865879827</v>
      </c>
      <c r="M102" s="902"/>
      <c r="N102" s="1">
        <v>0.5</v>
      </c>
      <c r="O102" s="902"/>
      <c r="P102" s="1">
        <v>1.2734000000000001</v>
      </c>
      <c r="Q102" s="902"/>
      <c r="R102" s="1">
        <v>0.25</v>
      </c>
      <c r="S102" s="902"/>
      <c r="T102" s="431">
        <v>0.85499999999999998</v>
      </c>
      <c r="V102" s="397"/>
      <c r="X102" s="528"/>
    </row>
    <row r="103" spans="1:24" s="364" customFormat="1" x14ac:dyDescent="0.3">
      <c r="A103" s="378"/>
      <c r="B103" s="135" t="s">
        <v>875</v>
      </c>
      <c r="C103" s="378" t="s">
        <v>871</v>
      </c>
      <c r="D103" s="378" t="s">
        <v>435</v>
      </c>
      <c r="E103" s="902"/>
      <c r="F103" s="378" t="s">
        <v>485</v>
      </c>
      <c r="G103" s="902"/>
      <c r="H103" s="378" t="s">
        <v>279</v>
      </c>
      <c r="I103" s="903" t="s">
        <v>919</v>
      </c>
      <c r="J103" s="496">
        <v>351</v>
      </c>
      <c r="K103" s="903" t="s">
        <v>919</v>
      </c>
      <c r="L103" s="443">
        <f t="shared" si="0"/>
        <v>0.14087499865879827</v>
      </c>
      <c r="M103" s="902"/>
      <c r="N103" s="1">
        <v>0.5</v>
      </c>
      <c r="O103" s="902"/>
      <c r="P103" s="1">
        <v>1.2734000000000001</v>
      </c>
      <c r="Q103" s="902"/>
      <c r="R103" s="1">
        <v>0.25</v>
      </c>
      <c r="S103" s="902"/>
      <c r="T103" s="431">
        <v>0.85499999999999998</v>
      </c>
      <c r="V103" s="397"/>
      <c r="X103" s="528"/>
    </row>
    <row r="104" spans="1:24" s="364" customFormat="1" x14ac:dyDescent="0.3">
      <c r="A104" s="378"/>
      <c r="B104" s="135" t="s">
        <v>801</v>
      </c>
      <c r="C104" s="378" t="s">
        <v>817</v>
      </c>
      <c r="D104" s="378" t="s">
        <v>435</v>
      </c>
      <c r="E104" s="902"/>
      <c r="F104" s="378" t="s">
        <v>485</v>
      </c>
      <c r="G104" s="902"/>
      <c r="H104" s="378" t="s">
        <v>279</v>
      </c>
      <c r="I104" s="903" t="s">
        <v>919</v>
      </c>
      <c r="J104" s="496">
        <v>864.06899999999996</v>
      </c>
      <c r="K104" s="899"/>
      <c r="L104" s="443">
        <f t="shared" si="0"/>
        <v>0.68084836038090113</v>
      </c>
      <c r="M104" s="902"/>
      <c r="N104" s="1">
        <v>0.5</v>
      </c>
      <c r="O104" s="902"/>
      <c r="P104" s="1">
        <v>2.5</v>
      </c>
      <c r="Q104" s="902"/>
      <c r="R104" s="1">
        <v>0.75</v>
      </c>
      <c r="S104" s="902"/>
      <c r="T104" s="431">
        <v>0.85499999999999998</v>
      </c>
      <c r="V104" s="397"/>
      <c r="X104" s="528"/>
    </row>
    <row r="105" spans="1:24" s="364" customFormat="1" x14ac:dyDescent="0.3">
      <c r="A105" s="378"/>
      <c r="B105" s="316" t="s">
        <v>801</v>
      </c>
      <c r="C105" s="158" t="s">
        <v>818</v>
      </c>
      <c r="D105" s="158" t="s">
        <v>435</v>
      </c>
      <c r="E105" s="895"/>
      <c r="F105" s="158" t="s">
        <v>485</v>
      </c>
      <c r="G105" s="895"/>
      <c r="H105" s="158" t="s">
        <v>279</v>
      </c>
      <c r="I105" s="906" t="s">
        <v>919</v>
      </c>
      <c r="J105" s="511">
        <v>1050</v>
      </c>
      <c r="K105" s="895"/>
      <c r="L105" s="492">
        <f t="shared" si="0"/>
        <v>0.49641228540772525</v>
      </c>
      <c r="M105" s="895"/>
      <c r="N105" s="234">
        <v>0.5</v>
      </c>
      <c r="O105" s="895"/>
      <c r="P105" s="234">
        <v>1.5</v>
      </c>
      <c r="Q105" s="895"/>
      <c r="R105" s="234">
        <v>0.5</v>
      </c>
      <c r="S105" s="895"/>
      <c r="T105" s="433">
        <v>0.85499999999999998</v>
      </c>
      <c r="V105" s="397"/>
      <c r="X105" s="528"/>
    </row>
    <row r="106" spans="1:24" s="369" customFormat="1" x14ac:dyDescent="0.3">
      <c r="A106" s="82"/>
      <c r="B106" s="82"/>
      <c r="C106" s="384"/>
      <c r="D106" s="82"/>
      <c r="E106" s="82"/>
      <c r="F106" s="82"/>
      <c r="G106" s="82"/>
      <c r="H106" s="82"/>
      <c r="I106" s="82"/>
      <c r="J106" s="82"/>
      <c r="K106" s="82"/>
      <c r="L106" s="82"/>
      <c r="M106" s="82"/>
      <c r="N106" s="82"/>
      <c r="O106" s="82"/>
      <c r="P106" s="82"/>
      <c r="Q106" s="82"/>
      <c r="R106" s="82"/>
      <c r="S106" s="82"/>
      <c r="U106" s="363"/>
      <c r="V106" s="363"/>
      <c r="W106" s="363"/>
      <c r="X106" s="363"/>
    </row>
    <row r="107" spans="1:24" s="369" customFormat="1" x14ac:dyDescent="0.3">
      <c r="A107" s="397"/>
      <c r="B107" s="397"/>
      <c r="C107" s="397"/>
      <c r="D107" s="397"/>
      <c r="E107" s="362"/>
      <c r="F107" s="397"/>
      <c r="G107" s="362"/>
      <c r="H107" s="397"/>
      <c r="I107" s="362"/>
      <c r="J107" s="397"/>
      <c r="K107" s="397"/>
      <c r="L107" s="397"/>
      <c r="M107" s="362"/>
      <c r="N107" s="397"/>
      <c r="O107" s="121"/>
      <c r="P107" s="111"/>
      <c r="Q107" s="82"/>
      <c r="R107" s="82"/>
      <c r="S107" s="82"/>
      <c r="T107" s="82"/>
      <c r="U107" s="363"/>
      <c r="V107" s="363"/>
      <c r="W107" s="363"/>
      <c r="X107" s="363"/>
    </row>
    <row r="108" spans="1:24" s="369" customFormat="1" x14ac:dyDescent="0.3">
      <c r="A108" s="397"/>
      <c r="B108" s="108" t="s">
        <v>501</v>
      </c>
      <c r="C108" s="113" t="s">
        <v>821</v>
      </c>
      <c r="D108" s="113" t="s">
        <v>433</v>
      </c>
      <c r="E108" s="207"/>
      <c r="F108" s="142" t="s">
        <v>538</v>
      </c>
      <c r="G108" s="125"/>
      <c r="H108" s="142" t="s">
        <v>295</v>
      </c>
      <c r="I108" s="362"/>
      <c r="J108" s="397"/>
      <c r="K108" s="397"/>
      <c r="L108" s="397"/>
      <c r="M108" s="362"/>
      <c r="N108" s="397"/>
      <c r="O108" s="121"/>
      <c r="P108" s="111"/>
      <c r="Q108" s="82"/>
      <c r="R108" s="82"/>
      <c r="S108" s="82"/>
      <c r="T108" s="82"/>
      <c r="U108" s="363"/>
      <c r="V108" s="363"/>
      <c r="W108" s="363"/>
      <c r="X108" s="363"/>
    </row>
    <row r="109" spans="1:24" s="369" customFormat="1" ht="15" thickBot="1" x14ac:dyDescent="0.35">
      <c r="A109" s="397"/>
      <c r="B109" s="173" t="s">
        <v>258</v>
      </c>
      <c r="C109" s="171"/>
      <c r="D109" s="171"/>
      <c r="E109" s="208"/>
      <c r="F109" s="174" t="s">
        <v>289</v>
      </c>
      <c r="G109" s="208"/>
      <c r="H109" s="174" t="s">
        <v>290</v>
      </c>
      <c r="I109" s="362"/>
      <c r="J109" s="397"/>
      <c r="K109" s="397"/>
      <c r="L109" s="397"/>
      <c r="M109" s="362"/>
      <c r="N109" s="397"/>
      <c r="O109" s="121"/>
      <c r="P109" s="111"/>
      <c r="Q109" s="82"/>
      <c r="R109" s="82"/>
      <c r="S109" s="82"/>
      <c r="T109" s="82"/>
      <c r="U109" s="363"/>
      <c r="V109" s="363"/>
      <c r="W109" s="363"/>
      <c r="X109" s="363"/>
    </row>
    <row r="110" spans="1:24" s="369" customFormat="1" thickTop="1" x14ac:dyDescent="0.3">
      <c r="A110" s="362"/>
      <c r="B110" s="434" t="s">
        <v>554</v>
      </c>
      <c r="C110" s="264" t="s">
        <v>625</v>
      </c>
      <c r="D110" s="264" t="s">
        <v>435</v>
      </c>
      <c r="E110" s="897"/>
      <c r="F110" s="378" t="s">
        <v>539</v>
      </c>
      <c r="G110" s="896"/>
      <c r="H110" s="274" t="s">
        <v>480</v>
      </c>
      <c r="I110" s="362"/>
      <c r="J110" s="362"/>
      <c r="K110" s="362"/>
      <c r="L110" s="362"/>
      <c r="M110" s="362"/>
      <c r="N110" s="362"/>
      <c r="O110" s="121"/>
      <c r="P110" s="121"/>
      <c r="Q110" s="82"/>
      <c r="R110" s="82"/>
      <c r="S110" s="82"/>
      <c r="T110" s="82"/>
      <c r="U110" s="364"/>
      <c r="V110" s="364"/>
      <c r="W110" s="364"/>
      <c r="X110" s="364"/>
    </row>
    <row r="111" spans="1:24" s="369" customFormat="1" ht="13.8" x14ac:dyDescent="0.3">
      <c r="A111" s="362"/>
      <c r="B111" s="135" t="s">
        <v>565</v>
      </c>
      <c r="C111" s="378" t="s">
        <v>626</v>
      </c>
      <c r="D111" s="378" t="s">
        <v>435</v>
      </c>
      <c r="E111" s="902"/>
      <c r="F111" s="378" t="s">
        <v>539</v>
      </c>
      <c r="G111" s="902"/>
      <c r="H111" s="274" t="s">
        <v>480</v>
      </c>
      <c r="I111" s="362"/>
      <c r="J111" s="362"/>
      <c r="K111" s="362"/>
      <c r="L111" s="362"/>
      <c r="M111" s="362"/>
      <c r="N111" s="362"/>
      <c r="O111" s="121"/>
      <c r="P111" s="121"/>
      <c r="Q111" s="82"/>
      <c r="R111" s="82"/>
      <c r="S111" s="82"/>
      <c r="T111" s="82"/>
      <c r="U111" s="364"/>
      <c r="V111" s="364"/>
      <c r="W111" s="364"/>
      <c r="X111" s="364"/>
    </row>
    <row r="112" spans="1:24" s="369" customFormat="1" ht="13.8" x14ac:dyDescent="0.3">
      <c r="A112" s="362"/>
      <c r="B112" s="135" t="s">
        <v>566</v>
      </c>
      <c r="C112" s="378" t="s">
        <v>627</v>
      </c>
      <c r="D112" s="378" t="s">
        <v>435</v>
      </c>
      <c r="E112" s="902"/>
      <c r="F112" s="378" t="s">
        <v>539</v>
      </c>
      <c r="G112" s="902"/>
      <c r="H112" s="274" t="s">
        <v>480</v>
      </c>
      <c r="I112" s="362"/>
      <c r="J112" s="362"/>
      <c r="K112" s="362"/>
      <c r="L112" s="362"/>
      <c r="M112" s="362"/>
      <c r="N112" s="362"/>
      <c r="O112" s="121"/>
      <c r="P112" s="121"/>
      <c r="Q112" s="82"/>
      <c r="R112" s="82"/>
      <c r="S112" s="82"/>
      <c r="T112" s="82"/>
      <c r="U112" s="364"/>
      <c r="V112" s="364"/>
      <c r="W112" s="364"/>
      <c r="X112" s="364"/>
    </row>
    <row r="113" spans="1:44" s="369" customFormat="1" ht="13.8" x14ac:dyDescent="0.3">
      <c r="A113" s="362"/>
      <c r="B113" s="135" t="s">
        <v>795</v>
      </c>
      <c r="C113" s="378" t="s">
        <v>819</v>
      </c>
      <c r="D113" s="378" t="s">
        <v>435</v>
      </c>
      <c r="E113" s="902"/>
      <c r="F113" s="378" t="s">
        <v>539</v>
      </c>
      <c r="G113" s="902"/>
      <c r="H113" s="274" t="s">
        <v>480</v>
      </c>
      <c r="I113" s="362"/>
      <c r="J113" s="362"/>
      <c r="K113" s="362"/>
      <c r="L113" s="362"/>
      <c r="M113" s="362"/>
      <c r="N113" s="362"/>
      <c r="O113" s="121"/>
      <c r="P113" s="121"/>
      <c r="Q113" s="82"/>
      <c r="R113" s="82"/>
      <c r="S113" s="82"/>
      <c r="T113" s="82"/>
      <c r="U113" s="364"/>
      <c r="V113" s="364"/>
      <c r="W113" s="364"/>
      <c r="X113" s="364"/>
    </row>
    <row r="114" spans="1:44" s="369" customFormat="1" ht="13.8" x14ac:dyDescent="0.3">
      <c r="A114" s="362"/>
      <c r="B114" s="316" t="s">
        <v>796</v>
      </c>
      <c r="C114" s="158" t="s">
        <v>820</v>
      </c>
      <c r="D114" s="158" t="s">
        <v>435</v>
      </c>
      <c r="E114" s="895"/>
      <c r="F114" s="158" t="s">
        <v>539</v>
      </c>
      <c r="G114" s="895"/>
      <c r="H114" s="252" t="s">
        <v>480</v>
      </c>
      <c r="I114" s="362"/>
      <c r="J114" s="362"/>
      <c r="K114" s="362"/>
      <c r="L114" s="362"/>
      <c r="M114" s="362"/>
      <c r="N114" s="362"/>
      <c r="O114" s="121"/>
      <c r="P114" s="121"/>
      <c r="Q114" s="82"/>
      <c r="R114" s="82"/>
      <c r="S114" s="82"/>
      <c r="T114" s="82"/>
      <c r="U114" s="364"/>
      <c r="V114" s="364"/>
      <c r="W114" s="364"/>
      <c r="X114" s="364"/>
    </row>
    <row r="115" spans="1:44" s="369" customFormat="1" x14ac:dyDescent="0.3">
      <c r="A115" s="397"/>
      <c r="B115" s="85"/>
      <c r="C115" s="85"/>
      <c r="D115" s="85"/>
      <c r="E115" s="85"/>
      <c r="F115" s="85"/>
      <c r="G115" s="85"/>
      <c r="H115" s="85"/>
      <c r="I115" s="85"/>
      <c r="J115" s="397"/>
      <c r="K115" s="397"/>
      <c r="L115" s="397"/>
      <c r="M115" s="362"/>
      <c r="N115" s="397"/>
      <c r="O115" s="121"/>
      <c r="P115" s="111"/>
      <c r="Q115" s="82"/>
      <c r="R115" s="82"/>
      <c r="S115" s="82"/>
      <c r="T115" s="82"/>
      <c r="U115" s="363"/>
      <c r="V115" s="363"/>
      <c r="W115" s="363"/>
      <c r="X115" s="363"/>
    </row>
    <row r="116" spans="1:44" s="369" customFormat="1" x14ac:dyDescent="0.3">
      <c r="A116" s="82"/>
      <c r="B116" s="85"/>
      <c r="C116" s="83"/>
      <c r="D116" s="397"/>
      <c r="E116" s="82"/>
      <c r="F116" s="82"/>
      <c r="G116" s="82"/>
      <c r="H116" s="82"/>
      <c r="I116" s="82"/>
      <c r="J116" s="82"/>
      <c r="K116" s="82"/>
      <c r="L116" s="82"/>
      <c r="M116" s="82"/>
      <c r="N116" s="82"/>
      <c r="O116" s="82"/>
      <c r="P116" s="82"/>
      <c r="Q116" s="82"/>
      <c r="R116" s="82"/>
      <c r="S116" s="82"/>
      <c r="T116" s="82"/>
      <c r="U116" s="363"/>
      <c r="V116" s="363"/>
      <c r="W116" s="363"/>
      <c r="X116" s="363"/>
    </row>
    <row r="117" spans="1:44" x14ac:dyDescent="0.3">
      <c r="A117" s="26"/>
      <c r="B117" s="28" t="s">
        <v>1358</v>
      </c>
      <c r="C117" s="28"/>
      <c r="D117" s="397"/>
      <c r="E117" s="362"/>
      <c r="F117" s="397"/>
      <c r="G117" s="362"/>
      <c r="H117" s="397"/>
      <c r="I117" s="362"/>
      <c r="J117" s="397"/>
      <c r="K117" s="362"/>
      <c r="L117" s="397"/>
      <c r="M117" s="362"/>
      <c r="N117" s="397"/>
      <c r="O117" s="121"/>
      <c r="P117" s="111"/>
      <c r="Q117" s="82"/>
      <c r="R117" s="82"/>
      <c r="S117" s="82"/>
      <c r="T117" s="82"/>
      <c r="U117" s="363"/>
      <c r="V117" s="363"/>
      <c r="W117" s="363"/>
      <c r="X117" s="363"/>
    </row>
    <row r="118" spans="1:44" s="378" customFormat="1" ht="41.4" x14ac:dyDescent="0.3">
      <c r="A118" s="363"/>
      <c r="B118" s="125" t="s">
        <v>505</v>
      </c>
      <c r="C118" s="113" t="s">
        <v>291</v>
      </c>
      <c r="D118" s="113" t="s">
        <v>433</v>
      </c>
      <c r="E118" s="108"/>
      <c r="F118" s="538" t="s">
        <v>601</v>
      </c>
      <c r="G118" s="108"/>
      <c r="H118" s="538" t="s">
        <v>1210</v>
      </c>
      <c r="I118" s="751"/>
      <c r="J118" s="538" t="s">
        <v>1347</v>
      </c>
      <c r="K118" s="751"/>
      <c r="L118" s="538" t="s">
        <v>988</v>
      </c>
      <c r="M118" s="280"/>
      <c r="N118" s="324" t="s">
        <v>591</v>
      </c>
      <c r="O118" s="538"/>
      <c r="P118" s="324" t="s">
        <v>977</v>
      </c>
      <c r="Q118" s="280"/>
      <c r="R118" s="110" t="s">
        <v>1029</v>
      </c>
      <c r="S118" s="280"/>
      <c r="T118" s="168" t="s">
        <v>1021</v>
      </c>
      <c r="U118" s="647"/>
      <c r="V118" s="168" t="s">
        <v>1345</v>
      </c>
      <c r="W118" s="189"/>
      <c r="X118" s="168" t="s">
        <v>1211</v>
      </c>
      <c r="Y118" s="298"/>
      <c r="Z118" s="142" t="s">
        <v>292</v>
      </c>
      <c r="AA118" s="125"/>
      <c r="AB118" s="142" t="s">
        <v>293</v>
      </c>
      <c r="AC118" s="364"/>
      <c r="AD118" s="363"/>
      <c r="AF118" s="363"/>
      <c r="AG118" s="364"/>
      <c r="AH118" s="363"/>
      <c r="AI118" s="645"/>
      <c r="AJ118" s="642"/>
      <c r="AO118" s="363"/>
      <c r="AP118" s="363"/>
      <c r="AQ118" s="363"/>
      <c r="AR118" s="363"/>
    </row>
    <row r="119" spans="1:44" s="82" customFormat="1" ht="28.2" thickBot="1" x14ac:dyDescent="0.35">
      <c r="B119" s="173" t="s">
        <v>285</v>
      </c>
      <c r="C119" s="171" t="s">
        <v>286</v>
      </c>
      <c r="D119" s="648"/>
      <c r="E119" s="650"/>
      <c r="F119" s="171"/>
      <c r="G119" s="650"/>
      <c r="H119" s="171" t="s">
        <v>1212</v>
      </c>
      <c r="I119" s="173"/>
      <c r="J119" s="343" t="s">
        <v>1351</v>
      </c>
      <c r="K119" s="173"/>
      <c r="L119" s="343" t="s">
        <v>1352</v>
      </c>
      <c r="M119" s="320"/>
      <c r="N119" s="117" t="s">
        <v>145</v>
      </c>
      <c r="O119" s="126"/>
      <c r="P119" s="117"/>
      <c r="Q119" s="320"/>
      <c r="R119" s="117" t="s">
        <v>998</v>
      </c>
      <c r="S119" s="320"/>
      <c r="T119" s="117" t="s">
        <v>999</v>
      </c>
      <c r="U119" s="651"/>
      <c r="V119" s="117"/>
      <c r="W119" s="126"/>
      <c r="X119" s="117" t="s">
        <v>999</v>
      </c>
      <c r="Y119" s="643"/>
      <c r="Z119" s="344" t="s">
        <v>287</v>
      </c>
      <c r="AA119" s="643"/>
      <c r="AB119" s="344" t="s">
        <v>288</v>
      </c>
      <c r="AC119" s="635"/>
      <c r="AD119" s="635"/>
      <c r="AE119" s="635"/>
      <c r="AF119" s="635"/>
      <c r="AI119" s="635"/>
      <c r="AJ119" s="635"/>
      <c r="AK119" s="635"/>
      <c r="AL119" s="635"/>
      <c r="AM119" s="635"/>
      <c r="AN119" s="635"/>
      <c r="AO119" s="635"/>
      <c r="AP119" s="635"/>
      <c r="AQ119" s="635"/>
      <c r="AR119" s="635"/>
    </row>
    <row r="120" spans="1:44" s="364" customFormat="1" thickTop="1" x14ac:dyDescent="0.3">
      <c r="A120" s="378"/>
      <c r="B120" s="434" t="s">
        <v>1213</v>
      </c>
      <c r="C120" s="264" t="s">
        <v>297</v>
      </c>
      <c r="D120" s="652" t="s">
        <v>435</v>
      </c>
      <c r="E120" s="907"/>
      <c r="F120" s="740">
        <v>1620</v>
      </c>
      <c r="G120" s="907"/>
      <c r="H120" s="781" t="s">
        <v>1214</v>
      </c>
      <c r="I120" s="907"/>
      <c r="J120" s="781" t="s">
        <v>1356</v>
      </c>
      <c r="K120" s="907"/>
      <c r="L120" s="781" t="s">
        <v>1357</v>
      </c>
      <c r="M120" s="896"/>
      <c r="N120" s="809">
        <v>10</v>
      </c>
      <c r="O120" s="908"/>
      <c r="P120" s="746">
        <f t="shared" ref="P120:P146" si="1">ROUND(F120/1000*N120*0.5,1)</f>
        <v>8.1</v>
      </c>
      <c r="Q120" s="896"/>
      <c r="R120" s="197">
        <v>0</v>
      </c>
      <c r="S120" s="896"/>
      <c r="T120" s="197">
        <v>0.15</v>
      </c>
      <c r="U120" s="896"/>
      <c r="V120" s="653">
        <f t="shared" ref="V120:V128" si="2">IF(LEFT(B120,9)="GuestRoom",ROUNDUP(P120,0)*30,ROUND(MAX(P120*R120,T120*F120),0))</f>
        <v>243</v>
      </c>
      <c r="W120" s="332" t="s">
        <v>14</v>
      </c>
      <c r="X120" s="266" t="s">
        <v>14</v>
      </c>
      <c r="Y120" s="896"/>
      <c r="Z120" s="264" t="s">
        <v>413</v>
      </c>
      <c r="AA120" s="896"/>
      <c r="AB120" s="263" t="s">
        <v>414</v>
      </c>
      <c r="AG120" s="378"/>
      <c r="AH120" s="378"/>
    </row>
    <row r="121" spans="1:44" s="364" customFormat="1" ht="13.8" x14ac:dyDescent="0.3">
      <c r="A121" s="378"/>
      <c r="B121" s="135" t="s">
        <v>1215</v>
      </c>
      <c r="C121" s="378" t="s">
        <v>297</v>
      </c>
      <c r="D121" s="57" t="s">
        <v>435</v>
      </c>
      <c r="E121" s="907"/>
      <c r="F121" s="744">
        <v>1350</v>
      </c>
      <c r="G121" s="907"/>
      <c r="H121" s="755" t="s">
        <v>1214</v>
      </c>
      <c r="I121" s="907"/>
      <c r="J121" s="755" t="s">
        <v>1356</v>
      </c>
      <c r="K121" s="907"/>
      <c r="L121" s="755" t="s">
        <v>1357</v>
      </c>
      <c r="M121" s="902"/>
      <c r="N121" s="489">
        <v>10</v>
      </c>
      <c r="O121" s="909"/>
      <c r="P121" s="746">
        <f t="shared" si="1"/>
        <v>6.8</v>
      </c>
      <c r="Q121" s="902"/>
      <c r="R121" s="197">
        <v>0</v>
      </c>
      <c r="S121" s="902"/>
      <c r="T121" s="197">
        <v>0.15</v>
      </c>
      <c r="U121" s="902"/>
      <c r="V121" s="653">
        <f t="shared" si="2"/>
        <v>203</v>
      </c>
      <c r="W121" s="332" t="s">
        <v>14</v>
      </c>
      <c r="X121" s="266" t="s">
        <v>14</v>
      </c>
      <c r="Y121" s="902"/>
      <c r="Z121" s="378" t="s">
        <v>413</v>
      </c>
      <c r="AA121" s="902"/>
      <c r="AB121" s="274" t="s">
        <v>414</v>
      </c>
      <c r="AG121" s="378"/>
      <c r="AH121" s="378"/>
    </row>
    <row r="122" spans="1:44" s="364" customFormat="1" ht="13.8" x14ac:dyDescent="0.3">
      <c r="A122" s="378"/>
      <c r="B122" s="135" t="s">
        <v>1216</v>
      </c>
      <c r="C122" s="378" t="s">
        <v>297</v>
      </c>
      <c r="D122" s="57" t="s">
        <v>435</v>
      </c>
      <c r="E122" s="907"/>
      <c r="F122" s="744">
        <v>1350</v>
      </c>
      <c r="G122" s="907"/>
      <c r="H122" s="755" t="s">
        <v>1214</v>
      </c>
      <c r="I122" s="907"/>
      <c r="J122" s="755" t="s">
        <v>1356</v>
      </c>
      <c r="K122" s="907"/>
      <c r="L122" s="755" t="s">
        <v>1357</v>
      </c>
      <c r="M122" s="902"/>
      <c r="N122" s="489">
        <v>10</v>
      </c>
      <c r="O122" s="909"/>
      <c r="P122" s="746">
        <f t="shared" si="1"/>
        <v>6.8</v>
      </c>
      <c r="Q122" s="902"/>
      <c r="R122" s="197">
        <v>0</v>
      </c>
      <c r="S122" s="902"/>
      <c r="T122" s="197">
        <v>0.15</v>
      </c>
      <c r="U122" s="902"/>
      <c r="V122" s="653">
        <f t="shared" si="2"/>
        <v>203</v>
      </c>
      <c r="W122" s="332" t="s">
        <v>14</v>
      </c>
      <c r="X122" s="266" t="s">
        <v>14</v>
      </c>
      <c r="Y122" s="902"/>
      <c r="Z122" s="378" t="s">
        <v>413</v>
      </c>
      <c r="AA122" s="902"/>
      <c r="AB122" s="274" t="s">
        <v>414</v>
      </c>
      <c r="AG122" s="378"/>
      <c r="AH122" s="378"/>
    </row>
    <row r="123" spans="1:44" s="364" customFormat="1" ht="13.8" x14ac:dyDescent="0.3">
      <c r="A123" s="378"/>
      <c r="B123" s="135" t="s">
        <v>1217</v>
      </c>
      <c r="C123" s="378" t="s">
        <v>297</v>
      </c>
      <c r="D123" s="57" t="s">
        <v>435</v>
      </c>
      <c r="E123" s="907"/>
      <c r="F123" s="744">
        <v>1350</v>
      </c>
      <c r="G123" s="907"/>
      <c r="H123" s="755" t="s">
        <v>1214</v>
      </c>
      <c r="I123" s="907"/>
      <c r="J123" s="755" t="s">
        <v>1356</v>
      </c>
      <c r="K123" s="907"/>
      <c r="L123" s="755" t="s">
        <v>1357</v>
      </c>
      <c r="M123" s="902"/>
      <c r="N123" s="489">
        <v>10</v>
      </c>
      <c r="O123" s="909"/>
      <c r="P123" s="746">
        <f t="shared" si="1"/>
        <v>6.8</v>
      </c>
      <c r="Q123" s="902"/>
      <c r="R123" s="197">
        <v>0</v>
      </c>
      <c r="S123" s="902"/>
      <c r="T123" s="197">
        <v>0.15</v>
      </c>
      <c r="U123" s="902"/>
      <c r="V123" s="653">
        <f t="shared" si="2"/>
        <v>203</v>
      </c>
      <c r="W123" s="332" t="s">
        <v>14</v>
      </c>
      <c r="X123" s="266" t="s">
        <v>14</v>
      </c>
      <c r="Y123" s="902"/>
      <c r="Z123" s="378" t="s">
        <v>413</v>
      </c>
      <c r="AA123" s="902"/>
      <c r="AB123" s="274" t="s">
        <v>414</v>
      </c>
      <c r="AG123" s="378"/>
      <c r="AH123" s="378"/>
    </row>
    <row r="124" spans="1:44" s="364" customFormat="1" ht="13.8" x14ac:dyDescent="0.3">
      <c r="A124" s="378"/>
      <c r="B124" s="135" t="s">
        <v>1218</v>
      </c>
      <c r="C124" s="378" t="s">
        <v>297</v>
      </c>
      <c r="D124" s="57" t="s">
        <v>435</v>
      </c>
      <c r="E124" s="907"/>
      <c r="F124" s="744">
        <v>351</v>
      </c>
      <c r="G124" s="907"/>
      <c r="H124" s="755" t="s">
        <v>1214</v>
      </c>
      <c r="I124" s="907"/>
      <c r="J124" s="755" t="s">
        <v>1356</v>
      </c>
      <c r="K124" s="907"/>
      <c r="L124" s="755" t="s">
        <v>1357</v>
      </c>
      <c r="M124" s="902"/>
      <c r="N124" s="489">
        <v>10</v>
      </c>
      <c r="O124" s="909"/>
      <c r="P124" s="746">
        <f t="shared" si="1"/>
        <v>1.8</v>
      </c>
      <c r="Q124" s="902"/>
      <c r="R124" s="197">
        <v>0</v>
      </c>
      <c r="S124" s="902"/>
      <c r="T124" s="197">
        <v>0.15</v>
      </c>
      <c r="U124" s="902"/>
      <c r="V124" s="653">
        <f t="shared" si="2"/>
        <v>53</v>
      </c>
      <c r="W124" s="332" t="s">
        <v>14</v>
      </c>
      <c r="X124" s="266" t="s">
        <v>14</v>
      </c>
      <c r="Y124" s="902"/>
      <c r="Z124" s="378" t="s">
        <v>413</v>
      </c>
      <c r="AA124" s="902"/>
      <c r="AB124" s="274" t="s">
        <v>414</v>
      </c>
      <c r="AG124" s="378"/>
      <c r="AH124" s="378"/>
    </row>
    <row r="125" spans="1:44" s="364" customFormat="1" ht="13.8" x14ac:dyDescent="0.3">
      <c r="A125" s="378"/>
      <c r="B125" s="135" t="s">
        <v>1219</v>
      </c>
      <c r="C125" s="378" t="s">
        <v>297</v>
      </c>
      <c r="D125" s="57" t="s">
        <v>435</v>
      </c>
      <c r="E125" s="907"/>
      <c r="F125" s="744">
        <v>351</v>
      </c>
      <c r="G125" s="907"/>
      <c r="H125" s="755" t="s">
        <v>1214</v>
      </c>
      <c r="I125" s="907"/>
      <c r="J125" s="755" t="s">
        <v>1356</v>
      </c>
      <c r="K125" s="907"/>
      <c r="L125" s="755" t="s">
        <v>1357</v>
      </c>
      <c r="M125" s="902"/>
      <c r="N125" s="489">
        <v>10</v>
      </c>
      <c r="O125" s="909"/>
      <c r="P125" s="746">
        <f t="shared" si="1"/>
        <v>1.8</v>
      </c>
      <c r="Q125" s="902"/>
      <c r="R125" s="197">
        <v>0</v>
      </c>
      <c r="S125" s="902"/>
      <c r="T125" s="197">
        <v>0.15</v>
      </c>
      <c r="U125" s="902"/>
      <c r="V125" s="653">
        <f t="shared" si="2"/>
        <v>53</v>
      </c>
      <c r="W125" s="332" t="s">
        <v>14</v>
      </c>
      <c r="X125" s="266" t="s">
        <v>14</v>
      </c>
      <c r="Y125" s="902"/>
      <c r="Z125" s="378" t="s">
        <v>413</v>
      </c>
      <c r="AA125" s="902"/>
      <c r="AB125" s="274" t="s">
        <v>414</v>
      </c>
      <c r="AG125" s="378"/>
      <c r="AH125" s="378"/>
    </row>
    <row r="126" spans="1:44" s="364" customFormat="1" ht="13.8" x14ac:dyDescent="0.3">
      <c r="A126" s="378"/>
      <c r="B126" s="135" t="s">
        <v>1220</v>
      </c>
      <c r="C126" s="378" t="s">
        <v>297</v>
      </c>
      <c r="D126" s="57" t="s">
        <v>435</v>
      </c>
      <c r="E126" s="907"/>
      <c r="F126" s="744">
        <v>1755.1</v>
      </c>
      <c r="G126" s="907"/>
      <c r="H126" s="755" t="s">
        <v>1214</v>
      </c>
      <c r="I126" s="907"/>
      <c r="J126" s="755" t="s">
        <v>1356</v>
      </c>
      <c r="K126" s="907"/>
      <c r="L126" s="755" t="s">
        <v>1382</v>
      </c>
      <c r="M126" s="902"/>
      <c r="N126" s="489">
        <v>142.9</v>
      </c>
      <c r="O126" s="909"/>
      <c r="P126" s="746">
        <f t="shared" si="1"/>
        <v>125.4</v>
      </c>
      <c r="Q126" s="902"/>
      <c r="R126" s="197">
        <v>15</v>
      </c>
      <c r="S126" s="902"/>
      <c r="T126" s="197">
        <v>0.15</v>
      </c>
      <c r="U126" s="902"/>
      <c r="V126" s="653">
        <f t="shared" si="2"/>
        <v>1881</v>
      </c>
      <c r="W126" s="332" t="s">
        <v>14</v>
      </c>
      <c r="X126" s="266" t="s">
        <v>14</v>
      </c>
      <c r="Y126" s="902"/>
      <c r="Z126" s="378" t="s">
        <v>413</v>
      </c>
      <c r="AA126" s="902"/>
      <c r="AB126" s="274" t="s">
        <v>414</v>
      </c>
      <c r="AG126" s="378"/>
      <c r="AH126" s="378"/>
    </row>
    <row r="127" spans="1:44" s="364" customFormat="1" ht="13.8" x14ac:dyDescent="0.3">
      <c r="A127" s="378"/>
      <c r="B127" s="135" t="s">
        <v>1221</v>
      </c>
      <c r="C127" s="378" t="s">
        <v>297</v>
      </c>
      <c r="D127" s="57" t="s">
        <v>435</v>
      </c>
      <c r="E127" s="907"/>
      <c r="F127" s="744">
        <v>1404</v>
      </c>
      <c r="G127" s="907"/>
      <c r="H127" s="755" t="s">
        <v>1214</v>
      </c>
      <c r="I127" s="907"/>
      <c r="J127" s="755" t="s">
        <v>1356</v>
      </c>
      <c r="K127" s="907"/>
      <c r="L127" s="755" t="s">
        <v>1357</v>
      </c>
      <c r="M127" s="902"/>
      <c r="N127" s="489">
        <v>10</v>
      </c>
      <c r="O127" s="909"/>
      <c r="P127" s="746">
        <f t="shared" si="1"/>
        <v>7</v>
      </c>
      <c r="Q127" s="902"/>
      <c r="R127" s="197">
        <v>0</v>
      </c>
      <c r="S127" s="902"/>
      <c r="T127" s="197">
        <v>0.15</v>
      </c>
      <c r="U127" s="902"/>
      <c r="V127" s="653">
        <f t="shared" si="2"/>
        <v>211</v>
      </c>
      <c r="W127" s="332" t="s">
        <v>14</v>
      </c>
      <c r="X127" s="266" t="s">
        <v>14</v>
      </c>
      <c r="Y127" s="902"/>
      <c r="Z127" s="378" t="s">
        <v>413</v>
      </c>
      <c r="AA127" s="902"/>
      <c r="AB127" s="274" t="s">
        <v>414</v>
      </c>
      <c r="AG127" s="378"/>
      <c r="AH127" s="378"/>
    </row>
    <row r="128" spans="1:44" s="364" customFormat="1" ht="13.8" x14ac:dyDescent="0.3">
      <c r="A128" s="378"/>
      <c r="B128" s="135" t="s">
        <v>1222</v>
      </c>
      <c r="C128" s="378" t="s">
        <v>297</v>
      </c>
      <c r="D128" s="57" t="s">
        <v>435</v>
      </c>
      <c r="E128" s="907"/>
      <c r="F128" s="744">
        <v>1053</v>
      </c>
      <c r="G128" s="907"/>
      <c r="H128" s="755" t="s">
        <v>1214</v>
      </c>
      <c r="I128" s="907"/>
      <c r="J128" s="755" t="s">
        <v>1356</v>
      </c>
      <c r="K128" s="907"/>
      <c r="L128" s="755" t="s">
        <v>1357</v>
      </c>
      <c r="M128" s="902"/>
      <c r="N128" s="489">
        <v>10</v>
      </c>
      <c r="O128" s="909"/>
      <c r="P128" s="746">
        <f t="shared" si="1"/>
        <v>5.3</v>
      </c>
      <c r="Q128" s="902"/>
      <c r="R128" s="197">
        <v>0</v>
      </c>
      <c r="S128" s="902"/>
      <c r="T128" s="197">
        <v>0.15</v>
      </c>
      <c r="U128" s="902"/>
      <c r="V128" s="653">
        <f t="shared" si="2"/>
        <v>158</v>
      </c>
      <c r="W128" s="332" t="s">
        <v>14</v>
      </c>
      <c r="X128" s="266" t="s">
        <v>14</v>
      </c>
      <c r="Y128" s="902"/>
      <c r="Z128" s="378" t="s">
        <v>413</v>
      </c>
      <c r="AA128" s="902"/>
      <c r="AB128" s="274" t="s">
        <v>414</v>
      </c>
      <c r="AG128" s="378"/>
      <c r="AH128" s="378"/>
    </row>
    <row r="129" spans="1:37" s="364" customFormat="1" ht="13.8" x14ac:dyDescent="0.3">
      <c r="A129" s="378"/>
      <c r="B129" s="135" t="s">
        <v>1223</v>
      </c>
      <c r="C129" s="378" t="s">
        <v>297</v>
      </c>
      <c r="D129" s="57" t="s">
        <v>435</v>
      </c>
      <c r="E129" s="907"/>
      <c r="F129" s="744">
        <v>351</v>
      </c>
      <c r="G129" s="907"/>
      <c r="H129" s="755" t="s">
        <v>1214</v>
      </c>
      <c r="I129" s="907"/>
      <c r="J129" s="755" t="s">
        <v>1356</v>
      </c>
      <c r="K129" s="907"/>
      <c r="L129" s="755" t="s">
        <v>1357</v>
      </c>
      <c r="M129" s="902"/>
      <c r="N129" s="489">
        <v>3</v>
      </c>
      <c r="O129" s="909"/>
      <c r="P129" s="746">
        <f t="shared" si="1"/>
        <v>0.5</v>
      </c>
      <c r="Q129" s="902"/>
      <c r="R129" s="197">
        <v>0</v>
      </c>
      <c r="S129" s="902"/>
      <c r="T129" s="197">
        <v>0.15</v>
      </c>
      <c r="U129" s="902"/>
      <c r="V129" s="653">
        <f>IF(LEFT(B129,9)="GuestRoom",ROUNDUP(P129,0)*30,ROUND(MAX(P129*R129,T129*F129),0))</f>
        <v>53</v>
      </c>
      <c r="W129" s="332" t="s">
        <v>14</v>
      </c>
      <c r="X129" s="266" t="s">
        <v>14</v>
      </c>
      <c r="Y129" s="902"/>
      <c r="Z129" s="378" t="s">
        <v>413</v>
      </c>
      <c r="AA129" s="902"/>
      <c r="AB129" s="274" t="s">
        <v>414</v>
      </c>
      <c r="AG129" s="378"/>
      <c r="AH129" s="378"/>
    </row>
    <row r="130" spans="1:37" s="364" customFormat="1" ht="13.8" x14ac:dyDescent="0.3">
      <c r="A130" s="378"/>
      <c r="B130" s="135" t="s">
        <v>1383</v>
      </c>
      <c r="C130" s="378" t="s">
        <v>297</v>
      </c>
      <c r="D130" s="57" t="s">
        <v>435</v>
      </c>
      <c r="E130" s="907"/>
      <c r="F130" s="744">
        <v>864.1</v>
      </c>
      <c r="G130" s="907"/>
      <c r="H130" s="755" t="s">
        <v>1214</v>
      </c>
      <c r="I130" s="907"/>
      <c r="J130" s="755" t="s">
        <v>1356</v>
      </c>
      <c r="K130" s="907"/>
      <c r="L130" s="755" t="s">
        <v>1357</v>
      </c>
      <c r="M130" s="902"/>
      <c r="N130" s="489">
        <v>5</v>
      </c>
      <c r="O130" s="909"/>
      <c r="P130" s="746">
        <f t="shared" si="1"/>
        <v>2.2000000000000002</v>
      </c>
      <c r="Q130" s="902"/>
      <c r="R130" s="197">
        <v>0</v>
      </c>
      <c r="S130" s="902"/>
      <c r="T130" s="197">
        <v>0.15</v>
      </c>
      <c r="U130" s="902"/>
      <c r="V130" s="653">
        <f>IF(LEFT(B130,9)="GuestRoom",ROUNDUP(P130,0)*30,ROUND(MAX(P130*R130,T130*F130),0))</f>
        <v>130</v>
      </c>
      <c r="W130" s="888"/>
      <c r="X130" s="639">
        <v>1050</v>
      </c>
      <c r="Y130" s="902"/>
      <c r="Z130" s="378" t="s">
        <v>413</v>
      </c>
      <c r="AA130" s="902"/>
      <c r="AB130" s="274" t="s">
        <v>414</v>
      </c>
      <c r="AE130" s="82"/>
      <c r="AG130" s="378"/>
      <c r="AH130" s="378"/>
    </row>
    <row r="131" spans="1:37" s="364" customFormat="1" ht="13.8" x14ac:dyDescent="0.3">
      <c r="A131" s="378"/>
      <c r="B131" s="135" t="s">
        <v>1225</v>
      </c>
      <c r="C131" s="378" t="s">
        <v>297</v>
      </c>
      <c r="D131" s="57" t="s">
        <v>435</v>
      </c>
      <c r="E131" s="907"/>
      <c r="F131" s="744">
        <v>216</v>
      </c>
      <c r="G131" s="907"/>
      <c r="H131" s="755" t="s">
        <v>1214</v>
      </c>
      <c r="I131" s="907"/>
      <c r="J131" s="755" t="s">
        <v>1356</v>
      </c>
      <c r="K131" s="907"/>
      <c r="L131" s="755" t="s">
        <v>1357</v>
      </c>
      <c r="M131" s="902"/>
      <c r="N131" s="489">
        <v>10</v>
      </c>
      <c r="O131" s="909"/>
      <c r="P131" s="746">
        <f t="shared" si="1"/>
        <v>1.1000000000000001</v>
      </c>
      <c r="Q131" s="902"/>
      <c r="R131" s="197">
        <v>0</v>
      </c>
      <c r="S131" s="902"/>
      <c r="T131" s="197">
        <v>0.15</v>
      </c>
      <c r="U131" s="902"/>
      <c r="V131" s="653">
        <f t="shared" ref="V131:V147" si="3">IF(LEFT(B131,9)="GuestRoom",ROUNDUP(P131,0)*30,ROUND(MAX(P131*R131,T131*F131),0))</f>
        <v>32</v>
      </c>
      <c r="W131" s="332" t="s">
        <v>14</v>
      </c>
      <c r="X131" s="266" t="s">
        <v>14</v>
      </c>
      <c r="Y131" s="902"/>
      <c r="Z131" s="378" t="s">
        <v>413</v>
      </c>
      <c r="AA131" s="902"/>
      <c r="AB131" s="274" t="s">
        <v>414</v>
      </c>
      <c r="AE131" s="782"/>
      <c r="AG131" s="378"/>
      <c r="AH131" s="378"/>
    </row>
    <row r="132" spans="1:37" s="364" customFormat="1" ht="13.8" x14ac:dyDescent="0.3">
      <c r="A132" s="378"/>
      <c r="B132" s="135" t="s">
        <v>1226</v>
      </c>
      <c r="C132" s="378" t="s">
        <v>297</v>
      </c>
      <c r="D132" s="57" t="s">
        <v>435</v>
      </c>
      <c r="E132" s="907"/>
      <c r="F132" s="744">
        <v>216</v>
      </c>
      <c r="G132" s="907"/>
      <c r="H132" s="755" t="s">
        <v>1214</v>
      </c>
      <c r="I132" s="907"/>
      <c r="J132" s="755" t="s">
        <v>1356</v>
      </c>
      <c r="K132" s="907"/>
      <c r="L132" s="755" t="s">
        <v>1357</v>
      </c>
      <c r="M132" s="902"/>
      <c r="N132" s="489">
        <v>10</v>
      </c>
      <c r="O132" s="909"/>
      <c r="P132" s="746">
        <f t="shared" si="1"/>
        <v>1.1000000000000001</v>
      </c>
      <c r="Q132" s="902"/>
      <c r="R132" s="197">
        <v>0</v>
      </c>
      <c r="S132" s="902"/>
      <c r="T132" s="197">
        <v>0.15</v>
      </c>
      <c r="U132" s="902"/>
      <c r="V132" s="653">
        <f t="shared" si="3"/>
        <v>32</v>
      </c>
      <c r="W132" s="332" t="s">
        <v>14</v>
      </c>
      <c r="X132" s="266" t="s">
        <v>14</v>
      </c>
      <c r="Y132" s="902"/>
      <c r="Z132" s="378" t="s">
        <v>413</v>
      </c>
      <c r="AA132" s="902"/>
      <c r="AB132" s="274" t="s">
        <v>414</v>
      </c>
      <c r="AG132" s="378"/>
      <c r="AH132" s="378"/>
    </row>
    <row r="133" spans="1:37" s="364" customFormat="1" ht="13.8" x14ac:dyDescent="0.3">
      <c r="A133" s="378"/>
      <c r="B133" s="135" t="s">
        <v>1227</v>
      </c>
      <c r="C133" s="378" t="s">
        <v>297</v>
      </c>
      <c r="D133" s="57" t="s">
        <v>435</v>
      </c>
      <c r="E133" s="907"/>
      <c r="F133" s="744">
        <v>216</v>
      </c>
      <c r="G133" s="907"/>
      <c r="H133" s="755" t="s">
        <v>1214</v>
      </c>
      <c r="I133" s="907"/>
      <c r="J133" s="755" t="s">
        <v>1356</v>
      </c>
      <c r="K133" s="907"/>
      <c r="L133" s="755" t="s">
        <v>1357</v>
      </c>
      <c r="M133" s="902"/>
      <c r="N133" s="489">
        <v>10</v>
      </c>
      <c r="O133" s="909"/>
      <c r="P133" s="746">
        <f t="shared" si="1"/>
        <v>1.1000000000000001</v>
      </c>
      <c r="Q133" s="902"/>
      <c r="R133" s="197">
        <v>0</v>
      </c>
      <c r="S133" s="902"/>
      <c r="T133" s="197">
        <v>0.15</v>
      </c>
      <c r="U133" s="902"/>
      <c r="V133" s="653">
        <f t="shared" si="3"/>
        <v>32</v>
      </c>
      <c r="W133" s="332" t="s">
        <v>14</v>
      </c>
      <c r="X133" s="266" t="s">
        <v>14</v>
      </c>
      <c r="Y133" s="902"/>
      <c r="Z133" s="378" t="s">
        <v>413</v>
      </c>
      <c r="AA133" s="902"/>
      <c r="AB133" s="274" t="s">
        <v>414</v>
      </c>
      <c r="AG133" s="378"/>
      <c r="AH133" s="378"/>
    </row>
    <row r="134" spans="1:37" s="364" customFormat="1" ht="13.8" x14ac:dyDescent="0.3">
      <c r="A134" s="378"/>
      <c r="B134" s="135" t="s">
        <v>1228</v>
      </c>
      <c r="C134" s="378" t="s">
        <v>297</v>
      </c>
      <c r="D134" s="57" t="s">
        <v>435</v>
      </c>
      <c r="E134" s="907"/>
      <c r="F134" s="744">
        <v>216</v>
      </c>
      <c r="G134" s="907"/>
      <c r="H134" s="755" t="s">
        <v>1214</v>
      </c>
      <c r="I134" s="907"/>
      <c r="J134" s="755" t="s">
        <v>1356</v>
      </c>
      <c r="K134" s="907"/>
      <c r="L134" s="755" t="s">
        <v>1357</v>
      </c>
      <c r="M134" s="902"/>
      <c r="N134" s="489">
        <v>10</v>
      </c>
      <c r="O134" s="909"/>
      <c r="P134" s="746">
        <f t="shared" si="1"/>
        <v>1.1000000000000001</v>
      </c>
      <c r="Q134" s="902"/>
      <c r="R134" s="197">
        <v>0</v>
      </c>
      <c r="S134" s="902"/>
      <c r="T134" s="197">
        <v>0.15</v>
      </c>
      <c r="U134" s="902"/>
      <c r="V134" s="653">
        <f t="shared" si="3"/>
        <v>32</v>
      </c>
      <c r="W134" s="332" t="s">
        <v>14</v>
      </c>
      <c r="X134" s="266" t="s">
        <v>14</v>
      </c>
      <c r="Y134" s="902"/>
      <c r="Z134" s="378" t="s">
        <v>413</v>
      </c>
      <c r="AA134" s="902"/>
      <c r="AB134" s="274" t="s">
        <v>414</v>
      </c>
      <c r="AG134" s="378"/>
      <c r="AH134" s="378"/>
    </row>
    <row r="135" spans="1:37" s="364" customFormat="1" ht="13.8" x14ac:dyDescent="0.3">
      <c r="A135" s="378"/>
      <c r="B135" s="135" t="s">
        <v>1229</v>
      </c>
      <c r="C135" s="378" t="s">
        <v>297</v>
      </c>
      <c r="D135" s="57" t="s">
        <v>435</v>
      </c>
      <c r="E135" s="907"/>
      <c r="F135" s="744">
        <v>135</v>
      </c>
      <c r="G135" s="907"/>
      <c r="H135" s="755" t="s">
        <v>1214</v>
      </c>
      <c r="I135" s="907"/>
      <c r="J135" s="755" t="s">
        <v>1356</v>
      </c>
      <c r="K135" s="907"/>
      <c r="L135" s="755" t="s">
        <v>1357</v>
      </c>
      <c r="M135" s="902"/>
      <c r="N135" s="489">
        <v>10</v>
      </c>
      <c r="O135" s="909"/>
      <c r="P135" s="746">
        <f t="shared" si="1"/>
        <v>0.7</v>
      </c>
      <c r="Q135" s="902"/>
      <c r="R135" s="197">
        <v>0</v>
      </c>
      <c r="S135" s="902"/>
      <c r="T135" s="197">
        <v>0.15</v>
      </c>
      <c r="U135" s="902"/>
      <c r="V135" s="653">
        <f t="shared" si="3"/>
        <v>20</v>
      </c>
      <c r="W135" s="332" t="s">
        <v>14</v>
      </c>
      <c r="X135" s="266" t="s">
        <v>14</v>
      </c>
      <c r="Y135" s="902"/>
      <c r="Z135" s="378" t="s">
        <v>413</v>
      </c>
      <c r="AA135" s="902"/>
      <c r="AB135" s="274" t="s">
        <v>414</v>
      </c>
      <c r="AG135" s="378"/>
      <c r="AH135" s="378"/>
    </row>
    <row r="136" spans="1:37" s="364" customFormat="1" x14ac:dyDescent="0.3">
      <c r="A136" s="378"/>
      <c r="B136" s="135" t="s">
        <v>1230</v>
      </c>
      <c r="C136" s="378" t="s">
        <v>297</v>
      </c>
      <c r="D136" s="57" t="s">
        <v>435</v>
      </c>
      <c r="E136" s="907"/>
      <c r="F136" s="744">
        <v>135</v>
      </c>
      <c r="G136" s="907"/>
      <c r="H136" s="755" t="s">
        <v>1214</v>
      </c>
      <c r="I136" s="907"/>
      <c r="J136" s="755" t="s">
        <v>1356</v>
      </c>
      <c r="K136" s="907"/>
      <c r="L136" s="755" t="s">
        <v>1357</v>
      </c>
      <c r="M136" s="902"/>
      <c r="N136" s="489">
        <v>10</v>
      </c>
      <c r="O136" s="909"/>
      <c r="P136" s="746">
        <f t="shared" si="1"/>
        <v>0.7</v>
      </c>
      <c r="Q136" s="902"/>
      <c r="R136" s="197">
        <v>0</v>
      </c>
      <c r="S136" s="902"/>
      <c r="T136" s="197">
        <v>0.15</v>
      </c>
      <c r="U136" s="902"/>
      <c r="V136" s="653">
        <f t="shared" si="3"/>
        <v>20</v>
      </c>
      <c r="W136" s="332" t="s">
        <v>14</v>
      </c>
      <c r="X136" s="266" t="s">
        <v>14</v>
      </c>
      <c r="Y136" s="902"/>
      <c r="Z136" s="378" t="s">
        <v>413</v>
      </c>
      <c r="AA136" s="902"/>
      <c r="AB136" s="274" t="s">
        <v>414</v>
      </c>
      <c r="AG136" s="86"/>
      <c r="AH136" s="86"/>
      <c r="AI136" s="86"/>
      <c r="AJ136" s="635"/>
      <c r="AK136" s="635"/>
    </row>
    <row r="137" spans="1:37" s="364" customFormat="1" x14ac:dyDescent="0.3">
      <c r="A137" s="378"/>
      <c r="B137" s="135" t="s">
        <v>1231</v>
      </c>
      <c r="C137" s="378" t="s">
        <v>297</v>
      </c>
      <c r="D137" s="57" t="s">
        <v>435</v>
      </c>
      <c r="E137" s="907"/>
      <c r="F137" s="744">
        <v>135</v>
      </c>
      <c r="G137" s="907"/>
      <c r="H137" s="755" t="s">
        <v>1214</v>
      </c>
      <c r="I137" s="907"/>
      <c r="J137" s="755" t="s">
        <v>1356</v>
      </c>
      <c r="K137" s="907"/>
      <c r="L137" s="755" t="s">
        <v>1357</v>
      </c>
      <c r="M137" s="902"/>
      <c r="N137" s="489">
        <v>10</v>
      </c>
      <c r="O137" s="909"/>
      <c r="P137" s="746">
        <f t="shared" si="1"/>
        <v>0.7</v>
      </c>
      <c r="Q137" s="902"/>
      <c r="R137" s="197">
        <v>0</v>
      </c>
      <c r="S137" s="902"/>
      <c r="T137" s="197">
        <v>0.15</v>
      </c>
      <c r="U137" s="902"/>
      <c r="V137" s="653">
        <f t="shared" si="3"/>
        <v>20</v>
      </c>
      <c r="W137" s="332" t="s">
        <v>14</v>
      </c>
      <c r="X137" s="266" t="s">
        <v>14</v>
      </c>
      <c r="Y137" s="902"/>
      <c r="Z137" s="378" t="s">
        <v>413</v>
      </c>
      <c r="AA137" s="902"/>
      <c r="AB137" s="274" t="s">
        <v>414</v>
      </c>
      <c r="AG137" s="86"/>
      <c r="AH137" s="86"/>
      <c r="AI137" s="86"/>
      <c r="AJ137" s="635"/>
      <c r="AK137" s="635"/>
    </row>
    <row r="138" spans="1:37" s="364" customFormat="1" x14ac:dyDescent="0.3">
      <c r="A138" s="378"/>
      <c r="B138" s="135" t="s">
        <v>1232</v>
      </c>
      <c r="C138" s="378" t="s">
        <v>297</v>
      </c>
      <c r="D138" s="57" t="s">
        <v>435</v>
      </c>
      <c r="E138" s="907"/>
      <c r="F138" s="744">
        <v>135</v>
      </c>
      <c r="G138" s="907"/>
      <c r="H138" s="755" t="s">
        <v>1214</v>
      </c>
      <c r="I138" s="907"/>
      <c r="J138" s="755" t="s">
        <v>1356</v>
      </c>
      <c r="K138" s="907"/>
      <c r="L138" s="755" t="s">
        <v>1357</v>
      </c>
      <c r="M138" s="902"/>
      <c r="N138" s="489">
        <v>10</v>
      </c>
      <c r="O138" s="909"/>
      <c r="P138" s="746">
        <f t="shared" si="1"/>
        <v>0.7</v>
      </c>
      <c r="Q138" s="902"/>
      <c r="R138" s="197">
        <v>0</v>
      </c>
      <c r="S138" s="902"/>
      <c r="T138" s="197">
        <v>0.15</v>
      </c>
      <c r="U138" s="902"/>
      <c r="V138" s="653">
        <f t="shared" si="3"/>
        <v>20</v>
      </c>
      <c r="W138" s="332" t="s">
        <v>14</v>
      </c>
      <c r="X138" s="266" t="s">
        <v>14</v>
      </c>
      <c r="Y138" s="902"/>
      <c r="Z138" s="378" t="s">
        <v>413</v>
      </c>
      <c r="AA138" s="902"/>
      <c r="AB138" s="274" t="s">
        <v>414</v>
      </c>
      <c r="AG138" s="783"/>
      <c r="AH138" s="86"/>
      <c r="AI138" s="86"/>
      <c r="AJ138" s="635"/>
      <c r="AK138" s="635"/>
    </row>
    <row r="139" spans="1:37" s="364" customFormat="1" x14ac:dyDescent="0.3">
      <c r="A139" s="378"/>
      <c r="B139" s="135" t="s">
        <v>1233</v>
      </c>
      <c r="C139" s="378" t="s">
        <v>297</v>
      </c>
      <c r="D139" s="57" t="s">
        <v>435</v>
      </c>
      <c r="E139" s="907"/>
      <c r="F139" s="744">
        <v>216.1</v>
      </c>
      <c r="G139" s="907"/>
      <c r="H139" s="755" t="s">
        <v>1214</v>
      </c>
      <c r="I139" s="907"/>
      <c r="J139" s="755" t="s">
        <v>1356</v>
      </c>
      <c r="K139" s="907"/>
      <c r="L139" s="755" t="s">
        <v>1357</v>
      </c>
      <c r="M139" s="902"/>
      <c r="N139" s="489">
        <v>10</v>
      </c>
      <c r="O139" s="909"/>
      <c r="P139" s="746">
        <f t="shared" si="1"/>
        <v>1.1000000000000001</v>
      </c>
      <c r="Q139" s="902"/>
      <c r="R139" s="197">
        <v>0</v>
      </c>
      <c r="S139" s="902"/>
      <c r="T139" s="197">
        <v>0.15</v>
      </c>
      <c r="U139" s="902"/>
      <c r="V139" s="653">
        <f t="shared" si="3"/>
        <v>32</v>
      </c>
      <c r="W139" s="332" t="s">
        <v>14</v>
      </c>
      <c r="X139" s="266" t="s">
        <v>14</v>
      </c>
      <c r="Y139" s="902"/>
      <c r="Z139" s="378" t="s">
        <v>413</v>
      </c>
      <c r="AA139" s="902"/>
      <c r="AB139" s="274" t="s">
        <v>414</v>
      </c>
      <c r="AG139" s="86"/>
      <c r="AH139" s="86"/>
      <c r="AI139" s="86"/>
      <c r="AJ139" s="635"/>
      <c r="AK139" s="635"/>
    </row>
    <row r="140" spans="1:37" s="364" customFormat="1" x14ac:dyDescent="0.3">
      <c r="A140" s="378"/>
      <c r="B140" s="135" t="s">
        <v>1234</v>
      </c>
      <c r="C140" s="378" t="s">
        <v>297</v>
      </c>
      <c r="D140" s="57" t="s">
        <v>435</v>
      </c>
      <c r="E140" s="907"/>
      <c r="F140" s="744">
        <v>216.1</v>
      </c>
      <c r="G140" s="907"/>
      <c r="H140" s="755" t="s">
        <v>1214</v>
      </c>
      <c r="I140" s="907"/>
      <c r="J140" s="755" t="s">
        <v>1356</v>
      </c>
      <c r="K140" s="907"/>
      <c r="L140" s="755" t="s">
        <v>1357</v>
      </c>
      <c r="M140" s="902"/>
      <c r="N140" s="489">
        <v>10</v>
      </c>
      <c r="O140" s="909"/>
      <c r="P140" s="746">
        <f t="shared" si="1"/>
        <v>1.1000000000000001</v>
      </c>
      <c r="Q140" s="902"/>
      <c r="R140" s="197">
        <v>0</v>
      </c>
      <c r="S140" s="902"/>
      <c r="T140" s="197">
        <v>0.15</v>
      </c>
      <c r="U140" s="902"/>
      <c r="V140" s="653">
        <f t="shared" si="3"/>
        <v>32</v>
      </c>
      <c r="W140" s="332" t="s">
        <v>14</v>
      </c>
      <c r="X140" s="266" t="s">
        <v>14</v>
      </c>
      <c r="Y140" s="902"/>
      <c r="Z140" s="378" t="s">
        <v>413</v>
      </c>
      <c r="AA140" s="902"/>
      <c r="AB140" s="274" t="s">
        <v>414</v>
      </c>
      <c r="AG140" s="86"/>
      <c r="AH140" s="86"/>
      <c r="AI140" s="86"/>
      <c r="AJ140" s="635"/>
      <c r="AK140" s="635"/>
    </row>
    <row r="141" spans="1:37" s="364" customFormat="1" x14ac:dyDescent="0.3">
      <c r="A141" s="378"/>
      <c r="B141" s="135" t="s">
        <v>1235</v>
      </c>
      <c r="C141" s="378" t="s">
        <v>297</v>
      </c>
      <c r="D141" s="57" t="s">
        <v>435</v>
      </c>
      <c r="E141" s="907"/>
      <c r="F141" s="744">
        <v>216.1</v>
      </c>
      <c r="G141" s="907"/>
      <c r="H141" s="755" t="s">
        <v>1214</v>
      </c>
      <c r="I141" s="907"/>
      <c r="J141" s="755" t="s">
        <v>1356</v>
      </c>
      <c r="K141" s="907"/>
      <c r="L141" s="755" t="s">
        <v>1357</v>
      </c>
      <c r="M141" s="902"/>
      <c r="N141" s="489">
        <v>10</v>
      </c>
      <c r="O141" s="909"/>
      <c r="P141" s="746">
        <f t="shared" si="1"/>
        <v>1.1000000000000001</v>
      </c>
      <c r="Q141" s="902"/>
      <c r="R141" s="197">
        <v>0</v>
      </c>
      <c r="S141" s="902"/>
      <c r="T141" s="197">
        <v>0.15</v>
      </c>
      <c r="U141" s="902"/>
      <c r="V141" s="653">
        <f t="shared" si="3"/>
        <v>32</v>
      </c>
      <c r="W141" s="332" t="s">
        <v>14</v>
      </c>
      <c r="X141" s="266" t="s">
        <v>14</v>
      </c>
      <c r="Y141" s="902"/>
      <c r="Z141" s="378" t="s">
        <v>413</v>
      </c>
      <c r="AA141" s="902"/>
      <c r="AB141" s="274" t="s">
        <v>414</v>
      </c>
      <c r="AG141" s="86"/>
      <c r="AH141" s="86"/>
      <c r="AI141" s="86"/>
      <c r="AJ141" s="635"/>
      <c r="AK141" s="635"/>
    </row>
    <row r="142" spans="1:37" s="364" customFormat="1" x14ac:dyDescent="0.3">
      <c r="A142" s="378"/>
      <c r="B142" s="135" t="s">
        <v>1236</v>
      </c>
      <c r="C142" s="378" t="s">
        <v>297</v>
      </c>
      <c r="D142" s="57" t="s">
        <v>435</v>
      </c>
      <c r="E142" s="907"/>
      <c r="F142" s="744">
        <v>216.1</v>
      </c>
      <c r="G142" s="907"/>
      <c r="H142" s="755" t="s">
        <v>1214</v>
      </c>
      <c r="I142" s="907"/>
      <c r="J142" s="755" t="s">
        <v>1356</v>
      </c>
      <c r="K142" s="907"/>
      <c r="L142" s="755" t="s">
        <v>1357</v>
      </c>
      <c r="M142" s="902"/>
      <c r="N142" s="489">
        <v>10</v>
      </c>
      <c r="O142" s="909"/>
      <c r="P142" s="746">
        <f t="shared" si="1"/>
        <v>1.1000000000000001</v>
      </c>
      <c r="Q142" s="902"/>
      <c r="R142" s="197">
        <v>0</v>
      </c>
      <c r="S142" s="902"/>
      <c r="T142" s="197">
        <v>0.15</v>
      </c>
      <c r="U142" s="902"/>
      <c r="V142" s="653">
        <f t="shared" si="3"/>
        <v>32</v>
      </c>
      <c r="W142" s="332" t="s">
        <v>14</v>
      </c>
      <c r="X142" s="266" t="s">
        <v>14</v>
      </c>
      <c r="Y142" s="902"/>
      <c r="Z142" s="378" t="s">
        <v>413</v>
      </c>
      <c r="AA142" s="902"/>
      <c r="AB142" s="274" t="s">
        <v>414</v>
      </c>
      <c r="AH142" s="86"/>
      <c r="AI142" s="86"/>
      <c r="AJ142" s="635"/>
      <c r="AK142" s="635"/>
    </row>
    <row r="143" spans="1:37" s="364" customFormat="1" x14ac:dyDescent="0.3">
      <c r="A143" s="378"/>
      <c r="B143" s="135" t="s">
        <v>1237</v>
      </c>
      <c r="C143" s="378" t="s">
        <v>297</v>
      </c>
      <c r="D143" s="57" t="s">
        <v>435</v>
      </c>
      <c r="E143" s="907"/>
      <c r="F143" s="744">
        <v>216.1</v>
      </c>
      <c r="G143" s="907"/>
      <c r="H143" s="755" t="s">
        <v>1214</v>
      </c>
      <c r="I143" s="907"/>
      <c r="J143" s="755" t="s">
        <v>1356</v>
      </c>
      <c r="K143" s="907"/>
      <c r="L143" s="755" t="s">
        <v>1357</v>
      </c>
      <c r="M143" s="902"/>
      <c r="N143" s="489">
        <v>10</v>
      </c>
      <c r="O143" s="909"/>
      <c r="P143" s="746">
        <f t="shared" si="1"/>
        <v>1.1000000000000001</v>
      </c>
      <c r="Q143" s="902"/>
      <c r="R143" s="197">
        <v>0</v>
      </c>
      <c r="S143" s="902"/>
      <c r="T143" s="197">
        <v>0.15</v>
      </c>
      <c r="U143" s="902"/>
      <c r="V143" s="653">
        <f t="shared" si="3"/>
        <v>32</v>
      </c>
      <c r="W143" s="332" t="s">
        <v>14</v>
      </c>
      <c r="X143" s="266" t="s">
        <v>14</v>
      </c>
      <c r="Y143" s="902"/>
      <c r="Z143" s="378" t="s">
        <v>413</v>
      </c>
      <c r="AA143" s="902"/>
      <c r="AB143" s="274" t="s">
        <v>414</v>
      </c>
      <c r="AG143" s="86"/>
      <c r="AH143" s="86"/>
      <c r="AI143" s="82"/>
      <c r="AJ143" s="784"/>
      <c r="AK143" s="635"/>
    </row>
    <row r="144" spans="1:37" s="364" customFormat="1" x14ac:dyDescent="0.3">
      <c r="A144" s="378"/>
      <c r="B144" s="135" t="s">
        <v>1238</v>
      </c>
      <c r="C144" s="378" t="s">
        <v>297</v>
      </c>
      <c r="D144" s="57" t="s">
        <v>435</v>
      </c>
      <c r="E144" s="907"/>
      <c r="F144" s="744">
        <v>216.1</v>
      </c>
      <c r="G144" s="907"/>
      <c r="H144" s="755" t="s">
        <v>1214</v>
      </c>
      <c r="I144" s="907"/>
      <c r="J144" s="755" t="s">
        <v>1356</v>
      </c>
      <c r="K144" s="907"/>
      <c r="L144" s="755" t="s">
        <v>1357</v>
      </c>
      <c r="M144" s="902"/>
      <c r="N144" s="489">
        <v>10</v>
      </c>
      <c r="O144" s="909"/>
      <c r="P144" s="746">
        <f t="shared" si="1"/>
        <v>1.1000000000000001</v>
      </c>
      <c r="Q144" s="902"/>
      <c r="R144" s="197">
        <v>0</v>
      </c>
      <c r="S144" s="902"/>
      <c r="T144" s="197">
        <v>0.15</v>
      </c>
      <c r="U144" s="902"/>
      <c r="V144" s="653">
        <f t="shared" si="3"/>
        <v>32</v>
      </c>
      <c r="W144" s="332" t="s">
        <v>14</v>
      </c>
      <c r="X144" s="266" t="s">
        <v>14</v>
      </c>
      <c r="Y144" s="902"/>
      <c r="Z144" s="378" t="s">
        <v>413</v>
      </c>
      <c r="AA144" s="902"/>
      <c r="AB144" s="274" t="s">
        <v>414</v>
      </c>
      <c r="AG144" s="86"/>
      <c r="AH144" s="86"/>
      <c r="AJ144" s="635"/>
      <c r="AK144" s="635"/>
    </row>
    <row r="145" spans="1:48" s="364" customFormat="1" x14ac:dyDescent="0.3">
      <c r="A145" s="378"/>
      <c r="B145" s="135" t="s">
        <v>1239</v>
      </c>
      <c r="C145" s="378" t="s">
        <v>297</v>
      </c>
      <c r="D145" s="57" t="s">
        <v>435</v>
      </c>
      <c r="E145" s="907"/>
      <c r="F145" s="744">
        <v>216.1</v>
      </c>
      <c r="G145" s="907"/>
      <c r="H145" s="755" t="s">
        <v>1214</v>
      </c>
      <c r="I145" s="907"/>
      <c r="J145" s="755" t="s">
        <v>1356</v>
      </c>
      <c r="K145" s="907"/>
      <c r="L145" s="755" t="s">
        <v>1357</v>
      </c>
      <c r="M145" s="902"/>
      <c r="N145" s="489">
        <v>10</v>
      </c>
      <c r="O145" s="909"/>
      <c r="P145" s="746">
        <f t="shared" si="1"/>
        <v>1.1000000000000001</v>
      </c>
      <c r="Q145" s="902"/>
      <c r="R145" s="197">
        <v>0</v>
      </c>
      <c r="S145" s="902"/>
      <c r="T145" s="197">
        <v>0.15</v>
      </c>
      <c r="U145" s="902"/>
      <c r="V145" s="653">
        <f t="shared" si="3"/>
        <v>32</v>
      </c>
      <c r="W145" s="332" t="s">
        <v>14</v>
      </c>
      <c r="X145" s="266" t="s">
        <v>14</v>
      </c>
      <c r="Y145" s="902"/>
      <c r="Z145" s="378" t="s">
        <v>413</v>
      </c>
      <c r="AA145" s="902"/>
      <c r="AB145" s="274" t="s">
        <v>414</v>
      </c>
      <c r="AG145" s="86"/>
      <c r="AH145" s="86"/>
      <c r="AI145" s="86"/>
      <c r="AJ145" s="635"/>
      <c r="AK145" s="635"/>
    </row>
    <row r="146" spans="1:48" s="364" customFormat="1" x14ac:dyDescent="0.3">
      <c r="A146" s="378"/>
      <c r="B146" s="135" t="s">
        <v>1240</v>
      </c>
      <c r="C146" s="378" t="s">
        <v>297</v>
      </c>
      <c r="D146" s="57" t="s">
        <v>435</v>
      </c>
      <c r="E146" s="907"/>
      <c r="F146" s="744">
        <v>216.1</v>
      </c>
      <c r="G146" s="907"/>
      <c r="H146" s="755" t="s">
        <v>1214</v>
      </c>
      <c r="I146" s="907"/>
      <c r="J146" s="755" t="s">
        <v>1356</v>
      </c>
      <c r="K146" s="907"/>
      <c r="L146" s="755" t="s">
        <v>1357</v>
      </c>
      <c r="M146" s="902"/>
      <c r="N146" s="489">
        <v>10</v>
      </c>
      <c r="O146" s="909"/>
      <c r="P146" s="746">
        <f t="shared" si="1"/>
        <v>1.1000000000000001</v>
      </c>
      <c r="Q146" s="902"/>
      <c r="R146" s="197">
        <v>0</v>
      </c>
      <c r="S146" s="902"/>
      <c r="T146" s="197">
        <v>0.15</v>
      </c>
      <c r="U146" s="902"/>
      <c r="V146" s="653">
        <f t="shared" si="3"/>
        <v>32</v>
      </c>
      <c r="W146" s="332" t="s">
        <v>14</v>
      </c>
      <c r="X146" s="266" t="s">
        <v>14</v>
      </c>
      <c r="Y146" s="902"/>
      <c r="Z146" s="378" t="s">
        <v>413</v>
      </c>
      <c r="AA146" s="902"/>
      <c r="AB146" s="274" t="s">
        <v>414</v>
      </c>
      <c r="AG146" s="86"/>
      <c r="AH146" s="86"/>
      <c r="AI146" s="86"/>
      <c r="AJ146" s="635"/>
      <c r="AK146" s="635"/>
    </row>
    <row r="147" spans="1:48" s="364" customFormat="1" x14ac:dyDescent="0.3">
      <c r="A147" s="378"/>
      <c r="B147" s="316" t="s">
        <v>1241</v>
      </c>
      <c r="C147" s="158" t="s">
        <v>297</v>
      </c>
      <c r="D147" s="476" t="s">
        <v>435</v>
      </c>
      <c r="E147" s="910"/>
      <c r="F147" s="748">
        <v>351</v>
      </c>
      <c r="G147" s="910"/>
      <c r="H147" s="757" t="s">
        <v>1214</v>
      </c>
      <c r="I147" s="911"/>
      <c r="J147" s="757" t="s">
        <v>1356</v>
      </c>
      <c r="K147" s="911"/>
      <c r="L147" s="757" t="s">
        <v>1357</v>
      </c>
      <c r="M147" s="895"/>
      <c r="N147" s="446">
        <v>10</v>
      </c>
      <c r="O147" s="911"/>
      <c r="P147" s="750">
        <f>ROUND(F147/1000*N147*0.5,1)</f>
        <v>1.8</v>
      </c>
      <c r="Q147" s="895"/>
      <c r="R147" s="199">
        <v>0</v>
      </c>
      <c r="S147" s="895"/>
      <c r="T147" s="199">
        <v>0.15</v>
      </c>
      <c r="U147" s="895"/>
      <c r="V147" s="675">
        <f t="shared" si="3"/>
        <v>53</v>
      </c>
      <c r="W147" s="333" t="s">
        <v>14</v>
      </c>
      <c r="X147" s="273" t="s">
        <v>14</v>
      </c>
      <c r="Y147" s="895"/>
      <c r="Z147" s="158" t="s">
        <v>413</v>
      </c>
      <c r="AA147" s="895"/>
      <c r="AB147" s="252" t="s">
        <v>414</v>
      </c>
      <c r="AG147" s="86"/>
      <c r="AH147" s="86"/>
      <c r="AI147" s="86"/>
      <c r="AJ147" s="635"/>
      <c r="AK147" s="635"/>
    </row>
    <row r="148" spans="1:48" s="86" customFormat="1" x14ac:dyDescent="0.3">
      <c r="A148" s="82"/>
      <c r="B148" s="85"/>
      <c r="C148" s="83"/>
      <c r="E148" s="362"/>
      <c r="F148" s="676"/>
      <c r="G148" s="25"/>
      <c r="H148" s="676"/>
      <c r="I148" s="87"/>
      <c r="K148" s="87"/>
      <c r="M148" s="87"/>
      <c r="O148" s="87"/>
      <c r="Q148" s="82"/>
      <c r="R148" s="82"/>
      <c r="S148" s="82"/>
      <c r="T148" s="82"/>
      <c r="U148" s="363"/>
      <c r="V148" s="363"/>
      <c r="W148" s="363"/>
      <c r="X148" s="363"/>
      <c r="AJ148" s="635"/>
      <c r="AK148" s="635"/>
    </row>
    <row r="149" spans="1:48" s="18" customFormat="1" x14ac:dyDescent="0.3">
      <c r="A149" s="403"/>
      <c r="B149" s="407"/>
      <c r="C149" s="67"/>
      <c r="E149" s="627"/>
      <c r="F149" s="666"/>
      <c r="G149" s="655"/>
      <c r="I149" s="655"/>
      <c r="K149" s="655"/>
      <c r="M149" s="655"/>
      <c r="O149" s="655"/>
      <c r="Q149" s="403"/>
      <c r="R149" s="403"/>
      <c r="S149" s="403"/>
      <c r="T149" s="403"/>
      <c r="U149" s="621"/>
      <c r="V149" s="621"/>
      <c r="W149" s="621"/>
      <c r="X149" s="621"/>
      <c r="AF149" s="592"/>
      <c r="AG149" s="86"/>
      <c r="AH149" s="86"/>
      <c r="AI149" s="86"/>
      <c r="AJ149" s="635"/>
      <c r="AK149" s="635"/>
    </row>
    <row r="150" spans="1:48" s="378" customFormat="1" ht="41.4" x14ac:dyDescent="0.3">
      <c r="A150" s="363"/>
      <c r="B150" s="108" t="s">
        <v>138</v>
      </c>
      <c r="C150" s="113" t="s">
        <v>291</v>
      </c>
      <c r="D150" s="113" t="s">
        <v>433</v>
      </c>
      <c r="E150" s="108"/>
      <c r="F150" s="538" t="s">
        <v>505</v>
      </c>
      <c r="G150" s="751"/>
      <c r="H150" s="116" t="s">
        <v>190</v>
      </c>
      <c r="I150" s="751"/>
      <c r="J150" s="324" t="s">
        <v>601</v>
      </c>
      <c r="K150" s="751"/>
      <c r="L150" s="538" t="s">
        <v>1346</v>
      </c>
      <c r="M150" s="751"/>
      <c r="N150" s="324" t="s">
        <v>1210</v>
      </c>
      <c r="O150" s="751"/>
      <c r="P150" s="538" t="s">
        <v>1347</v>
      </c>
      <c r="Q150" s="751"/>
      <c r="R150" s="538" t="s">
        <v>988</v>
      </c>
      <c r="S150" s="280"/>
      <c r="T150" s="324" t="s">
        <v>591</v>
      </c>
      <c r="U150" s="538"/>
      <c r="V150" s="538" t="s">
        <v>977</v>
      </c>
      <c r="W150" s="189"/>
      <c r="X150" s="168" t="s">
        <v>1021</v>
      </c>
      <c r="Y150" s="647"/>
      <c r="Z150" s="168" t="s">
        <v>1345</v>
      </c>
      <c r="AA150" s="298"/>
      <c r="AB150" s="142" t="s">
        <v>292</v>
      </c>
      <c r="AC150" s="125"/>
      <c r="AD150" s="142" t="s">
        <v>293</v>
      </c>
      <c r="AE150" s="18"/>
      <c r="AF150" s="86"/>
      <c r="AG150" s="86"/>
      <c r="AH150" s="86"/>
      <c r="AJ150" s="363"/>
      <c r="AK150" s="364"/>
      <c r="AL150" s="363"/>
      <c r="AM150" s="645"/>
      <c r="AN150" s="642"/>
      <c r="AS150" s="363"/>
      <c r="AT150" s="363"/>
      <c r="AU150" s="363"/>
      <c r="AV150" s="363"/>
    </row>
    <row r="151" spans="1:48" s="82" customFormat="1" ht="28.2" thickBot="1" x14ac:dyDescent="0.35">
      <c r="B151" s="320" t="s">
        <v>1348</v>
      </c>
      <c r="C151" s="171" t="s">
        <v>286</v>
      </c>
      <c r="D151" s="648"/>
      <c r="E151" s="650"/>
      <c r="F151" s="171" t="s">
        <v>1349</v>
      </c>
      <c r="G151" s="173"/>
      <c r="H151" s="215" t="s">
        <v>247</v>
      </c>
      <c r="I151" s="173"/>
      <c r="J151" s="171"/>
      <c r="K151" s="173"/>
      <c r="L151" s="171" t="s">
        <v>1350</v>
      </c>
      <c r="M151" s="173"/>
      <c r="N151" s="171" t="s">
        <v>1212</v>
      </c>
      <c r="O151" s="173"/>
      <c r="P151" s="343" t="s">
        <v>1351</v>
      </c>
      <c r="Q151" s="173"/>
      <c r="R151" s="343" t="s">
        <v>1352</v>
      </c>
      <c r="S151" s="320"/>
      <c r="T151" s="117" t="s">
        <v>145</v>
      </c>
      <c r="U151" s="126"/>
      <c r="V151" s="117"/>
      <c r="W151" s="126"/>
      <c r="X151" s="117" t="s">
        <v>999</v>
      </c>
      <c r="Y151" s="651"/>
      <c r="Z151" s="117"/>
      <c r="AA151" s="643"/>
      <c r="AB151" s="344" t="s">
        <v>287</v>
      </c>
      <c r="AC151" s="643"/>
      <c r="AD151" s="344" t="s">
        <v>288</v>
      </c>
      <c r="AE151" s="18"/>
      <c r="AF151" s="86"/>
      <c r="AG151" s="86"/>
      <c r="AH151" s="86"/>
      <c r="AI151" s="635"/>
      <c r="AJ151" s="635"/>
      <c r="AM151" s="635"/>
      <c r="AN151" s="635"/>
      <c r="AO151" s="635"/>
      <c r="AP151" s="635"/>
      <c r="AQ151" s="635"/>
      <c r="AR151" s="635"/>
      <c r="AS151" s="635"/>
      <c r="AT151" s="635"/>
      <c r="AU151" s="635"/>
      <c r="AV151" s="635"/>
    </row>
    <row r="152" spans="1:48" s="82" customFormat="1" ht="28.2" thickTop="1" x14ac:dyDescent="0.3">
      <c r="B152" s="122" t="s">
        <v>1307</v>
      </c>
      <c r="C152" s="378" t="s">
        <v>297</v>
      </c>
      <c r="D152" s="57" t="s">
        <v>435</v>
      </c>
      <c r="E152" s="225"/>
      <c r="F152" s="378" t="s">
        <v>1242</v>
      </c>
      <c r="G152" s="912"/>
      <c r="H152" s="744" t="s">
        <v>1355</v>
      </c>
      <c r="I152" s="912"/>
      <c r="J152" s="744">
        <v>351</v>
      </c>
      <c r="K152" s="912"/>
      <c r="L152" s="799">
        <v>1</v>
      </c>
      <c r="M152" s="912"/>
      <c r="N152" s="744" t="s">
        <v>1214</v>
      </c>
      <c r="O152" s="912"/>
      <c r="P152" s="755" t="s">
        <v>1356</v>
      </c>
      <c r="Q152" s="912"/>
      <c r="R152" s="755" t="s">
        <v>1357</v>
      </c>
      <c r="S152" s="912"/>
      <c r="T152" s="785">
        <v>5</v>
      </c>
      <c r="U152" s="902"/>
      <c r="V152" s="786">
        <f t="shared" ref="V152:V176" si="4">ROUND(J152/1000*T152*0.5,2)</f>
        <v>0.88</v>
      </c>
      <c r="W152" s="902"/>
      <c r="X152" s="459">
        <f>IF(AND(LEFT(B152,9)="GuestRoom",H152="Hotel/Motel Guest Room",J152/L152&lt;500),L152*30/J152,IF(AND(H152="High-Rise Residential Living Spaces",P152="Sum"),((0.06*J152)+(5*V152))))</f>
        <v>8.5470085470085472E-2</v>
      </c>
      <c r="Y152" s="902"/>
      <c r="Z152" s="787">
        <f>ROUND(X152*J152,2)</f>
        <v>30</v>
      </c>
      <c r="AA152" s="902"/>
      <c r="AB152" s="367" t="s">
        <v>822</v>
      </c>
      <c r="AC152" s="902"/>
      <c r="AD152" s="367" t="s">
        <v>823</v>
      </c>
      <c r="AE152" s="18"/>
      <c r="AG152" s="86"/>
      <c r="AH152" s="86"/>
      <c r="AI152" s="635"/>
      <c r="AJ152" s="635"/>
      <c r="AM152" s="635"/>
      <c r="AN152" s="635"/>
      <c r="AO152" s="635"/>
      <c r="AP152" s="635"/>
      <c r="AQ152" s="635"/>
      <c r="AR152" s="635"/>
      <c r="AS152" s="635"/>
      <c r="AT152" s="635"/>
      <c r="AU152" s="635"/>
      <c r="AV152" s="635"/>
    </row>
    <row r="153" spans="1:48" s="82" customFormat="1" ht="27.6" x14ac:dyDescent="0.3">
      <c r="B153" s="122" t="s">
        <v>1308</v>
      </c>
      <c r="C153" s="378" t="s">
        <v>297</v>
      </c>
      <c r="D153" s="57" t="s">
        <v>435</v>
      </c>
      <c r="E153" s="225"/>
      <c r="F153" s="378" t="s">
        <v>1243</v>
      </c>
      <c r="G153" s="907"/>
      <c r="H153" s="744" t="s">
        <v>1355</v>
      </c>
      <c r="I153" s="907"/>
      <c r="J153" s="744">
        <v>351</v>
      </c>
      <c r="K153" s="907"/>
      <c r="L153" s="799">
        <v>1</v>
      </c>
      <c r="M153" s="907"/>
      <c r="N153" s="744" t="s">
        <v>1214</v>
      </c>
      <c r="O153" s="907"/>
      <c r="P153" s="755" t="s">
        <v>1356</v>
      </c>
      <c r="Q153" s="907"/>
      <c r="R153" s="755" t="s">
        <v>1357</v>
      </c>
      <c r="S153" s="907"/>
      <c r="T153" s="785">
        <v>5</v>
      </c>
      <c r="U153" s="902"/>
      <c r="V153" s="786">
        <f t="shared" si="4"/>
        <v>0.88</v>
      </c>
      <c r="W153" s="902"/>
      <c r="X153" s="459">
        <f t="shared" ref="X153:X176" si="5">IF(AND(LEFT(B153,9)="GuestRoom",H153="Hotel/Motel Guest Room",J153/L153&lt;500),L153*30/J153,IF(AND(H153="High-Rise Residential Living Spaces",P153="Sum"),((0.06*J153)+(5*V153))))</f>
        <v>8.5470085470085472E-2</v>
      </c>
      <c r="Y153" s="902"/>
      <c r="Z153" s="787">
        <f t="shared" ref="Z153:Z186" si="6">ROUND(X153*J153,2)</f>
        <v>30</v>
      </c>
      <c r="AA153" s="902"/>
      <c r="AB153" s="367" t="s">
        <v>822</v>
      </c>
      <c r="AC153" s="902"/>
      <c r="AD153" s="367" t="s">
        <v>823</v>
      </c>
      <c r="AE153" s="18"/>
      <c r="AM153" s="635"/>
      <c r="AN153" s="635"/>
      <c r="AO153" s="635"/>
      <c r="AP153" s="635"/>
      <c r="AQ153" s="635"/>
      <c r="AR153" s="635"/>
      <c r="AS153" s="635"/>
      <c r="AT153" s="635"/>
      <c r="AU153" s="635"/>
      <c r="AV153" s="635"/>
    </row>
    <row r="154" spans="1:48" s="82" customFormat="1" ht="27.6" x14ac:dyDescent="0.3">
      <c r="B154" s="122" t="s">
        <v>1309</v>
      </c>
      <c r="C154" s="378" t="s">
        <v>297</v>
      </c>
      <c r="D154" s="57" t="s">
        <v>435</v>
      </c>
      <c r="E154" s="225"/>
      <c r="F154" s="378" t="s">
        <v>1244</v>
      </c>
      <c r="G154" s="907"/>
      <c r="H154" s="744" t="s">
        <v>1355</v>
      </c>
      <c r="I154" s="907"/>
      <c r="J154" s="744">
        <v>351</v>
      </c>
      <c r="K154" s="907"/>
      <c r="L154" s="799">
        <v>1</v>
      </c>
      <c r="M154" s="907"/>
      <c r="N154" s="744" t="s">
        <v>1214</v>
      </c>
      <c r="O154" s="907"/>
      <c r="P154" s="755" t="s">
        <v>1356</v>
      </c>
      <c r="Q154" s="907"/>
      <c r="R154" s="755" t="s">
        <v>1357</v>
      </c>
      <c r="S154" s="907"/>
      <c r="T154" s="785">
        <v>5</v>
      </c>
      <c r="U154" s="902"/>
      <c r="V154" s="786">
        <f t="shared" si="4"/>
        <v>0.88</v>
      </c>
      <c r="W154" s="902"/>
      <c r="X154" s="459">
        <f t="shared" si="5"/>
        <v>8.5470085470085472E-2</v>
      </c>
      <c r="Y154" s="902"/>
      <c r="Z154" s="787">
        <f t="shared" si="6"/>
        <v>30</v>
      </c>
      <c r="AA154" s="902"/>
      <c r="AB154" s="367" t="s">
        <v>822</v>
      </c>
      <c r="AC154" s="902"/>
      <c r="AD154" s="367" t="s">
        <v>823</v>
      </c>
      <c r="AE154" s="18"/>
      <c r="AF154" s="86"/>
      <c r="AM154" s="635"/>
      <c r="AN154" s="635"/>
      <c r="AO154" s="635"/>
      <c r="AP154" s="635"/>
      <c r="AQ154" s="635"/>
      <c r="AR154" s="635"/>
      <c r="AS154" s="635"/>
      <c r="AT154" s="635"/>
      <c r="AU154" s="635"/>
      <c r="AV154" s="635"/>
    </row>
    <row r="155" spans="1:48" s="82" customFormat="1" ht="27.6" x14ac:dyDescent="0.3">
      <c r="B155" s="122" t="s">
        <v>1310</v>
      </c>
      <c r="C155" s="378" t="s">
        <v>297</v>
      </c>
      <c r="D155" s="57" t="s">
        <v>435</v>
      </c>
      <c r="E155" s="225"/>
      <c r="F155" s="378" t="s">
        <v>1245</v>
      </c>
      <c r="G155" s="907"/>
      <c r="H155" s="744" t="s">
        <v>1355</v>
      </c>
      <c r="I155" s="907"/>
      <c r="J155" s="744">
        <v>351</v>
      </c>
      <c r="K155" s="907"/>
      <c r="L155" s="799">
        <v>1</v>
      </c>
      <c r="M155" s="907"/>
      <c r="N155" s="744" t="s">
        <v>1214</v>
      </c>
      <c r="O155" s="907"/>
      <c r="P155" s="755" t="s">
        <v>1356</v>
      </c>
      <c r="Q155" s="907"/>
      <c r="R155" s="755" t="s">
        <v>1357</v>
      </c>
      <c r="S155" s="907"/>
      <c r="T155" s="785">
        <v>5</v>
      </c>
      <c r="U155" s="902"/>
      <c r="V155" s="786">
        <f t="shared" si="4"/>
        <v>0.88</v>
      </c>
      <c r="W155" s="902"/>
      <c r="X155" s="459">
        <f t="shared" si="5"/>
        <v>8.5470085470085472E-2</v>
      </c>
      <c r="Y155" s="902"/>
      <c r="Z155" s="787">
        <f t="shared" si="6"/>
        <v>30</v>
      </c>
      <c r="AA155" s="902"/>
      <c r="AB155" s="367" t="s">
        <v>822</v>
      </c>
      <c r="AC155" s="902"/>
      <c r="AD155" s="367" t="s">
        <v>823</v>
      </c>
      <c r="AE155" s="18"/>
      <c r="AM155" s="635"/>
      <c r="AN155" s="635"/>
      <c r="AO155" s="635"/>
      <c r="AP155" s="635"/>
      <c r="AQ155" s="635"/>
      <c r="AR155" s="635"/>
      <c r="AS155" s="635"/>
      <c r="AT155" s="635"/>
      <c r="AU155" s="635"/>
      <c r="AV155" s="635"/>
    </row>
    <row r="156" spans="1:48" s="82" customFormat="1" ht="27.6" x14ac:dyDescent="0.3">
      <c r="B156" s="122" t="s">
        <v>1311</v>
      </c>
      <c r="C156" s="378" t="s">
        <v>297</v>
      </c>
      <c r="D156" s="57" t="s">
        <v>435</v>
      </c>
      <c r="E156" s="225"/>
      <c r="F156" s="378" t="s">
        <v>1246</v>
      </c>
      <c r="G156" s="907"/>
      <c r="H156" s="744" t="s">
        <v>1355</v>
      </c>
      <c r="I156" s="907"/>
      <c r="J156" s="744">
        <v>351</v>
      </c>
      <c r="K156" s="907"/>
      <c r="L156" s="799">
        <v>1</v>
      </c>
      <c r="M156" s="907"/>
      <c r="N156" s="744" t="s">
        <v>1214</v>
      </c>
      <c r="O156" s="907"/>
      <c r="P156" s="755" t="s">
        <v>1356</v>
      </c>
      <c r="Q156" s="907"/>
      <c r="R156" s="755" t="s">
        <v>1357</v>
      </c>
      <c r="S156" s="907"/>
      <c r="T156" s="785">
        <v>5</v>
      </c>
      <c r="U156" s="902"/>
      <c r="V156" s="786">
        <f t="shared" si="4"/>
        <v>0.88</v>
      </c>
      <c r="W156" s="902"/>
      <c r="X156" s="459">
        <f t="shared" si="5"/>
        <v>8.5470085470085472E-2</v>
      </c>
      <c r="Y156" s="902"/>
      <c r="Z156" s="787">
        <f t="shared" si="6"/>
        <v>30</v>
      </c>
      <c r="AA156" s="902"/>
      <c r="AB156" s="367" t="s">
        <v>822</v>
      </c>
      <c r="AC156" s="902"/>
      <c r="AD156" s="367" t="s">
        <v>823</v>
      </c>
      <c r="AE156" s="18"/>
      <c r="AM156" s="635"/>
      <c r="AN156" s="635"/>
      <c r="AO156" s="635"/>
      <c r="AP156" s="635"/>
      <c r="AQ156" s="635"/>
      <c r="AR156" s="635"/>
      <c r="AS156" s="635"/>
      <c r="AT156" s="635"/>
      <c r="AU156" s="635"/>
      <c r="AV156" s="635"/>
    </row>
    <row r="157" spans="1:48" s="82" customFormat="1" ht="27.6" x14ac:dyDescent="0.3">
      <c r="B157" s="122" t="s">
        <v>1312</v>
      </c>
      <c r="C157" s="378" t="s">
        <v>297</v>
      </c>
      <c r="D157" s="57" t="s">
        <v>435</v>
      </c>
      <c r="E157" s="225"/>
      <c r="F157" s="378" t="s">
        <v>1247</v>
      </c>
      <c r="G157" s="907"/>
      <c r="H157" s="744" t="s">
        <v>1355</v>
      </c>
      <c r="I157" s="907"/>
      <c r="J157" s="744">
        <v>351</v>
      </c>
      <c r="K157" s="907"/>
      <c r="L157" s="799">
        <v>1</v>
      </c>
      <c r="M157" s="907"/>
      <c r="N157" s="744" t="s">
        <v>1214</v>
      </c>
      <c r="O157" s="907"/>
      <c r="P157" s="755" t="s">
        <v>1356</v>
      </c>
      <c r="Q157" s="907"/>
      <c r="R157" s="755" t="s">
        <v>1357</v>
      </c>
      <c r="S157" s="907"/>
      <c r="T157" s="785">
        <v>5</v>
      </c>
      <c r="U157" s="902"/>
      <c r="V157" s="786">
        <f t="shared" si="4"/>
        <v>0.88</v>
      </c>
      <c r="W157" s="902"/>
      <c r="X157" s="459">
        <f t="shared" si="5"/>
        <v>8.5470085470085472E-2</v>
      </c>
      <c r="Y157" s="902"/>
      <c r="Z157" s="787">
        <f t="shared" si="6"/>
        <v>30</v>
      </c>
      <c r="AA157" s="902"/>
      <c r="AB157" s="367" t="s">
        <v>822</v>
      </c>
      <c r="AC157" s="902"/>
      <c r="AD157" s="367" t="s">
        <v>823</v>
      </c>
      <c r="AE157" s="18"/>
      <c r="AM157" s="635"/>
      <c r="AN157" s="635"/>
      <c r="AO157" s="635"/>
      <c r="AP157" s="635"/>
      <c r="AQ157" s="635"/>
      <c r="AR157" s="635"/>
      <c r="AS157" s="635"/>
      <c r="AT157" s="635"/>
      <c r="AU157" s="635"/>
      <c r="AV157" s="635"/>
    </row>
    <row r="158" spans="1:48" s="82" customFormat="1" ht="27.6" x14ac:dyDescent="0.3">
      <c r="B158" s="122" t="s">
        <v>1313</v>
      </c>
      <c r="C158" s="378" t="s">
        <v>297</v>
      </c>
      <c r="D158" s="57" t="s">
        <v>435</v>
      </c>
      <c r="E158" s="225"/>
      <c r="F158" s="378" t="s">
        <v>1187</v>
      </c>
      <c r="G158" s="907"/>
      <c r="H158" s="744" t="s">
        <v>1355</v>
      </c>
      <c r="I158" s="907"/>
      <c r="J158" s="744">
        <v>1404.1</v>
      </c>
      <c r="K158" s="907"/>
      <c r="L158" s="799">
        <v>4</v>
      </c>
      <c r="M158" s="907"/>
      <c r="N158" s="744" t="s">
        <v>1214</v>
      </c>
      <c r="O158" s="907"/>
      <c r="P158" s="755" t="s">
        <v>1356</v>
      </c>
      <c r="Q158" s="907"/>
      <c r="R158" s="755" t="s">
        <v>1357</v>
      </c>
      <c r="S158" s="907"/>
      <c r="T158" s="785">
        <v>5</v>
      </c>
      <c r="U158" s="902"/>
      <c r="V158" s="786">
        <f t="shared" si="4"/>
        <v>3.51</v>
      </c>
      <c r="W158" s="902"/>
      <c r="X158" s="459">
        <f t="shared" si="5"/>
        <v>8.5463998290720045E-2</v>
      </c>
      <c r="Y158" s="902"/>
      <c r="Z158" s="787">
        <f t="shared" si="6"/>
        <v>120</v>
      </c>
      <c r="AA158" s="902"/>
      <c r="AB158" s="367" t="s">
        <v>822</v>
      </c>
      <c r="AC158" s="902"/>
      <c r="AD158" s="367" t="s">
        <v>823</v>
      </c>
      <c r="AE158" s="18"/>
      <c r="AM158" s="635"/>
      <c r="AN158" s="635"/>
      <c r="AO158" s="635"/>
      <c r="AP158" s="635"/>
      <c r="AQ158" s="635"/>
      <c r="AR158" s="635"/>
      <c r="AS158" s="635"/>
      <c r="AT158" s="635"/>
      <c r="AU158" s="635"/>
      <c r="AV158" s="635"/>
    </row>
    <row r="159" spans="1:48" s="82" customFormat="1" ht="27.6" x14ac:dyDescent="0.3">
      <c r="B159" s="122" t="s">
        <v>1314</v>
      </c>
      <c r="C159" s="378" t="s">
        <v>297</v>
      </c>
      <c r="D159" s="57" t="s">
        <v>435</v>
      </c>
      <c r="E159" s="225"/>
      <c r="F159" s="378" t="s">
        <v>1248</v>
      </c>
      <c r="G159" s="907"/>
      <c r="H159" s="744" t="s">
        <v>1355</v>
      </c>
      <c r="I159" s="907"/>
      <c r="J159" s="744">
        <v>1134.0999999999999</v>
      </c>
      <c r="K159" s="907"/>
      <c r="L159" s="799">
        <v>3</v>
      </c>
      <c r="M159" s="907"/>
      <c r="N159" s="744" t="s">
        <v>1214</v>
      </c>
      <c r="O159" s="907"/>
      <c r="P159" s="755" t="s">
        <v>1356</v>
      </c>
      <c r="Q159" s="907"/>
      <c r="R159" s="755" t="s">
        <v>1357</v>
      </c>
      <c r="S159" s="907"/>
      <c r="T159" s="785">
        <v>5</v>
      </c>
      <c r="U159" s="902"/>
      <c r="V159" s="786">
        <f t="shared" si="4"/>
        <v>2.84</v>
      </c>
      <c r="W159" s="902"/>
      <c r="X159" s="459">
        <f t="shared" si="5"/>
        <v>7.9358081297945512E-2</v>
      </c>
      <c r="Y159" s="902"/>
      <c r="Z159" s="787">
        <f t="shared" si="6"/>
        <v>90</v>
      </c>
      <c r="AA159" s="902"/>
      <c r="AB159" s="367" t="s">
        <v>822</v>
      </c>
      <c r="AC159" s="902"/>
      <c r="AD159" s="367" t="s">
        <v>823</v>
      </c>
      <c r="AE159" s="18"/>
      <c r="AM159" s="635"/>
      <c r="AN159" s="635"/>
      <c r="AO159" s="635"/>
      <c r="AP159" s="635"/>
      <c r="AQ159" s="635"/>
      <c r="AR159" s="635"/>
      <c r="AS159" s="635"/>
      <c r="AT159" s="635"/>
      <c r="AU159" s="635"/>
      <c r="AV159" s="635"/>
    </row>
    <row r="160" spans="1:48" s="82" customFormat="1" ht="27.6" x14ac:dyDescent="0.3">
      <c r="B160" s="122" t="s">
        <v>1315</v>
      </c>
      <c r="C160" s="378" t="s">
        <v>297</v>
      </c>
      <c r="D160" s="57" t="s">
        <v>435</v>
      </c>
      <c r="E160" s="225"/>
      <c r="F160" s="378" t="s">
        <v>1249</v>
      </c>
      <c r="G160" s="907"/>
      <c r="H160" s="744" t="s">
        <v>1355</v>
      </c>
      <c r="I160" s="907"/>
      <c r="J160" s="744">
        <v>1404.1</v>
      </c>
      <c r="K160" s="907"/>
      <c r="L160" s="799">
        <v>4</v>
      </c>
      <c r="M160" s="907"/>
      <c r="N160" s="744" t="s">
        <v>1214</v>
      </c>
      <c r="O160" s="907"/>
      <c r="P160" s="755" t="s">
        <v>1356</v>
      </c>
      <c r="Q160" s="907"/>
      <c r="R160" s="755" t="s">
        <v>1357</v>
      </c>
      <c r="S160" s="907"/>
      <c r="T160" s="785">
        <v>5</v>
      </c>
      <c r="U160" s="902"/>
      <c r="V160" s="786">
        <f t="shared" si="4"/>
        <v>3.51</v>
      </c>
      <c r="W160" s="902"/>
      <c r="X160" s="459">
        <f t="shared" si="5"/>
        <v>8.5463998290720045E-2</v>
      </c>
      <c r="Y160" s="902"/>
      <c r="Z160" s="787">
        <f t="shared" si="6"/>
        <v>120</v>
      </c>
      <c r="AA160" s="902"/>
      <c r="AB160" s="367" t="s">
        <v>822</v>
      </c>
      <c r="AC160" s="902"/>
      <c r="AD160" s="367" t="s">
        <v>823</v>
      </c>
      <c r="AE160" s="18"/>
      <c r="AM160" s="635"/>
      <c r="AN160" s="635"/>
      <c r="AO160" s="635"/>
      <c r="AP160" s="635"/>
      <c r="AQ160" s="635"/>
      <c r="AR160" s="635"/>
      <c r="AS160" s="635"/>
      <c r="AT160" s="635"/>
      <c r="AU160" s="635"/>
      <c r="AV160" s="635"/>
    </row>
    <row r="161" spans="1:48" s="82" customFormat="1" ht="27.6" x14ac:dyDescent="0.3">
      <c r="B161" s="122" t="s">
        <v>1316</v>
      </c>
      <c r="C161" s="378" t="s">
        <v>297</v>
      </c>
      <c r="D161" s="57" t="s">
        <v>435</v>
      </c>
      <c r="E161" s="225"/>
      <c r="F161" s="378" t="s">
        <v>1250</v>
      </c>
      <c r="G161" s="907"/>
      <c r="H161" s="744" t="s">
        <v>1355</v>
      </c>
      <c r="I161" s="907"/>
      <c r="J161" s="744">
        <v>351</v>
      </c>
      <c r="K161" s="907"/>
      <c r="L161" s="799">
        <v>1</v>
      </c>
      <c r="M161" s="907"/>
      <c r="N161" s="744" t="s">
        <v>1214</v>
      </c>
      <c r="O161" s="907"/>
      <c r="P161" s="755" t="s">
        <v>1356</v>
      </c>
      <c r="Q161" s="907"/>
      <c r="R161" s="755" t="s">
        <v>1357</v>
      </c>
      <c r="S161" s="907"/>
      <c r="T161" s="785">
        <v>5</v>
      </c>
      <c r="U161" s="902"/>
      <c r="V161" s="786">
        <f t="shared" si="4"/>
        <v>0.88</v>
      </c>
      <c r="W161" s="902"/>
      <c r="X161" s="459">
        <f t="shared" si="5"/>
        <v>8.5470085470085472E-2</v>
      </c>
      <c r="Y161" s="902"/>
      <c r="Z161" s="787">
        <f t="shared" si="6"/>
        <v>30</v>
      </c>
      <c r="AA161" s="902"/>
      <c r="AB161" s="367" t="s">
        <v>822</v>
      </c>
      <c r="AC161" s="902"/>
      <c r="AD161" s="367" t="s">
        <v>823</v>
      </c>
      <c r="AE161" s="18"/>
      <c r="AM161" s="635"/>
      <c r="AN161" s="635"/>
      <c r="AO161" s="635"/>
      <c r="AP161" s="635"/>
      <c r="AQ161" s="635"/>
      <c r="AR161" s="635"/>
      <c r="AS161" s="635"/>
      <c r="AT161" s="635"/>
      <c r="AU161" s="635"/>
      <c r="AV161" s="635"/>
    </row>
    <row r="162" spans="1:48" s="82" customFormat="1" ht="27.6" x14ac:dyDescent="0.3">
      <c r="B162" s="122" t="s">
        <v>1317</v>
      </c>
      <c r="C162" s="378" t="s">
        <v>297</v>
      </c>
      <c r="D162" s="57" t="s">
        <v>435</v>
      </c>
      <c r="E162" s="225"/>
      <c r="F162" s="378" t="s">
        <v>1251</v>
      </c>
      <c r="G162" s="907"/>
      <c r="H162" s="744" t="s">
        <v>1355</v>
      </c>
      <c r="I162" s="907"/>
      <c r="J162" s="744">
        <v>351</v>
      </c>
      <c r="K162" s="907"/>
      <c r="L162" s="799">
        <v>1</v>
      </c>
      <c r="M162" s="907"/>
      <c r="N162" s="744" t="s">
        <v>1214</v>
      </c>
      <c r="O162" s="907"/>
      <c r="P162" s="755" t="s">
        <v>1356</v>
      </c>
      <c r="Q162" s="907"/>
      <c r="R162" s="755" t="s">
        <v>1357</v>
      </c>
      <c r="S162" s="907"/>
      <c r="T162" s="785">
        <v>5</v>
      </c>
      <c r="U162" s="902"/>
      <c r="V162" s="786">
        <f t="shared" si="4"/>
        <v>0.88</v>
      </c>
      <c r="W162" s="902"/>
      <c r="X162" s="459">
        <f t="shared" si="5"/>
        <v>8.5470085470085472E-2</v>
      </c>
      <c r="Y162" s="902"/>
      <c r="Z162" s="787">
        <f t="shared" si="6"/>
        <v>30</v>
      </c>
      <c r="AA162" s="902"/>
      <c r="AB162" s="367" t="s">
        <v>822</v>
      </c>
      <c r="AC162" s="902"/>
      <c r="AD162" s="367" t="s">
        <v>823</v>
      </c>
      <c r="AE162" s="18"/>
      <c r="AM162" s="635"/>
      <c r="AN162" s="635"/>
      <c r="AO162" s="635"/>
      <c r="AP162" s="635"/>
      <c r="AQ162" s="635"/>
      <c r="AR162" s="635"/>
      <c r="AS162" s="635"/>
      <c r="AT162" s="635"/>
      <c r="AU162" s="635"/>
      <c r="AV162" s="635"/>
    </row>
    <row r="163" spans="1:48" s="82" customFormat="1" ht="27.6" x14ac:dyDescent="0.3">
      <c r="B163" s="122" t="s">
        <v>1318</v>
      </c>
      <c r="C163" s="378" t="s">
        <v>297</v>
      </c>
      <c r="D163" s="57" t="s">
        <v>435</v>
      </c>
      <c r="E163" s="225"/>
      <c r="F163" s="378" t="s">
        <v>1252</v>
      </c>
      <c r="G163" s="907"/>
      <c r="H163" s="744" t="s">
        <v>1355</v>
      </c>
      <c r="I163" s="907"/>
      <c r="J163" s="744">
        <v>1404</v>
      </c>
      <c r="K163" s="907"/>
      <c r="L163" s="799">
        <v>4</v>
      </c>
      <c r="M163" s="907"/>
      <c r="N163" s="744" t="s">
        <v>1214</v>
      </c>
      <c r="O163" s="907"/>
      <c r="P163" s="755" t="s">
        <v>1356</v>
      </c>
      <c r="Q163" s="907"/>
      <c r="R163" s="755" t="s">
        <v>1357</v>
      </c>
      <c r="S163" s="907"/>
      <c r="T163" s="785">
        <v>5</v>
      </c>
      <c r="U163" s="902"/>
      <c r="V163" s="786">
        <f t="shared" si="4"/>
        <v>3.51</v>
      </c>
      <c r="W163" s="902"/>
      <c r="X163" s="459">
        <f t="shared" si="5"/>
        <v>8.5470085470085472E-2</v>
      </c>
      <c r="Y163" s="902"/>
      <c r="Z163" s="787">
        <f t="shared" si="6"/>
        <v>120</v>
      </c>
      <c r="AA163" s="902"/>
      <c r="AB163" s="367" t="s">
        <v>822</v>
      </c>
      <c r="AC163" s="902"/>
      <c r="AD163" s="367" t="s">
        <v>823</v>
      </c>
      <c r="AE163" s="18"/>
      <c r="AM163" s="635"/>
      <c r="AN163" s="635"/>
      <c r="AO163" s="635"/>
      <c r="AP163" s="635"/>
      <c r="AQ163" s="635"/>
      <c r="AR163" s="635"/>
      <c r="AS163" s="635"/>
      <c r="AT163" s="635"/>
      <c r="AU163" s="635"/>
      <c r="AV163" s="635"/>
    </row>
    <row r="164" spans="1:48" s="82" customFormat="1" ht="27.6" x14ac:dyDescent="0.3">
      <c r="B164" s="122" t="s">
        <v>1319</v>
      </c>
      <c r="C164" s="378" t="s">
        <v>297</v>
      </c>
      <c r="D164" s="57" t="s">
        <v>435</v>
      </c>
      <c r="E164" s="225"/>
      <c r="F164" s="378" t="s">
        <v>1253</v>
      </c>
      <c r="G164" s="907"/>
      <c r="H164" s="744" t="s">
        <v>1355</v>
      </c>
      <c r="I164" s="907"/>
      <c r="J164" s="744">
        <v>351</v>
      </c>
      <c r="K164" s="907"/>
      <c r="L164" s="799">
        <v>1</v>
      </c>
      <c r="M164" s="907"/>
      <c r="N164" s="744" t="s">
        <v>1214</v>
      </c>
      <c r="O164" s="907"/>
      <c r="P164" s="755" t="s">
        <v>1356</v>
      </c>
      <c r="Q164" s="907"/>
      <c r="R164" s="755" t="s">
        <v>1357</v>
      </c>
      <c r="S164" s="907"/>
      <c r="T164" s="785">
        <v>5</v>
      </c>
      <c r="U164" s="902"/>
      <c r="V164" s="786">
        <f t="shared" si="4"/>
        <v>0.88</v>
      </c>
      <c r="W164" s="902"/>
      <c r="X164" s="459">
        <f t="shared" si="5"/>
        <v>8.5470085470085472E-2</v>
      </c>
      <c r="Y164" s="902"/>
      <c r="Z164" s="787">
        <f t="shared" si="6"/>
        <v>30</v>
      </c>
      <c r="AA164" s="902"/>
      <c r="AB164" s="367" t="s">
        <v>822</v>
      </c>
      <c r="AC164" s="902"/>
      <c r="AD164" s="367" t="s">
        <v>823</v>
      </c>
      <c r="AE164" s="18"/>
      <c r="AM164" s="635"/>
      <c r="AN164" s="635"/>
      <c r="AO164" s="635"/>
      <c r="AP164" s="635"/>
      <c r="AQ164" s="635"/>
      <c r="AR164" s="635"/>
      <c r="AS164" s="635"/>
      <c r="AT164" s="635"/>
      <c r="AU164" s="635"/>
      <c r="AV164" s="635"/>
    </row>
    <row r="165" spans="1:48" s="82" customFormat="1" ht="27.6" x14ac:dyDescent="0.3">
      <c r="B165" s="122" t="s">
        <v>1320</v>
      </c>
      <c r="C165" s="378" t="s">
        <v>297</v>
      </c>
      <c r="D165" s="57" t="s">
        <v>435</v>
      </c>
      <c r="E165" s="225"/>
      <c r="F165" s="378" t="s">
        <v>1254</v>
      </c>
      <c r="G165" s="907"/>
      <c r="H165" s="744" t="s">
        <v>1355</v>
      </c>
      <c r="I165" s="907"/>
      <c r="J165" s="744">
        <v>1404</v>
      </c>
      <c r="K165" s="907"/>
      <c r="L165" s="799">
        <v>4</v>
      </c>
      <c r="M165" s="907"/>
      <c r="N165" s="744" t="s">
        <v>1214</v>
      </c>
      <c r="O165" s="907"/>
      <c r="P165" s="755" t="s">
        <v>1356</v>
      </c>
      <c r="Q165" s="907"/>
      <c r="R165" s="755" t="s">
        <v>1357</v>
      </c>
      <c r="S165" s="907"/>
      <c r="T165" s="785">
        <v>5</v>
      </c>
      <c r="U165" s="902"/>
      <c r="V165" s="786">
        <f t="shared" si="4"/>
        <v>3.51</v>
      </c>
      <c r="W165" s="902"/>
      <c r="X165" s="459">
        <f t="shared" si="5"/>
        <v>8.5470085470085472E-2</v>
      </c>
      <c r="Y165" s="902"/>
      <c r="Z165" s="787">
        <f t="shared" si="6"/>
        <v>120</v>
      </c>
      <c r="AA165" s="902"/>
      <c r="AB165" s="367" t="s">
        <v>822</v>
      </c>
      <c r="AC165" s="902"/>
      <c r="AD165" s="367" t="s">
        <v>823</v>
      </c>
      <c r="AE165" s="18"/>
      <c r="AM165" s="635"/>
      <c r="AN165" s="635"/>
      <c r="AO165" s="635"/>
      <c r="AP165" s="635"/>
      <c r="AQ165" s="635"/>
      <c r="AR165" s="635"/>
      <c r="AS165" s="635"/>
      <c r="AT165" s="635"/>
      <c r="AU165" s="635"/>
      <c r="AV165" s="635"/>
    </row>
    <row r="166" spans="1:48" s="82" customFormat="1" ht="27.6" x14ac:dyDescent="0.3">
      <c r="B166" s="122" t="s">
        <v>1321</v>
      </c>
      <c r="C166" s="378" t="s">
        <v>297</v>
      </c>
      <c r="D166" s="57" t="s">
        <v>435</v>
      </c>
      <c r="E166" s="225"/>
      <c r="F166" s="378" t="s">
        <v>1255</v>
      </c>
      <c r="G166" s="907"/>
      <c r="H166" s="744" t="s">
        <v>1355</v>
      </c>
      <c r="I166" s="907"/>
      <c r="J166" s="744">
        <v>351</v>
      </c>
      <c r="K166" s="907"/>
      <c r="L166" s="799">
        <v>1</v>
      </c>
      <c r="M166" s="907"/>
      <c r="N166" s="744" t="s">
        <v>1214</v>
      </c>
      <c r="O166" s="907"/>
      <c r="P166" s="755" t="s">
        <v>1356</v>
      </c>
      <c r="Q166" s="907"/>
      <c r="R166" s="755" t="s">
        <v>1357</v>
      </c>
      <c r="S166" s="907"/>
      <c r="T166" s="785">
        <v>5</v>
      </c>
      <c r="U166" s="902"/>
      <c r="V166" s="786">
        <f t="shared" si="4"/>
        <v>0.88</v>
      </c>
      <c r="W166" s="902"/>
      <c r="X166" s="459">
        <f t="shared" si="5"/>
        <v>8.5470085470085472E-2</v>
      </c>
      <c r="Y166" s="902"/>
      <c r="Z166" s="787">
        <f t="shared" si="6"/>
        <v>30</v>
      </c>
      <c r="AA166" s="902"/>
      <c r="AB166" s="367" t="s">
        <v>822</v>
      </c>
      <c r="AC166" s="902"/>
      <c r="AD166" s="367" t="s">
        <v>823</v>
      </c>
      <c r="AE166" s="18"/>
      <c r="AM166" s="635"/>
      <c r="AN166" s="635"/>
      <c r="AO166" s="635"/>
      <c r="AP166" s="635"/>
      <c r="AQ166" s="635"/>
      <c r="AR166" s="635"/>
      <c r="AS166" s="635"/>
      <c r="AT166" s="635"/>
      <c r="AU166" s="635"/>
      <c r="AV166" s="635"/>
    </row>
    <row r="167" spans="1:48" s="18" customFormat="1" ht="27.6" x14ac:dyDescent="0.3">
      <c r="A167" s="403"/>
      <c r="B167" s="135" t="s">
        <v>1271</v>
      </c>
      <c r="C167" s="378" t="s">
        <v>297</v>
      </c>
      <c r="D167" s="57" t="s">
        <v>435</v>
      </c>
      <c r="E167" s="225"/>
      <c r="F167" s="370" t="s">
        <v>1269</v>
      </c>
      <c r="G167" s="907"/>
      <c r="H167" s="744" t="s">
        <v>1355</v>
      </c>
      <c r="I167" s="907"/>
      <c r="J167" s="744">
        <v>351</v>
      </c>
      <c r="K167" s="907"/>
      <c r="L167" s="799">
        <v>1</v>
      </c>
      <c r="M167" s="907"/>
      <c r="N167" s="744" t="s">
        <v>1214</v>
      </c>
      <c r="O167" s="907"/>
      <c r="P167" s="755" t="s">
        <v>1356</v>
      </c>
      <c r="Q167" s="907"/>
      <c r="R167" s="755" t="s">
        <v>1357</v>
      </c>
      <c r="S167" s="907"/>
      <c r="T167" s="785">
        <v>5</v>
      </c>
      <c r="U167" s="902"/>
      <c r="V167" s="786">
        <f t="shared" si="4"/>
        <v>0.88</v>
      </c>
      <c r="W167" s="902"/>
      <c r="X167" s="459">
        <f>IF(AND(LEFT(B167,9)="GuestRoom",H167="Hotel/Motel Guest Room",J167/L167&lt;500),L167*30/J167,IF(AND(H167="High-Rise Residential Living Spaces",P167="Sum"),((0.06*J167)+(5*V167))))</f>
        <v>8.5470085470085472E-2</v>
      </c>
      <c r="Y167" s="902"/>
      <c r="Z167" s="787">
        <f t="shared" si="6"/>
        <v>30</v>
      </c>
      <c r="AA167" s="902"/>
      <c r="AB167" s="367" t="s">
        <v>822</v>
      </c>
      <c r="AC167" s="902"/>
      <c r="AD167" s="367" t="s">
        <v>823</v>
      </c>
      <c r="AF167" s="86"/>
      <c r="AG167" s="82"/>
      <c r="AH167" s="86"/>
    </row>
    <row r="168" spans="1:48" s="18" customFormat="1" ht="27.6" x14ac:dyDescent="0.3">
      <c r="A168" s="403"/>
      <c r="B168" s="135" t="s">
        <v>1274</v>
      </c>
      <c r="C168" s="378" t="s">
        <v>297</v>
      </c>
      <c r="D168" s="57" t="s">
        <v>435</v>
      </c>
      <c r="E168" s="225"/>
      <c r="F168" s="370" t="s">
        <v>1273</v>
      </c>
      <c r="G168" s="907"/>
      <c r="H168" s="744" t="s">
        <v>1355</v>
      </c>
      <c r="I168" s="907"/>
      <c r="J168" s="744">
        <v>1404.1</v>
      </c>
      <c r="K168" s="907"/>
      <c r="L168" s="799">
        <v>4</v>
      </c>
      <c r="M168" s="907"/>
      <c r="N168" s="744" t="s">
        <v>1214</v>
      </c>
      <c r="O168" s="907"/>
      <c r="P168" s="755" t="s">
        <v>1356</v>
      </c>
      <c r="Q168" s="907"/>
      <c r="R168" s="755" t="s">
        <v>1357</v>
      </c>
      <c r="S168" s="907"/>
      <c r="T168" s="785">
        <v>5</v>
      </c>
      <c r="U168" s="902"/>
      <c r="V168" s="786">
        <f t="shared" si="4"/>
        <v>3.51</v>
      </c>
      <c r="W168" s="902"/>
      <c r="X168" s="459">
        <f t="shared" si="5"/>
        <v>8.5463998290720045E-2</v>
      </c>
      <c r="Y168" s="902"/>
      <c r="Z168" s="787">
        <f t="shared" si="6"/>
        <v>120</v>
      </c>
      <c r="AA168" s="902"/>
      <c r="AB168" s="371" t="s">
        <v>822</v>
      </c>
      <c r="AC168" s="902"/>
      <c r="AD168" s="360" t="s">
        <v>823</v>
      </c>
      <c r="AF168" s="86"/>
      <c r="AG168" s="82"/>
      <c r="AH168" s="86"/>
    </row>
    <row r="169" spans="1:48" s="18" customFormat="1" ht="27.6" x14ac:dyDescent="0.3">
      <c r="A169" s="403"/>
      <c r="B169" s="135" t="s">
        <v>1276</v>
      </c>
      <c r="C169" s="378" t="s">
        <v>297</v>
      </c>
      <c r="D169" s="57" t="s">
        <v>435</v>
      </c>
      <c r="E169" s="225"/>
      <c r="F169" s="370" t="s">
        <v>1275</v>
      </c>
      <c r="G169" s="907"/>
      <c r="H169" s="744" t="s">
        <v>1355</v>
      </c>
      <c r="I169" s="907"/>
      <c r="J169" s="744">
        <v>1134.0999999999999</v>
      </c>
      <c r="K169" s="907"/>
      <c r="L169" s="799">
        <v>3</v>
      </c>
      <c r="M169" s="907"/>
      <c r="N169" s="744" t="s">
        <v>1214</v>
      </c>
      <c r="O169" s="907"/>
      <c r="P169" s="755" t="s">
        <v>1356</v>
      </c>
      <c r="Q169" s="907"/>
      <c r="R169" s="755" t="s">
        <v>1357</v>
      </c>
      <c r="S169" s="907"/>
      <c r="T169" s="785">
        <v>5</v>
      </c>
      <c r="U169" s="902"/>
      <c r="V169" s="786">
        <f t="shared" si="4"/>
        <v>2.84</v>
      </c>
      <c r="W169" s="902"/>
      <c r="X169" s="459">
        <f t="shared" si="5"/>
        <v>7.9358081297945512E-2</v>
      </c>
      <c r="Y169" s="902"/>
      <c r="Z169" s="787">
        <f t="shared" si="6"/>
        <v>90</v>
      </c>
      <c r="AA169" s="902"/>
      <c r="AB169" s="371" t="s">
        <v>822</v>
      </c>
      <c r="AC169" s="902"/>
      <c r="AD169" s="360" t="s">
        <v>823</v>
      </c>
      <c r="AF169" s="86"/>
      <c r="AG169" s="82"/>
      <c r="AH169" s="86"/>
    </row>
    <row r="170" spans="1:48" s="18" customFormat="1" ht="27.6" x14ac:dyDescent="0.3">
      <c r="A170" s="403"/>
      <c r="B170" s="135" t="s">
        <v>1278</v>
      </c>
      <c r="C170" s="378" t="s">
        <v>297</v>
      </c>
      <c r="D170" s="57" t="s">
        <v>435</v>
      </c>
      <c r="E170" s="225"/>
      <c r="F170" s="370" t="s">
        <v>1277</v>
      </c>
      <c r="G170" s="907"/>
      <c r="H170" s="744" t="s">
        <v>1355</v>
      </c>
      <c r="I170" s="907"/>
      <c r="J170" s="744">
        <v>1404.1</v>
      </c>
      <c r="K170" s="907"/>
      <c r="L170" s="799">
        <v>4</v>
      </c>
      <c r="M170" s="907"/>
      <c r="N170" s="744" t="s">
        <v>1214</v>
      </c>
      <c r="O170" s="907"/>
      <c r="P170" s="755" t="s">
        <v>1356</v>
      </c>
      <c r="Q170" s="907"/>
      <c r="R170" s="755" t="s">
        <v>1357</v>
      </c>
      <c r="S170" s="907"/>
      <c r="T170" s="785">
        <v>5</v>
      </c>
      <c r="U170" s="902"/>
      <c r="V170" s="786">
        <f t="shared" si="4"/>
        <v>3.51</v>
      </c>
      <c r="W170" s="902"/>
      <c r="X170" s="459">
        <f t="shared" si="5"/>
        <v>8.5463998290720045E-2</v>
      </c>
      <c r="Y170" s="902"/>
      <c r="Z170" s="787">
        <f t="shared" si="6"/>
        <v>120</v>
      </c>
      <c r="AA170" s="902"/>
      <c r="AB170" s="371" t="s">
        <v>822</v>
      </c>
      <c r="AC170" s="902"/>
      <c r="AD170" s="360" t="s">
        <v>823</v>
      </c>
      <c r="AF170" s="86"/>
      <c r="AG170" s="82"/>
      <c r="AH170" s="86"/>
    </row>
    <row r="171" spans="1:48" s="18" customFormat="1" ht="27.6" x14ac:dyDescent="0.3">
      <c r="A171" s="403"/>
      <c r="B171" s="135" t="s">
        <v>1280</v>
      </c>
      <c r="C171" s="378" t="s">
        <v>297</v>
      </c>
      <c r="D171" s="57" t="s">
        <v>435</v>
      </c>
      <c r="E171" s="225"/>
      <c r="F171" s="370" t="s">
        <v>1279</v>
      </c>
      <c r="G171" s="907"/>
      <c r="H171" s="744" t="s">
        <v>1355</v>
      </c>
      <c r="I171" s="907"/>
      <c r="J171" s="744">
        <v>351</v>
      </c>
      <c r="K171" s="907"/>
      <c r="L171" s="799">
        <v>1</v>
      </c>
      <c r="M171" s="907"/>
      <c r="N171" s="744" t="s">
        <v>1214</v>
      </c>
      <c r="O171" s="907"/>
      <c r="P171" s="755" t="s">
        <v>1356</v>
      </c>
      <c r="Q171" s="907"/>
      <c r="R171" s="755" t="s">
        <v>1357</v>
      </c>
      <c r="S171" s="907"/>
      <c r="T171" s="785">
        <v>5</v>
      </c>
      <c r="U171" s="902"/>
      <c r="V171" s="786">
        <f t="shared" si="4"/>
        <v>0.88</v>
      </c>
      <c r="W171" s="902"/>
      <c r="X171" s="459">
        <f t="shared" si="5"/>
        <v>8.5470085470085472E-2</v>
      </c>
      <c r="Y171" s="902"/>
      <c r="Z171" s="787">
        <f t="shared" si="6"/>
        <v>30</v>
      </c>
      <c r="AA171" s="902"/>
      <c r="AB171" s="371" t="s">
        <v>822</v>
      </c>
      <c r="AC171" s="902"/>
      <c r="AD171" s="360" t="s">
        <v>823</v>
      </c>
      <c r="AF171" s="86"/>
      <c r="AG171" s="82"/>
      <c r="AH171" s="86"/>
    </row>
    <row r="172" spans="1:48" s="18" customFormat="1" ht="27.6" x14ac:dyDescent="0.3">
      <c r="A172" s="403"/>
      <c r="B172" s="135" t="s">
        <v>1282</v>
      </c>
      <c r="C172" s="378" t="s">
        <v>297</v>
      </c>
      <c r="D172" s="57" t="s">
        <v>435</v>
      </c>
      <c r="E172" s="225"/>
      <c r="F172" s="370" t="s">
        <v>1281</v>
      </c>
      <c r="G172" s="907"/>
      <c r="H172" s="744" t="s">
        <v>1355</v>
      </c>
      <c r="I172" s="907"/>
      <c r="J172" s="744">
        <v>351</v>
      </c>
      <c r="K172" s="907"/>
      <c r="L172" s="799">
        <v>1</v>
      </c>
      <c r="M172" s="907"/>
      <c r="N172" s="744" t="s">
        <v>1214</v>
      </c>
      <c r="O172" s="907"/>
      <c r="P172" s="755" t="s">
        <v>1356</v>
      </c>
      <c r="Q172" s="907"/>
      <c r="R172" s="755" t="s">
        <v>1357</v>
      </c>
      <c r="S172" s="907"/>
      <c r="T172" s="785">
        <v>5</v>
      </c>
      <c r="U172" s="902"/>
      <c r="V172" s="786">
        <f t="shared" si="4"/>
        <v>0.88</v>
      </c>
      <c r="W172" s="902"/>
      <c r="X172" s="459">
        <f t="shared" si="5"/>
        <v>8.5470085470085472E-2</v>
      </c>
      <c r="Y172" s="902"/>
      <c r="Z172" s="787">
        <f t="shared" si="6"/>
        <v>30</v>
      </c>
      <c r="AA172" s="902"/>
      <c r="AB172" s="371" t="s">
        <v>822</v>
      </c>
      <c r="AC172" s="902"/>
      <c r="AD172" s="360" t="s">
        <v>823</v>
      </c>
      <c r="AF172" s="86"/>
      <c r="AG172" s="82"/>
      <c r="AH172" s="86"/>
    </row>
    <row r="173" spans="1:48" s="18" customFormat="1" ht="27.6" x14ac:dyDescent="0.3">
      <c r="A173" s="403"/>
      <c r="B173" s="135" t="s">
        <v>1284</v>
      </c>
      <c r="C173" s="378" t="s">
        <v>297</v>
      </c>
      <c r="D173" s="57" t="s">
        <v>435</v>
      </c>
      <c r="E173" s="225"/>
      <c r="F173" s="370" t="s">
        <v>1283</v>
      </c>
      <c r="G173" s="907"/>
      <c r="H173" s="744" t="s">
        <v>1355</v>
      </c>
      <c r="I173" s="907"/>
      <c r="J173" s="744">
        <v>1404</v>
      </c>
      <c r="K173" s="907"/>
      <c r="L173" s="799">
        <v>4</v>
      </c>
      <c r="M173" s="907"/>
      <c r="N173" s="744" t="s">
        <v>1214</v>
      </c>
      <c r="O173" s="907"/>
      <c r="P173" s="755" t="s">
        <v>1356</v>
      </c>
      <c r="Q173" s="907"/>
      <c r="R173" s="755" t="s">
        <v>1357</v>
      </c>
      <c r="S173" s="907"/>
      <c r="T173" s="785">
        <v>5</v>
      </c>
      <c r="U173" s="902"/>
      <c r="V173" s="786">
        <f t="shared" si="4"/>
        <v>3.51</v>
      </c>
      <c r="W173" s="902"/>
      <c r="X173" s="459">
        <f t="shared" si="5"/>
        <v>8.5470085470085472E-2</v>
      </c>
      <c r="Y173" s="902"/>
      <c r="Z173" s="787">
        <f t="shared" si="6"/>
        <v>120</v>
      </c>
      <c r="AA173" s="902"/>
      <c r="AB173" s="371" t="s">
        <v>822</v>
      </c>
      <c r="AC173" s="902"/>
      <c r="AD173" s="360" t="s">
        <v>823</v>
      </c>
      <c r="AF173" s="86"/>
      <c r="AG173" s="82"/>
      <c r="AH173" s="86"/>
    </row>
    <row r="174" spans="1:48" s="18" customFormat="1" ht="27.6" x14ac:dyDescent="0.3">
      <c r="A174" s="403"/>
      <c r="B174" s="135" t="s">
        <v>1286</v>
      </c>
      <c r="C174" s="378" t="s">
        <v>297</v>
      </c>
      <c r="D174" s="57" t="s">
        <v>435</v>
      </c>
      <c r="E174" s="225"/>
      <c r="F174" s="370" t="s">
        <v>1285</v>
      </c>
      <c r="G174" s="907"/>
      <c r="H174" s="744" t="s">
        <v>1355</v>
      </c>
      <c r="I174" s="907"/>
      <c r="J174" s="744">
        <v>351</v>
      </c>
      <c r="K174" s="907"/>
      <c r="L174" s="799">
        <v>1</v>
      </c>
      <c r="M174" s="907"/>
      <c r="N174" s="744" t="s">
        <v>1214</v>
      </c>
      <c r="O174" s="907"/>
      <c r="P174" s="755" t="s">
        <v>1356</v>
      </c>
      <c r="Q174" s="907"/>
      <c r="R174" s="755" t="s">
        <v>1357</v>
      </c>
      <c r="S174" s="907"/>
      <c r="T174" s="785">
        <v>5</v>
      </c>
      <c r="U174" s="902"/>
      <c r="V174" s="786">
        <f t="shared" si="4"/>
        <v>0.88</v>
      </c>
      <c r="W174" s="902"/>
      <c r="X174" s="459">
        <f t="shared" si="5"/>
        <v>8.5470085470085472E-2</v>
      </c>
      <c r="Y174" s="902"/>
      <c r="Z174" s="787">
        <f t="shared" si="6"/>
        <v>30</v>
      </c>
      <c r="AA174" s="902"/>
      <c r="AB174" s="371" t="s">
        <v>822</v>
      </c>
      <c r="AC174" s="902"/>
      <c r="AD174" s="360" t="s">
        <v>823</v>
      </c>
      <c r="AF174" s="86"/>
      <c r="AG174" s="82"/>
      <c r="AH174" s="86"/>
    </row>
    <row r="175" spans="1:48" s="18" customFormat="1" ht="27.6" x14ac:dyDescent="0.3">
      <c r="A175" s="403"/>
      <c r="B175" s="135" t="s">
        <v>1288</v>
      </c>
      <c r="C175" s="378" t="s">
        <v>297</v>
      </c>
      <c r="D175" s="57" t="s">
        <v>435</v>
      </c>
      <c r="E175" s="225"/>
      <c r="F175" s="370" t="s">
        <v>1287</v>
      </c>
      <c r="G175" s="907"/>
      <c r="H175" s="744" t="s">
        <v>1355</v>
      </c>
      <c r="I175" s="907"/>
      <c r="J175" s="744">
        <v>1404</v>
      </c>
      <c r="K175" s="907"/>
      <c r="L175" s="799">
        <v>4</v>
      </c>
      <c r="M175" s="907"/>
      <c r="N175" s="744" t="s">
        <v>1214</v>
      </c>
      <c r="O175" s="907"/>
      <c r="P175" s="755" t="s">
        <v>1356</v>
      </c>
      <c r="Q175" s="907"/>
      <c r="R175" s="755" t="s">
        <v>1357</v>
      </c>
      <c r="S175" s="907"/>
      <c r="T175" s="785">
        <v>5</v>
      </c>
      <c r="U175" s="902"/>
      <c r="V175" s="786">
        <f t="shared" si="4"/>
        <v>3.51</v>
      </c>
      <c r="W175" s="902"/>
      <c r="X175" s="459">
        <f t="shared" si="5"/>
        <v>8.5470085470085472E-2</v>
      </c>
      <c r="Y175" s="902"/>
      <c r="Z175" s="787">
        <f t="shared" si="6"/>
        <v>120</v>
      </c>
      <c r="AA175" s="902"/>
      <c r="AB175" s="371" t="s">
        <v>822</v>
      </c>
      <c r="AC175" s="902"/>
      <c r="AD175" s="360" t="s">
        <v>823</v>
      </c>
      <c r="AF175" s="86"/>
      <c r="AG175" s="82"/>
      <c r="AH175" s="86"/>
    </row>
    <row r="176" spans="1:48" s="18" customFormat="1" ht="27.6" x14ac:dyDescent="0.3">
      <c r="A176" s="403"/>
      <c r="B176" s="135" t="s">
        <v>1290</v>
      </c>
      <c r="C176" s="378" t="s">
        <v>297</v>
      </c>
      <c r="D176" s="57" t="s">
        <v>435</v>
      </c>
      <c r="E176" s="225"/>
      <c r="F176" s="370" t="s">
        <v>1289</v>
      </c>
      <c r="G176" s="907"/>
      <c r="H176" s="744" t="s">
        <v>1355</v>
      </c>
      <c r="I176" s="907"/>
      <c r="J176" s="744">
        <v>351</v>
      </c>
      <c r="K176" s="907"/>
      <c r="L176" s="799">
        <v>1</v>
      </c>
      <c r="M176" s="907"/>
      <c r="N176" s="744" t="s">
        <v>1214</v>
      </c>
      <c r="O176" s="907"/>
      <c r="P176" s="755" t="s">
        <v>1356</v>
      </c>
      <c r="Q176" s="907"/>
      <c r="R176" s="755" t="s">
        <v>1357</v>
      </c>
      <c r="S176" s="913" t="s">
        <v>919</v>
      </c>
      <c r="T176" s="785">
        <v>5</v>
      </c>
      <c r="U176" s="902"/>
      <c r="V176" s="786">
        <f t="shared" si="4"/>
        <v>0.88</v>
      </c>
      <c r="W176" s="902"/>
      <c r="X176" s="459">
        <f t="shared" si="5"/>
        <v>8.5470085470085472E-2</v>
      </c>
      <c r="Y176" s="902"/>
      <c r="Z176" s="787">
        <f t="shared" si="6"/>
        <v>30</v>
      </c>
      <c r="AA176" s="902"/>
      <c r="AB176" s="371" t="s">
        <v>822</v>
      </c>
      <c r="AC176" s="902"/>
      <c r="AD176" s="360" t="s">
        <v>823</v>
      </c>
      <c r="AF176" s="86"/>
      <c r="AG176" s="82"/>
      <c r="AH176" s="86"/>
    </row>
    <row r="177" spans="1:34" s="18" customFormat="1" ht="27.6" x14ac:dyDescent="0.3">
      <c r="A177" s="403"/>
      <c r="B177" s="135" t="s">
        <v>1296</v>
      </c>
      <c r="C177" s="378" t="s">
        <v>297</v>
      </c>
      <c r="D177" s="57" t="s">
        <v>435</v>
      </c>
      <c r="E177" s="225"/>
      <c r="F177" s="370" t="s">
        <v>1256</v>
      </c>
      <c r="G177" s="907"/>
      <c r="H177" s="744" t="s">
        <v>1384</v>
      </c>
      <c r="I177" s="907"/>
      <c r="J177" s="744">
        <v>351</v>
      </c>
      <c r="K177" s="907"/>
      <c r="L177" s="799">
        <v>1</v>
      </c>
      <c r="M177" s="907"/>
      <c r="N177" s="744" t="s">
        <v>1214</v>
      </c>
      <c r="O177" s="907"/>
      <c r="P177" s="755" t="s">
        <v>1385</v>
      </c>
      <c r="Q177" s="907"/>
      <c r="R177" s="755" t="s">
        <v>1357</v>
      </c>
      <c r="S177" s="332" t="s">
        <v>919</v>
      </c>
      <c r="T177" s="266" t="s">
        <v>14</v>
      </c>
      <c r="U177" s="902"/>
      <c r="V177" s="786">
        <f>3*L177</f>
        <v>3</v>
      </c>
      <c r="W177" s="902"/>
      <c r="X177" s="459">
        <f>IF(AND(LEFT(B177,9)="GuestRoom",H177="Hotel/Motel Guest Room",J177/L177&lt;500),L177*30/J177,IF(AND(H177="High-Rise Residential Living Spaces",P177="Sum"),((0.06*J177)+(5*V177))/J177))</f>
        <v>0.10273504273504275</v>
      </c>
      <c r="Y177" s="902"/>
      <c r="Z177" s="787">
        <f t="shared" si="6"/>
        <v>36.06</v>
      </c>
      <c r="AA177" s="902"/>
      <c r="AB177" s="371" t="s">
        <v>822</v>
      </c>
      <c r="AC177" s="902"/>
      <c r="AD177" s="360" t="s">
        <v>823</v>
      </c>
      <c r="AF177" s="86"/>
      <c r="AG177" s="82"/>
      <c r="AH177" s="86"/>
    </row>
    <row r="178" spans="1:34" s="18" customFormat="1" ht="27.6" x14ac:dyDescent="0.3">
      <c r="A178" s="403"/>
      <c r="B178" s="135" t="s">
        <v>1297</v>
      </c>
      <c r="C178" s="378" t="s">
        <v>297</v>
      </c>
      <c r="D178" s="57" t="s">
        <v>435</v>
      </c>
      <c r="E178" s="225"/>
      <c r="F178" s="370" t="s">
        <v>1257</v>
      </c>
      <c r="G178" s="907"/>
      <c r="H178" s="744" t="s">
        <v>1384</v>
      </c>
      <c r="I178" s="907"/>
      <c r="J178" s="744">
        <v>1404.1</v>
      </c>
      <c r="K178" s="907"/>
      <c r="L178" s="799">
        <v>4</v>
      </c>
      <c r="M178" s="907"/>
      <c r="N178" s="744" t="s">
        <v>1214</v>
      </c>
      <c r="O178" s="907"/>
      <c r="P178" s="755" t="s">
        <v>1385</v>
      </c>
      <c r="Q178" s="907"/>
      <c r="R178" s="755" t="s">
        <v>1357</v>
      </c>
      <c r="S178" s="332" t="s">
        <v>919</v>
      </c>
      <c r="T178" s="266" t="s">
        <v>14</v>
      </c>
      <c r="U178" s="902"/>
      <c r="V178" s="786">
        <f t="shared" ref="V178:V185" si="7">3*L178</f>
        <v>12</v>
      </c>
      <c r="W178" s="902"/>
      <c r="X178" s="459">
        <f t="shared" ref="X178:X186" si="8">IF(AND(LEFT(B178,9)="GuestRoom",H178="Hotel/Motel Guest Room",J178/L178&lt;500),L178*30/J178,IF(AND(H178="High-Rise Residential Living Spaces",P178="Sum"),((0.06*J178)+(5*V178))/J178))</f>
        <v>0.10273199914536001</v>
      </c>
      <c r="Y178" s="902"/>
      <c r="Z178" s="787">
        <f t="shared" si="6"/>
        <v>144.25</v>
      </c>
      <c r="AA178" s="902"/>
      <c r="AB178" s="371" t="s">
        <v>822</v>
      </c>
      <c r="AC178" s="902"/>
      <c r="AD178" s="360" t="s">
        <v>823</v>
      </c>
      <c r="AF178" s="86"/>
      <c r="AG178" s="82"/>
      <c r="AH178" s="86"/>
    </row>
    <row r="179" spans="1:34" s="18" customFormat="1" ht="27.6" x14ac:dyDescent="0.3">
      <c r="A179" s="403"/>
      <c r="B179" s="135" t="s">
        <v>1298</v>
      </c>
      <c r="C179" s="378" t="s">
        <v>297</v>
      </c>
      <c r="D179" s="57" t="s">
        <v>435</v>
      </c>
      <c r="E179" s="225"/>
      <c r="F179" s="370" t="s">
        <v>1258</v>
      </c>
      <c r="G179" s="907"/>
      <c r="H179" s="744" t="s">
        <v>1384</v>
      </c>
      <c r="I179" s="907"/>
      <c r="J179" s="744">
        <v>1134.0999999999999</v>
      </c>
      <c r="K179" s="907"/>
      <c r="L179" s="799">
        <v>3</v>
      </c>
      <c r="M179" s="907"/>
      <c r="N179" s="744" t="s">
        <v>1214</v>
      </c>
      <c r="O179" s="907"/>
      <c r="P179" s="755" t="s">
        <v>1385</v>
      </c>
      <c r="Q179" s="907"/>
      <c r="R179" s="755" t="s">
        <v>1357</v>
      </c>
      <c r="S179" s="332" t="s">
        <v>919</v>
      </c>
      <c r="T179" s="266" t="s">
        <v>14</v>
      </c>
      <c r="U179" s="902"/>
      <c r="V179" s="786">
        <f t="shared" si="7"/>
        <v>9</v>
      </c>
      <c r="W179" s="902"/>
      <c r="X179" s="459">
        <f t="shared" si="8"/>
        <v>9.9679040648972761E-2</v>
      </c>
      <c r="Y179" s="902"/>
      <c r="Z179" s="787">
        <f t="shared" si="6"/>
        <v>113.05</v>
      </c>
      <c r="AA179" s="902"/>
      <c r="AB179" s="371" t="s">
        <v>822</v>
      </c>
      <c r="AC179" s="902"/>
      <c r="AD179" s="360" t="s">
        <v>823</v>
      </c>
      <c r="AF179" s="86"/>
      <c r="AG179" s="82"/>
      <c r="AH179" s="86"/>
    </row>
    <row r="180" spans="1:34" s="18" customFormat="1" ht="27.6" x14ac:dyDescent="0.3">
      <c r="A180" s="403"/>
      <c r="B180" s="135" t="s">
        <v>1299</v>
      </c>
      <c r="C180" s="378" t="s">
        <v>297</v>
      </c>
      <c r="D180" s="57" t="s">
        <v>435</v>
      </c>
      <c r="E180" s="225"/>
      <c r="F180" s="370" t="s">
        <v>1259</v>
      </c>
      <c r="G180" s="907"/>
      <c r="H180" s="744" t="s">
        <v>1384</v>
      </c>
      <c r="I180" s="907"/>
      <c r="J180" s="744">
        <v>1404.1</v>
      </c>
      <c r="K180" s="907"/>
      <c r="L180" s="799">
        <v>4</v>
      </c>
      <c r="M180" s="907"/>
      <c r="N180" s="744" t="s">
        <v>1214</v>
      </c>
      <c r="O180" s="907"/>
      <c r="P180" s="755" t="s">
        <v>1385</v>
      </c>
      <c r="Q180" s="907"/>
      <c r="R180" s="755" t="s">
        <v>1357</v>
      </c>
      <c r="S180" s="332" t="s">
        <v>919</v>
      </c>
      <c r="T180" s="266" t="s">
        <v>14</v>
      </c>
      <c r="U180" s="902"/>
      <c r="V180" s="786">
        <f t="shared" si="7"/>
        <v>12</v>
      </c>
      <c r="W180" s="902"/>
      <c r="X180" s="459">
        <f t="shared" si="8"/>
        <v>0.10273199914536001</v>
      </c>
      <c r="Y180" s="902"/>
      <c r="Z180" s="787">
        <f t="shared" si="6"/>
        <v>144.25</v>
      </c>
      <c r="AA180" s="902"/>
      <c r="AB180" s="371" t="s">
        <v>822</v>
      </c>
      <c r="AC180" s="902"/>
      <c r="AD180" s="360" t="s">
        <v>823</v>
      </c>
      <c r="AF180" s="86"/>
      <c r="AG180" s="82"/>
      <c r="AH180" s="86"/>
    </row>
    <row r="181" spans="1:34" s="18" customFormat="1" ht="27.6" x14ac:dyDescent="0.3">
      <c r="A181" s="403"/>
      <c r="B181" s="135" t="s">
        <v>1300</v>
      </c>
      <c r="C181" s="378" t="s">
        <v>297</v>
      </c>
      <c r="D181" s="57" t="s">
        <v>435</v>
      </c>
      <c r="E181" s="225"/>
      <c r="F181" s="370" t="s">
        <v>1260</v>
      </c>
      <c r="G181" s="907"/>
      <c r="H181" s="744" t="s">
        <v>1384</v>
      </c>
      <c r="I181" s="907"/>
      <c r="J181" s="744">
        <v>351</v>
      </c>
      <c r="K181" s="907"/>
      <c r="L181" s="799">
        <v>1</v>
      </c>
      <c r="M181" s="907"/>
      <c r="N181" s="744" t="s">
        <v>1214</v>
      </c>
      <c r="O181" s="907"/>
      <c r="P181" s="755" t="s">
        <v>1385</v>
      </c>
      <c r="Q181" s="907"/>
      <c r="R181" s="755" t="s">
        <v>1357</v>
      </c>
      <c r="S181" s="332" t="s">
        <v>919</v>
      </c>
      <c r="T181" s="266" t="s">
        <v>14</v>
      </c>
      <c r="U181" s="902"/>
      <c r="V181" s="786">
        <f t="shared" si="7"/>
        <v>3</v>
      </c>
      <c r="W181" s="902"/>
      <c r="X181" s="459">
        <f t="shared" si="8"/>
        <v>0.10273504273504275</v>
      </c>
      <c r="Y181" s="902"/>
      <c r="Z181" s="787">
        <f t="shared" si="6"/>
        <v>36.06</v>
      </c>
      <c r="AA181" s="902"/>
      <c r="AB181" s="371" t="s">
        <v>822</v>
      </c>
      <c r="AC181" s="902"/>
      <c r="AD181" s="360" t="s">
        <v>823</v>
      </c>
      <c r="AF181" s="86"/>
      <c r="AG181" s="82"/>
      <c r="AH181" s="86"/>
    </row>
    <row r="182" spans="1:34" s="18" customFormat="1" ht="27.6" x14ac:dyDescent="0.3">
      <c r="A182" s="403"/>
      <c r="B182" s="135" t="s">
        <v>1301</v>
      </c>
      <c r="C182" s="378" t="s">
        <v>297</v>
      </c>
      <c r="D182" s="57" t="s">
        <v>435</v>
      </c>
      <c r="E182" s="225"/>
      <c r="F182" s="370" t="s">
        <v>1261</v>
      </c>
      <c r="G182" s="907"/>
      <c r="H182" s="744" t="s">
        <v>1384</v>
      </c>
      <c r="I182" s="907"/>
      <c r="J182" s="744">
        <v>351</v>
      </c>
      <c r="K182" s="907"/>
      <c r="L182" s="799">
        <v>1</v>
      </c>
      <c r="M182" s="907"/>
      <c r="N182" s="744" t="s">
        <v>1214</v>
      </c>
      <c r="O182" s="907"/>
      <c r="P182" s="755" t="s">
        <v>1385</v>
      </c>
      <c r="Q182" s="907"/>
      <c r="R182" s="755" t="s">
        <v>1357</v>
      </c>
      <c r="S182" s="332" t="s">
        <v>919</v>
      </c>
      <c r="T182" s="266" t="s">
        <v>14</v>
      </c>
      <c r="U182" s="902"/>
      <c r="V182" s="786">
        <f t="shared" si="7"/>
        <v>3</v>
      </c>
      <c r="W182" s="902"/>
      <c r="X182" s="459">
        <f t="shared" si="8"/>
        <v>0.10273504273504275</v>
      </c>
      <c r="Y182" s="902"/>
      <c r="Z182" s="787">
        <f t="shared" si="6"/>
        <v>36.06</v>
      </c>
      <c r="AA182" s="902"/>
      <c r="AB182" s="371" t="s">
        <v>822</v>
      </c>
      <c r="AC182" s="902"/>
      <c r="AD182" s="360" t="s">
        <v>823</v>
      </c>
      <c r="AF182" s="86"/>
      <c r="AG182" s="82"/>
      <c r="AH182" s="86"/>
    </row>
    <row r="183" spans="1:34" s="18" customFormat="1" ht="27.6" x14ac:dyDescent="0.3">
      <c r="A183" s="403"/>
      <c r="B183" s="135" t="s">
        <v>1302</v>
      </c>
      <c r="C183" s="378" t="s">
        <v>297</v>
      </c>
      <c r="D183" s="57" t="s">
        <v>435</v>
      </c>
      <c r="E183" s="225"/>
      <c r="F183" s="370" t="s">
        <v>1262</v>
      </c>
      <c r="G183" s="907"/>
      <c r="H183" s="744" t="s">
        <v>1384</v>
      </c>
      <c r="I183" s="907"/>
      <c r="J183" s="744">
        <v>1404</v>
      </c>
      <c r="K183" s="907"/>
      <c r="L183" s="799">
        <v>4</v>
      </c>
      <c r="M183" s="907"/>
      <c r="N183" s="744" t="s">
        <v>1214</v>
      </c>
      <c r="O183" s="907"/>
      <c r="P183" s="755" t="s">
        <v>1385</v>
      </c>
      <c r="Q183" s="907"/>
      <c r="R183" s="755" t="s">
        <v>1357</v>
      </c>
      <c r="S183" s="332" t="s">
        <v>919</v>
      </c>
      <c r="T183" s="266" t="s">
        <v>14</v>
      </c>
      <c r="U183" s="902"/>
      <c r="V183" s="786">
        <f t="shared" si="7"/>
        <v>12</v>
      </c>
      <c r="W183" s="902"/>
      <c r="X183" s="459">
        <f t="shared" si="8"/>
        <v>0.10273504273504275</v>
      </c>
      <c r="Y183" s="902"/>
      <c r="Z183" s="787">
        <f t="shared" si="6"/>
        <v>144.24</v>
      </c>
      <c r="AA183" s="902"/>
      <c r="AB183" s="371" t="s">
        <v>822</v>
      </c>
      <c r="AC183" s="902"/>
      <c r="AD183" s="360" t="s">
        <v>823</v>
      </c>
      <c r="AF183" s="86"/>
      <c r="AG183" s="82"/>
      <c r="AH183" s="86"/>
    </row>
    <row r="184" spans="1:34" s="18" customFormat="1" ht="27.6" x14ac:dyDescent="0.3">
      <c r="A184" s="403"/>
      <c r="B184" s="135" t="s">
        <v>1303</v>
      </c>
      <c r="C184" s="378" t="s">
        <v>297</v>
      </c>
      <c r="D184" s="57" t="s">
        <v>435</v>
      </c>
      <c r="E184" s="225"/>
      <c r="F184" s="370" t="s">
        <v>1263</v>
      </c>
      <c r="G184" s="907"/>
      <c r="H184" s="744" t="s">
        <v>1384</v>
      </c>
      <c r="I184" s="907"/>
      <c r="J184" s="744">
        <v>351</v>
      </c>
      <c r="K184" s="907"/>
      <c r="L184" s="799">
        <v>1</v>
      </c>
      <c r="M184" s="907"/>
      <c r="N184" s="744" t="s">
        <v>1214</v>
      </c>
      <c r="O184" s="907"/>
      <c r="P184" s="755" t="s">
        <v>1385</v>
      </c>
      <c r="Q184" s="907"/>
      <c r="R184" s="755" t="s">
        <v>1357</v>
      </c>
      <c r="S184" s="332" t="s">
        <v>919</v>
      </c>
      <c r="T184" s="266" t="s">
        <v>14</v>
      </c>
      <c r="U184" s="902"/>
      <c r="V184" s="786">
        <f t="shared" si="7"/>
        <v>3</v>
      </c>
      <c r="W184" s="902"/>
      <c r="X184" s="459">
        <f t="shared" si="8"/>
        <v>0.10273504273504275</v>
      </c>
      <c r="Y184" s="902"/>
      <c r="Z184" s="787">
        <f t="shared" si="6"/>
        <v>36.06</v>
      </c>
      <c r="AA184" s="902"/>
      <c r="AB184" s="371" t="s">
        <v>822</v>
      </c>
      <c r="AC184" s="902"/>
      <c r="AD184" s="360" t="s">
        <v>823</v>
      </c>
      <c r="AF184" s="86"/>
      <c r="AG184" s="82"/>
      <c r="AH184" s="86"/>
    </row>
    <row r="185" spans="1:34" s="18" customFormat="1" ht="27.6" x14ac:dyDescent="0.3">
      <c r="A185" s="403"/>
      <c r="B185" s="135" t="s">
        <v>1304</v>
      </c>
      <c r="C185" s="378" t="s">
        <v>297</v>
      </c>
      <c r="D185" s="57" t="s">
        <v>435</v>
      </c>
      <c r="E185" s="225"/>
      <c r="F185" s="370" t="s">
        <v>1264</v>
      </c>
      <c r="G185" s="907"/>
      <c r="H185" s="744" t="s">
        <v>1384</v>
      </c>
      <c r="I185" s="907"/>
      <c r="J185" s="744">
        <v>1404</v>
      </c>
      <c r="K185" s="907"/>
      <c r="L185" s="799">
        <v>4</v>
      </c>
      <c r="M185" s="907"/>
      <c r="N185" s="744" t="s">
        <v>1214</v>
      </c>
      <c r="O185" s="907"/>
      <c r="P185" s="755" t="s">
        <v>1385</v>
      </c>
      <c r="Q185" s="907"/>
      <c r="R185" s="755" t="s">
        <v>1357</v>
      </c>
      <c r="S185" s="332" t="s">
        <v>919</v>
      </c>
      <c r="T185" s="266" t="s">
        <v>14</v>
      </c>
      <c r="U185" s="902"/>
      <c r="V185" s="786">
        <f t="shared" si="7"/>
        <v>12</v>
      </c>
      <c r="W185" s="902"/>
      <c r="X185" s="459">
        <f t="shared" si="8"/>
        <v>0.10273504273504275</v>
      </c>
      <c r="Y185" s="902"/>
      <c r="Z185" s="787">
        <f t="shared" si="6"/>
        <v>144.24</v>
      </c>
      <c r="AA185" s="902"/>
      <c r="AB185" s="371" t="s">
        <v>822</v>
      </c>
      <c r="AC185" s="902"/>
      <c r="AD185" s="360" t="s">
        <v>823</v>
      </c>
      <c r="AF185" s="86"/>
      <c r="AG185" s="82"/>
      <c r="AH185" s="86"/>
    </row>
    <row r="186" spans="1:34" s="18" customFormat="1" ht="27.6" x14ac:dyDescent="0.3">
      <c r="A186" s="403"/>
      <c r="B186" s="316" t="s">
        <v>1305</v>
      </c>
      <c r="C186" s="158" t="s">
        <v>297</v>
      </c>
      <c r="D186" s="476" t="s">
        <v>435</v>
      </c>
      <c r="E186" s="226"/>
      <c r="F186" s="229" t="s">
        <v>1265</v>
      </c>
      <c r="G186" s="910"/>
      <c r="H186" s="748" t="s">
        <v>1384</v>
      </c>
      <c r="I186" s="910"/>
      <c r="J186" s="748">
        <v>351</v>
      </c>
      <c r="K186" s="910"/>
      <c r="L186" s="800">
        <v>1</v>
      </c>
      <c r="M186" s="910"/>
      <c r="N186" s="748" t="s">
        <v>1214</v>
      </c>
      <c r="O186" s="910"/>
      <c r="P186" s="757" t="s">
        <v>1385</v>
      </c>
      <c r="Q186" s="910"/>
      <c r="R186" s="757" t="s">
        <v>1357</v>
      </c>
      <c r="S186" s="333" t="s">
        <v>919</v>
      </c>
      <c r="T186" s="273" t="s">
        <v>14</v>
      </c>
      <c r="U186" s="895"/>
      <c r="V186" s="914">
        <f>3*L186</f>
        <v>3</v>
      </c>
      <c r="W186" s="895"/>
      <c r="X186" s="788">
        <f t="shared" si="8"/>
        <v>0.10273504273504275</v>
      </c>
      <c r="Y186" s="895"/>
      <c r="Z186" s="915">
        <f t="shared" si="6"/>
        <v>36.06</v>
      </c>
      <c r="AA186" s="895"/>
      <c r="AB186" s="160" t="s">
        <v>822</v>
      </c>
      <c r="AC186" s="895"/>
      <c r="AD186" s="654" t="s">
        <v>823</v>
      </c>
      <c r="AF186" s="86"/>
      <c r="AG186" s="82"/>
      <c r="AH186" s="86"/>
    </row>
    <row r="187" spans="1:34" s="18" customFormat="1" ht="13.8" x14ac:dyDescent="0.3">
      <c r="A187" s="403"/>
      <c r="B187" s="378"/>
      <c r="C187" s="378"/>
      <c r="D187" s="378"/>
      <c r="E187" s="378"/>
      <c r="F187" s="378"/>
      <c r="G187" s="378"/>
      <c r="H187" s="378"/>
      <c r="I187" s="378"/>
      <c r="J187" s="378"/>
      <c r="K187" s="378"/>
      <c r="L187" s="378"/>
      <c r="M187" s="378"/>
      <c r="N187" s="378"/>
      <c r="O187" s="378"/>
      <c r="P187" s="378"/>
      <c r="Q187" s="378"/>
      <c r="R187" s="378"/>
      <c r="S187" s="378"/>
      <c r="T187" s="378"/>
      <c r="U187" s="378"/>
      <c r="V187" s="378"/>
      <c r="W187" s="378"/>
      <c r="X187" s="378"/>
      <c r="Y187" s="378"/>
      <c r="Z187" s="378"/>
      <c r="AA187" s="378"/>
      <c r="AB187" s="378"/>
      <c r="AC187" s="378"/>
      <c r="AD187" s="378"/>
      <c r="AE187" s="378"/>
      <c r="AF187" s="378"/>
    </row>
    <row r="188" spans="1:34" x14ac:dyDescent="0.3">
      <c r="A188" s="397"/>
      <c r="B188" s="397"/>
      <c r="C188" s="397"/>
      <c r="D188" s="397"/>
      <c r="E188" s="397"/>
      <c r="F188" s="397"/>
      <c r="G188" s="397"/>
      <c r="H188" s="397"/>
      <c r="I188" s="362"/>
      <c r="J188" s="397"/>
      <c r="K188" s="397"/>
      <c r="L188" s="397"/>
      <c r="M188" s="362"/>
      <c r="N188" s="397"/>
      <c r="O188" s="121"/>
      <c r="P188" s="111"/>
      <c r="Q188" s="82"/>
      <c r="R188" s="82"/>
      <c r="S188" s="82"/>
      <c r="T188" s="82"/>
      <c r="U188" s="363"/>
      <c r="V188" s="363"/>
      <c r="W188" s="363"/>
      <c r="X188" s="363"/>
    </row>
    <row r="189" spans="1:34" x14ac:dyDescent="0.3">
      <c r="A189" s="26"/>
      <c r="B189" s="28" t="s">
        <v>487</v>
      </c>
      <c r="C189" s="397"/>
      <c r="D189" s="397"/>
      <c r="E189" s="362"/>
      <c r="F189" s="397"/>
      <c r="G189" s="362"/>
      <c r="H189" s="397"/>
      <c r="I189" s="362"/>
      <c r="J189" s="397"/>
      <c r="K189" s="362"/>
      <c r="L189" s="397"/>
      <c r="M189" s="362"/>
      <c r="N189" s="397"/>
      <c r="O189" s="121"/>
      <c r="P189" s="111"/>
      <c r="Q189" s="82"/>
      <c r="R189" s="82"/>
      <c r="S189" s="82"/>
      <c r="T189" s="82"/>
      <c r="U189" s="363"/>
      <c r="V189" s="363"/>
      <c r="W189" s="363"/>
      <c r="X189" s="363"/>
    </row>
    <row r="190" spans="1:34" ht="27.6" x14ac:dyDescent="0.3">
      <c r="A190" s="397"/>
      <c r="B190" s="108" t="s">
        <v>488</v>
      </c>
      <c r="C190" s="112"/>
      <c r="D190" s="113" t="s">
        <v>433</v>
      </c>
      <c r="E190" s="231"/>
      <c r="F190" s="109" t="s">
        <v>836</v>
      </c>
      <c r="G190" s="210"/>
      <c r="H190" s="116" t="s">
        <v>489</v>
      </c>
      <c r="I190" s="231"/>
      <c r="J190" s="109" t="s">
        <v>490</v>
      </c>
      <c r="K190" s="455"/>
      <c r="L190" s="456" t="s">
        <v>491</v>
      </c>
      <c r="M190" s="231"/>
      <c r="N190" s="109" t="s">
        <v>739</v>
      </c>
      <c r="O190" s="121"/>
      <c r="P190" s="111"/>
      <c r="Q190" s="82"/>
      <c r="R190" s="82"/>
      <c r="S190" s="82"/>
      <c r="T190" s="82"/>
      <c r="U190" s="363"/>
      <c r="V190" s="363"/>
      <c r="W190" s="363"/>
      <c r="X190" s="363"/>
    </row>
    <row r="191" spans="1:34" ht="15" thickBot="1" x14ac:dyDescent="0.35">
      <c r="A191" s="397"/>
      <c r="B191" s="212"/>
      <c r="C191" s="118"/>
      <c r="D191" s="172"/>
      <c r="E191" s="375"/>
      <c r="F191" s="355" t="s">
        <v>1057</v>
      </c>
      <c r="G191" s="376"/>
      <c r="H191" s="354" t="s">
        <v>1058</v>
      </c>
      <c r="I191" s="230"/>
      <c r="J191" s="355" t="s">
        <v>1059</v>
      </c>
      <c r="K191" s="211"/>
      <c r="L191" s="354" t="s">
        <v>611</v>
      </c>
      <c r="M191" s="230"/>
      <c r="N191" s="355" t="s">
        <v>1060</v>
      </c>
      <c r="O191" s="121"/>
      <c r="P191" s="111"/>
      <c r="Q191" s="82"/>
      <c r="R191" s="82"/>
      <c r="S191" s="82"/>
      <c r="T191" s="82"/>
      <c r="U191" s="363"/>
      <c r="V191" s="363"/>
      <c r="W191" s="363"/>
      <c r="X191" s="363"/>
    </row>
    <row r="192" spans="1:34" s="362" customFormat="1" thickTop="1" x14ac:dyDescent="0.3">
      <c r="B192" s="356">
        <v>2</v>
      </c>
      <c r="C192" s="392"/>
      <c r="D192" s="158" t="s">
        <v>435</v>
      </c>
      <c r="E192" s="906" t="s">
        <v>919</v>
      </c>
      <c r="F192" s="195">
        <v>363000</v>
      </c>
      <c r="G192" s="916"/>
      <c r="H192" s="150">
        <v>0.8</v>
      </c>
      <c r="I192" s="892"/>
      <c r="J192" s="155" t="s">
        <v>475</v>
      </c>
      <c r="K192" s="917"/>
      <c r="L192" s="160" t="s">
        <v>493</v>
      </c>
      <c r="M192" s="892"/>
      <c r="N192" s="155">
        <v>0.25</v>
      </c>
      <c r="O192" s="121"/>
      <c r="P192" s="121"/>
      <c r="Q192" s="82"/>
      <c r="R192" s="82"/>
      <c r="S192" s="82"/>
      <c r="T192" s="82"/>
      <c r="U192" s="364"/>
      <c r="V192" s="364"/>
      <c r="W192" s="364"/>
      <c r="X192" s="364"/>
    </row>
    <row r="193" spans="1:26" s="86" customFormat="1" x14ac:dyDescent="0.3">
      <c r="A193" s="82"/>
      <c r="B193" s="85"/>
      <c r="C193" s="83"/>
      <c r="E193" s="362"/>
      <c r="G193" s="25"/>
      <c r="I193" s="87"/>
      <c r="K193" s="87"/>
      <c r="M193" s="87"/>
      <c r="O193" s="87"/>
      <c r="Q193" s="82"/>
      <c r="R193" s="82"/>
      <c r="S193" s="82"/>
      <c r="T193" s="82"/>
      <c r="U193" s="363"/>
      <c r="V193" s="363"/>
      <c r="W193" s="363"/>
      <c r="X193" s="363"/>
    </row>
    <row r="194" spans="1:26" s="86" customFormat="1" x14ac:dyDescent="0.3">
      <c r="A194" s="26"/>
      <c r="B194" s="28" t="s">
        <v>729</v>
      </c>
      <c r="C194" s="83"/>
      <c r="E194" s="362"/>
      <c r="G194" s="25"/>
      <c r="I194" s="87"/>
      <c r="K194" s="87"/>
      <c r="M194" s="87"/>
      <c r="O194" s="87"/>
      <c r="Q194" s="82"/>
      <c r="R194" s="82"/>
      <c r="S194" s="82"/>
      <c r="T194" s="82"/>
      <c r="U194" s="363"/>
      <c r="V194" s="363"/>
      <c r="W194" s="363"/>
      <c r="X194" s="363"/>
    </row>
    <row r="195" spans="1:26" s="36" customFormat="1" ht="27.6" x14ac:dyDescent="0.3">
      <c r="A195" s="82"/>
      <c r="B195" s="125" t="s">
        <v>730</v>
      </c>
      <c r="C195" s="113" t="s">
        <v>742</v>
      </c>
      <c r="D195" s="113" t="s">
        <v>433</v>
      </c>
      <c r="E195" s="125"/>
      <c r="F195" s="142" t="s">
        <v>736</v>
      </c>
      <c r="G195" s="125"/>
      <c r="H195" s="142" t="s">
        <v>1389</v>
      </c>
      <c r="I195" s="113"/>
      <c r="J195" s="113" t="s">
        <v>1397</v>
      </c>
      <c r="K195" s="207"/>
      <c r="L195" s="113" t="s">
        <v>1291</v>
      </c>
      <c r="M195" s="207"/>
      <c r="N195" s="142" t="s">
        <v>771</v>
      </c>
      <c r="O195" s="113"/>
      <c r="P195" s="113" t="s">
        <v>734</v>
      </c>
      <c r="Q195" s="125"/>
      <c r="R195" s="142" t="s">
        <v>738</v>
      </c>
      <c r="S195" s="82"/>
      <c r="T195" s="82"/>
      <c r="U195" s="82"/>
      <c r="V195" s="82"/>
      <c r="W195" s="363"/>
      <c r="X195" s="363"/>
      <c r="Y195" s="363"/>
      <c r="Z195" s="363"/>
    </row>
    <row r="196" spans="1:26" s="448" customFormat="1" ht="15" thickBot="1" x14ac:dyDescent="0.35">
      <c r="A196" s="82"/>
      <c r="B196" s="178"/>
      <c r="C196" s="171"/>
      <c r="D196" s="172"/>
      <c r="E196" s="173"/>
      <c r="F196" s="174" t="s">
        <v>1074</v>
      </c>
      <c r="G196" s="173"/>
      <c r="H196" s="174" t="s">
        <v>1390</v>
      </c>
      <c r="I196" s="171"/>
      <c r="J196" s="174" t="s">
        <v>1071</v>
      </c>
      <c r="K196" s="173"/>
      <c r="L196" s="174" t="s">
        <v>1072</v>
      </c>
      <c r="M196" s="173"/>
      <c r="N196" s="174" t="s">
        <v>1073</v>
      </c>
      <c r="O196" s="171"/>
      <c r="P196" s="171" t="s">
        <v>1076</v>
      </c>
      <c r="Q196" s="173"/>
      <c r="R196" s="174" t="s">
        <v>1075</v>
      </c>
      <c r="S196" s="82"/>
      <c r="T196" s="82"/>
      <c r="U196" s="82"/>
      <c r="V196" s="82"/>
      <c r="W196" s="363"/>
      <c r="X196" s="363"/>
      <c r="Y196" s="363"/>
      <c r="Z196" s="363"/>
    </row>
    <row r="197" spans="1:26" s="378" customFormat="1" thickTop="1" x14ac:dyDescent="0.3">
      <c r="B197" s="316" t="s">
        <v>731</v>
      </c>
      <c r="C197" s="158" t="s">
        <v>743</v>
      </c>
      <c r="D197" s="158" t="s">
        <v>435</v>
      </c>
      <c r="E197" s="895"/>
      <c r="F197" s="158" t="s">
        <v>824</v>
      </c>
      <c r="G197" s="895"/>
      <c r="H197" s="158" t="s">
        <v>1376</v>
      </c>
      <c r="I197" s="895"/>
      <c r="J197" s="158" t="s">
        <v>737</v>
      </c>
      <c r="K197" s="918" t="s">
        <v>919</v>
      </c>
      <c r="L197" s="789">
        <v>348000</v>
      </c>
      <c r="M197" s="895"/>
      <c r="N197" s="663" t="str">
        <f>ROUND(12/0.78/3.412,2)&amp;" (0.78 kW/ton) "&amp;ROUND(12/0.78,1)&amp;" EER"</f>
        <v>4.51 (0.78 kW/ton) 15.4 EER</v>
      </c>
      <c r="O197" s="895"/>
      <c r="P197" s="158">
        <v>0.5</v>
      </c>
      <c r="Q197" s="895"/>
      <c r="R197" s="252">
        <v>0.15</v>
      </c>
      <c r="S197" s="82"/>
      <c r="T197" s="82"/>
      <c r="U197" s="82"/>
      <c r="V197" s="82"/>
      <c r="W197" s="364"/>
      <c r="X197" s="364"/>
      <c r="Y197" s="364"/>
      <c r="Z197" s="364"/>
    </row>
    <row r="198" spans="1:26" s="86" customFormat="1" x14ac:dyDescent="0.3">
      <c r="A198" s="82"/>
      <c r="B198" s="85"/>
      <c r="C198" s="83"/>
      <c r="E198" s="362"/>
      <c r="G198" s="25"/>
      <c r="I198" s="87"/>
      <c r="K198" s="87"/>
      <c r="M198" s="87"/>
      <c r="O198" s="87"/>
      <c r="Q198" s="82"/>
      <c r="R198" s="82"/>
      <c r="S198" s="82"/>
      <c r="T198" s="82"/>
      <c r="U198" s="363"/>
      <c r="V198" s="363"/>
      <c r="W198" s="363"/>
      <c r="X198" s="363"/>
    </row>
    <row r="199" spans="1:26" s="86" customFormat="1" ht="13.8" x14ac:dyDescent="0.3">
      <c r="A199" s="82"/>
      <c r="B199" s="85"/>
      <c r="C199" s="83"/>
      <c r="E199" s="362"/>
      <c r="G199" s="25"/>
      <c r="I199" s="87"/>
      <c r="K199" s="87"/>
      <c r="M199" s="87"/>
      <c r="O199" s="87"/>
      <c r="Q199" s="87"/>
      <c r="S199" s="87"/>
      <c r="U199" s="87"/>
      <c r="W199" s="87"/>
    </row>
    <row r="200" spans="1:26" s="36" customFormat="1" ht="41.4" x14ac:dyDescent="0.3">
      <c r="A200" s="82"/>
      <c r="B200" s="125" t="s">
        <v>730</v>
      </c>
      <c r="C200" s="113" t="s">
        <v>742</v>
      </c>
      <c r="D200" s="113" t="s">
        <v>433</v>
      </c>
      <c r="E200" s="125"/>
      <c r="F200" s="142" t="s">
        <v>735</v>
      </c>
      <c r="G200" s="207"/>
      <c r="H200" s="142" t="s">
        <v>779</v>
      </c>
      <c r="I200" s="113"/>
      <c r="J200" s="113" t="s">
        <v>781</v>
      </c>
      <c r="K200" s="113"/>
      <c r="L200" s="168" t="s">
        <v>740</v>
      </c>
      <c r="M200" s="457"/>
      <c r="N200" s="110" t="s">
        <v>741</v>
      </c>
      <c r="Q200" s="87"/>
      <c r="R200" s="86"/>
      <c r="S200" s="87"/>
      <c r="T200" s="86"/>
      <c r="U200" s="87"/>
      <c r="V200" s="86"/>
    </row>
    <row r="201" spans="1:26" s="448" customFormat="1" thickBot="1" x14ac:dyDescent="0.35">
      <c r="A201" s="82"/>
      <c r="B201" s="178"/>
      <c r="C201" s="171"/>
      <c r="D201" s="172"/>
      <c r="E201" s="173"/>
      <c r="F201" s="174" t="s">
        <v>783</v>
      </c>
      <c r="G201" s="173"/>
      <c r="H201" s="174" t="s">
        <v>767</v>
      </c>
      <c r="I201" s="171"/>
      <c r="J201" s="171" t="s">
        <v>766</v>
      </c>
      <c r="K201" s="171"/>
      <c r="L201" s="171" t="s">
        <v>935</v>
      </c>
      <c r="M201" s="173"/>
      <c r="N201" s="174" t="s">
        <v>934</v>
      </c>
      <c r="Q201" s="87"/>
      <c r="R201" s="86"/>
      <c r="S201" s="87"/>
      <c r="T201" s="86"/>
      <c r="U201" s="87"/>
      <c r="V201" s="86"/>
    </row>
    <row r="202" spans="1:26" s="378" customFormat="1" ht="28.2" thickTop="1" x14ac:dyDescent="0.3">
      <c r="B202" s="316" t="s">
        <v>731</v>
      </c>
      <c r="C202" s="158" t="s">
        <v>743</v>
      </c>
      <c r="D202" s="158" t="s">
        <v>435</v>
      </c>
      <c r="E202" s="895"/>
      <c r="F202" s="160" t="s">
        <v>825</v>
      </c>
      <c r="G202" s="895"/>
      <c r="H202" s="160" t="s">
        <v>826</v>
      </c>
      <c r="I202" s="895"/>
      <c r="J202" s="160" t="s">
        <v>827</v>
      </c>
      <c r="K202" s="895"/>
      <c r="L202" s="158" t="s">
        <v>770</v>
      </c>
      <c r="M202" s="895"/>
      <c r="N202" s="199" t="s">
        <v>769</v>
      </c>
      <c r="Q202" s="87"/>
      <c r="R202" s="86"/>
      <c r="S202" s="87"/>
      <c r="T202" s="86"/>
      <c r="U202" s="87"/>
      <c r="V202" s="86"/>
    </row>
    <row r="203" spans="1:26" s="378" customFormat="1" ht="13.8" x14ac:dyDescent="0.3">
      <c r="Q203" s="87"/>
      <c r="R203" s="86"/>
      <c r="S203" s="87"/>
      <c r="T203" s="86"/>
      <c r="U203" s="87"/>
      <c r="V203" s="86"/>
    </row>
    <row r="204" spans="1:26" s="86" customFormat="1" ht="13.8" x14ac:dyDescent="0.3">
      <c r="A204" s="82"/>
      <c r="B204" s="85"/>
      <c r="C204" s="83"/>
      <c r="E204" s="362"/>
      <c r="G204" s="25"/>
      <c r="I204" s="87"/>
      <c r="K204" s="87"/>
      <c r="M204" s="87"/>
      <c r="O204" s="87"/>
      <c r="Q204" s="87"/>
      <c r="S204" s="87"/>
      <c r="U204" s="87"/>
      <c r="W204" s="87"/>
    </row>
    <row r="205" spans="1:26" s="86" customFormat="1" ht="13.8" x14ac:dyDescent="0.3">
      <c r="A205" s="82"/>
      <c r="B205" s="125" t="s">
        <v>1391</v>
      </c>
      <c r="C205" s="125"/>
      <c r="D205" s="125" t="s">
        <v>433</v>
      </c>
      <c r="E205" s="125"/>
      <c r="F205" s="142" t="s">
        <v>137</v>
      </c>
      <c r="G205" s="207"/>
      <c r="H205" s="142" t="s">
        <v>295</v>
      </c>
      <c r="I205" s="87"/>
      <c r="K205" s="87"/>
      <c r="M205" s="87"/>
      <c r="O205" s="87"/>
      <c r="Q205" s="87"/>
      <c r="S205" s="87"/>
      <c r="U205" s="87"/>
      <c r="W205" s="87"/>
    </row>
    <row r="206" spans="1:26" s="86" customFormat="1" thickBot="1" x14ac:dyDescent="0.35">
      <c r="A206" s="82"/>
      <c r="B206" s="173" t="s">
        <v>1392</v>
      </c>
      <c r="C206" s="178"/>
      <c r="D206" s="178"/>
      <c r="E206" s="173"/>
      <c r="F206" s="174" t="s">
        <v>1392</v>
      </c>
      <c r="G206" s="173"/>
      <c r="H206" s="174" t="s">
        <v>1393</v>
      </c>
      <c r="I206" s="87"/>
      <c r="K206" s="87"/>
      <c r="M206" s="87"/>
      <c r="O206" s="87"/>
      <c r="Q206" s="87"/>
      <c r="S206" s="87"/>
      <c r="U206" s="87"/>
      <c r="W206" s="87"/>
    </row>
    <row r="207" spans="1:26" s="86" customFormat="1" thickTop="1" x14ac:dyDescent="0.3">
      <c r="A207" s="82"/>
      <c r="B207" s="316" t="s">
        <v>1394</v>
      </c>
      <c r="C207" s="160"/>
      <c r="D207" s="158" t="s">
        <v>435</v>
      </c>
      <c r="E207" s="895"/>
      <c r="F207" s="160" t="s">
        <v>1395</v>
      </c>
      <c r="G207" s="919"/>
      <c r="H207" s="199" t="s">
        <v>480</v>
      </c>
      <c r="I207" s="87"/>
      <c r="K207" s="87"/>
      <c r="M207" s="87"/>
      <c r="O207" s="87"/>
      <c r="Q207" s="87"/>
      <c r="S207" s="87"/>
      <c r="U207" s="87"/>
      <c r="W207" s="87"/>
    </row>
    <row r="208" spans="1:26" s="86" customFormat="1" ht="13.8" x14ac:dyDescent="0.3">
      <c r="A208" s="82"/>
      <c r="B208" s="85"/>
      <c r="C208" s="83"/>
      <c r="E208" s="362"/>
      <c r="G208" s="25"/>
      <c r="I208" s="87"/>
      <c r="K208" s="87"/>
      <c r="M208" s="87"/>
      <c r="O208" s="87"/>
      <c r="Q208" s="87"/>
      <c r="S208" s="87"/>
      <c r="U208" s="87"/>
      <c r="W208" s="87"/>
    </row>
    <row r="209" spans="1:28" s="86" customFormat="1" ht="13.8" x14ac:dyDescent="0.3">
      <c r="A209" s="82"/>
      <c r="B209" s="85"/>
      <c r="C209" s="83"/>
      <c r="E209" s="362"/>
      <c r="G209" s="25"/>
      <c r="I209" s="87"/>
      <c r="K209" s="87"/>
      <c r="M209" s="87"/>
      <c r="O209" s="87"/>
      <c r="Q209" s="87"/>
      <c r="S209" s="87"/>
      <c r="U209" s="87"/>
      <c r="W209" s="87"/>
    </row>
    <row r="210" spans="1:28" s="36" customFormat="1" ht="27.6" x14ac:dyDescent="0.3">
      <c r="A210" s="82"/>
      <c r="B210" s="125" t="s">
        <v>750</v>
      </c>
      <c r="C210" s="113" t="s">
        <v>751</v>
      </c>
      <c r="D210" s="113" t="s">
        <v>433</v>
      </c>
      <c r="E210" s="125"/>
      <c r="F210" s="142" t="s">
        <v>760</v>
      </c>
      <c r="G210" s="113"/>
      <c r="H210" s="113" t="s">
        <v>761</v>
      </c>
      <c r="I210" s="207"/>
      <c r="J210" s="113" t="s">
        <v>1109</v>
      </c>
      <c r="K210" s="207"/>
      <c r="L210" s="113" t="s">
        <v>764</v>
      </c>
      <c r="M210" s="207"/>
      <c r="N210" s="142" t="s">
        <v>772</v>
      </c>
      <c r="O210" s="113"/>
      <c r="P210" s="113" t="s">
        <v>773</v>
      </c>
      <c r="Q210" s="125"/>
      <c r="R210" s="142" t="s">
        <v>492</v>
      </c>
      <c r="S210" s="113"/>
      <c r="T210" s="142" t="s">
        <v>1051</v>
      </c>
      <c r="U210" s="87"/>
      <c r="V210" s="86"/>
      <c r="W210" s="87"/>
      <c r="X210" s="86"/>
      <c r="Y210" s="87"/>
      <c r="Z210" s="86"/>
    </row>
    <row r="211" spans="1:28" s="448" customFormat="1" thickBot="1" x14ac:dyDescent="0.35">
      <c r="A211" s="82"/>
      <c r="B211" s="178"/>
      <c r="C211" s="171"/>
      <c r="D211" s="172"/>
      <c r="E211" s="173"/>
      <c r="F211" s="355" t="s">
        <v>1061</v>
      </c>
      <c r="G211" s="171"/>
      <c r="H211" s="174" t="s">
        <v>1066</v>
      </c>
      <c r="I211" s="173"/>
      <c r="J211" s="174" t="s">
        <v>1110</v>
      </c>
      <c r="K211" s="173"/>
      <c r="L211" s="355" t="s">
        <v>1062</v>
      </c>
      <c r="M211" s="173"/>
      <c r="N211" s="355" t="s">
        <v>1063</v>
      </c>
      <c r="O211" s="171"/>
      <c r="P211" s="355" t="s">
        <v>1064</v>
      </c>
      <c r="Q211" s="173"/>
      <c r="R211" s="355" t="s">
        <v>1065</v>
      </c>
      <c r="S211" s="171"/>
      <c r="T211" s="174" t="s">
        <v>774</v>
      </c>
      <c r="U211" s="87"/>
      <c r="V211" s="86"/>
      <c r="W211" s="87"/>
      <c r="X211" s="86"/>
      <c r="Y211" s="87"/>
      <c r="Z211" s="86"/>
    </row>
    <row r="212" spans="1:28" s="364" customFormat="1" ht="12.75" customHeight="1" thickTop="1" x14ac:dyDescent="0.3">
      <c r="A212" s="378"/>
      <c r="B212" s="135" t="s">
        <v>752</v>
      </c>
      <c r="C212" s="371" t="s">
        <v>758</v>
      </c>
      <c r="D212" s="378" t="s">
        <v>435</v>
      </c>
      <c r="E212" s="899"/>
      <c r="F212" s="371" t="s">
        <v>494</v>
      </c>
      <c r="G212" s="899"/>
      <c r="H212" s="378" t="s">
        <v>762</v>
      </c>
      <c r="I212" s="901" t="s">
        <v>919</v>
      </c>
      <c r="J212" s="585">
        <f>ROUND(F192/500.19/40,2)</f>
        <v>18.14</v>
      </c>
      <c r="K212" s="899"/>
      <c r="L212" s="665" t="str">
        <f>ROUND(19*J212/1000,2)&amp;" (19 W/gpm)"</f>
        <v>0.34 (19 W/gpm)</v>
      </c>
      <c r="M212" s="899"/>
      <c r="N212" s="305">
        <v>0.5</v>
      </c>
      <c r="O212" s="920" t="s">
        <v>919</v>
      </c>
      <c r="P212" s="760">
        <f>ROUND(19/745.6*3960*R212*0.7,1)</f>
        <v>60.4</v>
      </c>
      <c r="Q212" s="899"/>
      <c r="R212" s="367">
        <v>0.85499999999999998</v>
      </c>
      <c r="S212" s="409" t="s">
        <v>14</v>
      </c>
      <c r="T212" s="410" t="s">
        <v>14</v>
      </c>
      <c r="U212" s="87"/>
      <c r="V212" s="86"/>
      <c r="W212" s="87"/>
      <c r="X212" s="86"/>
      <c r="Y212" s="87"/>
      <c r="Z212" s="86"/>
    </row>
    <row r="213" spans="1:28" s="364" customFormat="1" ht="12.75" customHeight="1" x14ac:dyDescent="0.3">
      <c r="A213" s="378"/>
      <c r="B213" s="135" t="s">
        <v>753</v>
      </c>
      <c r="C213" s="371" t="s">
        <v>759</v>
      </c>
      <c r="D213" s="378" t="s">
        <v>435</v>
      </c>
      <c r="E213" s="899"/>
      <c r="F213" s="371" t="s">
        <v>494</v>
      </c>
      <c r="G213" s="899"/>
      <c r="H213" s="378" t="s">
        <v>762</v>
      </c>
      <c r="I213" s="903" t="s">
        <v>919</v>
      </c>
      <c r="J213" s="762">
        <f>ROUND(F192/500.19/40,2)</f>
        <v>18.14</v>
      </c>
      <c r="K213" s="899"/>
      <c r="L213" s="665" t="str">
        <f>ROUND(19*J213/1000,2)&amp;" (19 W/gpm)"</f>
        <v>0.34 (19 W/gpm)</v>
      </c>
      <c r="M213" s="899"/>
      <c r="N213" s="305">
        <v>0.5</v>
      </c>
      <c r="O213" s="921" t="s">
        <v>919</v>
      </c>
      <c r="P213" s="760">
        <f>ROUND(19/745.6*3960*R213*0.7,1)</f>
        <v>60.4</v>
      </c>
      <c r="Q213" s="899"/>
      <c r="R213" s="367">
        <v>0.85499999999999998</v>
      </c>
      <c r="S213" s="409" t="s">
        <v>14</v>
      </c>
      <c r="T213" s="410" t="s">
        <v>14</v>
      </c>
      <c r="U213" s="87"/>
      <c r="V213" s="86"/>
      <c r="W213" s="87"/>
      <c r="X213" s="86"/>
      <c r="Y213" s="87"/>
      <c r="Z213" s="86"/>
    </row>
    <row r="214" spans="1:28" s="370" customFormat="1" ht="12.75" customHeight="1" x14ac:dyDescent="0.3">
      <c r="A214" s="378"/>
      <c r="B214" s="122" t="s">
        <v>754</v>
      </c>
      <c r="C214" s="378" t="s">
        <v>744</v>
      </c>
      <c r="D214" s="378" t="s">
        <v>435</v>
      </c>
      <c r="E214" s="897"/>
      <c r="F214" s="370" t="s">
        <v>494</v>
      </c>
      <c r="G214" s="897"/>
      <c r="H214" s="368" t="s">
        <v>762</v>
      </c>
      <c r="I214" s="903" t="s">
        <v>919</v>
      </c>
      <c r="J214" s="443">
        <f>ROUNDDOWN(J220/500.19/10,2)</f>
        <v>85</v>
      </c>
      <c r="K214" s="897"/>
      <c r="L214" s="586" t="str">
        <f>ROUNDUP(J214*P214/3960/(0.7*R214)*745.6/1000,2)&amp;" ("&amp;ROUND(VALUE(P214/3960/(0.7*R214)*745.6),1)&amp;" W/gpm)"</f>
        <v>1.19 (14 W/gpm)</v>
      </c>
      <c r="M214" s="897"/>
      <c r="N214" s="304">
        <v>1.5</v>
      </c>
      <c r="O214" s="897"/>
      <c r="P214" s="304">
        <v>45</v>
      </c>
      <c r="Q214" s="897"/>
      <c r="R214" s="366">
        <v>0.86499999999999999</v>
      </c>
      <c r="S214" s="409" t="s">
        <v>14</v>
      </c>
      <c r="T214" s="410" t="s">
        <v>14</v>
      </c>
      <c r="U214" s="87"/>
      <c r="V214" s="86"/>
      <c r="W214" s="87"/>
      <c r="X214" s="86"/>
      <c r="Y214" s="87"/>
      <c r="Z214" s="86"/>
    </row>
    <row r="215" spans="1:28" s="370" customFormat="1" ht="13.8" x14ac:dyDescent="0.3">
      <c r="A215" s="378"/>
      <c r="B215" s="284" t="s">
        <v>756</v>
      </c>
      <c r="C215" s="158" t="s">
        <v>731</v>
      </c>
      <c r="D215" s="158" t="s">
        <v>435</v>
      </c>
      <c r="E215" s="895"/>
      <c r="F215" s="229" t="s">
        <v>494</v>
      </c>
      <c r="G215" s="895"/>
      <c r="H215" s="229" t="s">
        <v>763</v>
      </c>
      <c r="I215" s="906" t="s">
        <v>919</v>
      </c>
      <c r="J215" s="723">
        <f>ROUND(L197/500.19/20,2)</f>
        <v>34.79</v>
      </c>
      <c r="K215" s="895"/>
      <c r="L215" s="593" t="str">
        <f>ROUND(J215*P215/3960/(0.7*R215)*745.6/1000,2)&amp;" ("&amp;ROUND((P215/3960/(0.7*R215)*745.6),1)&amp;" W/gpm)"</f>
        <v>0.45 (12.9 W/gpm)</v>
      </c>
      <c r="M215" s="895"/>
      <c r="N215" s="801">
        <v>0.75</v>
      </c>
      <c r="O215" s="895"/>
      <c r="P215" s="591">
        <f>40+((0.03*L197)/12000)</f>
        <v>40.869999999999997</v>
      </c>
      <c r="Q215" s="895"/>
      <c r="R215" s="402">
        <v>0.85499999999999998</v>
      </c>
      <c r="S215" s="895"/>
      <c r="T215" s="193" t="s">
        <v>929</v>
      </c>
      <c r="U215" s="368"/>
      <c r="W215" s="368"/>
      <c r="Y215" s="368"/>
    </row>
    <row r="216" spans="1:28" s="86" customFormat="1" ht="13.8" x14ac:dyDescent="0.3">
      <c r="A216" s="82"/>
      <c r="B216" s="85"/>
      <c r="C216" s="83"/>
      <c r="E216" s="362"/>
      <c r="G216" s="25"/>
      <c r="I216" s="87"/>
      <c r="J216" s="676"/>
      <c r="K216" s="87"/>
      <c r="M216" s="87"/>
      <c r="O216" s="87"/>
      <c r="Q216" s="87"/>
      <c r="S216" s="87"/>
      <c r="U216" s="87"/>
      <c r="W216" s="87"/>
    </row>
    <row r="217" spans="1:28" s="86" customFormat="1" ht="13.8" x14ac:dyDescent="0.3">
      <c r="A217" s="82"/>
      <c r="B217" s="85"/>
      <c r="C217" s="83"/>
      <c r="E217" s="362"/>
      <c r="G217" s="25"/>
      <c r="I217" s="87"/>
      <c r="J217" s="676"/>
      <c r="K217" s="87"/>
      <c r="M217" s="87"/>
      <c r="O217" s="87"/>
      <c r="Q217" s="87"/>
      <c r="S217" s="87"/>
      <c r="U217" s="87"/>
      <c r="W217" s="87"/>
    </row>
    <row r="218" spans="1:28" s="36" customFormat="1" ht="27.6" x14ac:dyDescent="0.3">
      <c r="A218" s="82"/>
      <c r="B218" s="125" t="s">
        <v>747</v>
      </c>
      <c r="C218" s="113" t="s">
        <v>742</v>
      </c>
      <c r="D218" s="113" t="s">
        <v>433</v>
      </c>
      <c r="E218" s="125"/>
      <c r="F218" s="142" t="s">
        <v>748</v>
      </c>
      <c r="G218" s="113"/>
      <c r="H218" s="113" t="s">
        <v>765</v>
      </c>
      <c r="I218" s="125"/>
      <c r="J218" s="142" t="s">
        <v>1111</v>
      </c>
      <c r="K218" s="207"/>
      <c r="L218" s="116" t="s">
        <v>777</v>
      </c>
      <c r="M218" s="207"/>
      <c r="N218" s="142" t="s">
        <v>776</v>
      </c>
      <c r="O218" s="113"/>
      <c r="P218" s="142" t="s">
        <v>1052</v>
      </c>
      <c r="Q218" s="87"/>
      <c r="R218" s="86"/>
      <c r="S218" s="87"/>
      <c r="T218" s="86"/>
      <c r="U218" s="87"/>
      <c r="V218" s="86"/>
      <c r="W218" s="87"/>
      <c r="X218" s="86"/>
      <c r="Y218" s="87"/>
      <c r="Z218" s="86"/>
    </row>
    <row r="219" spans="1:28" s="448" customFormat="1" thickBot="1" x14ac:dyDescent="0.35">
      <c r="A219" s="82"/>
      <c r="B219" s="178"/>
      <c r="C219" s="171"/>
      <c r="D219" s="172"/>
      <c r="E219" s="173"/>
      <c r="F219" s="355" t="s">
        <v>1067</v>
      </c>
      <c r="G219" s="171"/>
      <c r="H219" s="354" t="s">
        <v>1112</v>
      </c>
      <c r="I219" s="173"/>
      <c r="J219" s="355" t="s">
        <v>1068</v>
      </c>
      <c r="K219" s="173"/>
      <c r="L219" s="355" t="s">
        <v>1069</v>
      </c>
      <c r="M219" s="173"/>
      <c r="N219" s="355" t="s">
        <v>1070</v>
      </c>
      <c r="O219" s="171"/>
      <c r="P219" s="174" t="s">
        <v>774</v>
      </c>
      <c r="Q219" s="87"/>
      <c r="R219" s="86"/>
      <c r="S219" s="87"/>
      <c r="T219" s="86"/>
      <c r="U219" s="87"/>
      <c r="V219" s="86"/>
      <c r="W219" s="87"/>
      <c r="X219" s="86"/>
      <c r="Y219" s="87"/>
      <c r="Z219" s="86"/>
      <c r="AA219" s="36"/>
      <c r="AB219" s="36"/>
    </row>
    <row r="220" spans="1:28" s="370" customFormat="1" thickTop="1" x14ac:dyDescent="0.3">
      <c r="A220" s="378"/>
      <c r="B220" s="284" t="s">
        <v>744</v>
      </c>
      <c r="C220" s="158" t="s">
        <v>745</v>
      </c>
      <c r="D220" s="158" t="s">
        <v>435</v>
      </c>
      <c r="E220" s="895"/>
      <c r="F220" s="229" t="s">
        <v>749</v>
      </c>
      <c r="G220" s="895"/>
      <c r="H220" s="452" t="s">
        <v>482</v>
      </c>
      <c r="I220" s="906" t="s">
        <v>919</v>
      </c>
      <c r="J220" s="789">
        <v>425184</v>
      </c>
      <c r="K220" s="895"/>
      <c r="L220" s="790">
        <f>ROUNDDOWN(J220/500.19/10,2)</f>
        <v>85</v>
      </c>
      <c r="M220" s="895"/>
      <c r="N220" s="454" t="str">
        <f>ROUNDUP(L220/60,2)&amp;" (60 gpm/HP)"</f>
        <v>1.42 (60 gpm/HP)</v>
      </c>
      <c r="O220" s="895"/>
      <c r="P220" s="193" t="s">
        <v>778</v>
      </c>
      <c r="Q220" s="368"/>
      <c r="S220" s="368"/>
      <c r="U220" s="368"/>
      <c r="W220" s="368"/>
      <c r="Y220" s="368"/>
    </row>
    <row r="221" spans="1:28" s="86" customFormat="1" ht="13.8" x14ac:dyDescent="0.3">
      <c r="A221" s="82"/>
      <c r="B221" s="85"/>
      <c r="C221" s="83"/>
      <c r="E221" s="362"/>
      <c r="G221" s="25"/>
      <c r="I221" s="87"/>
      <c r="K221" s="87"/>
      <c r="M221" s="87"/>
      <c r="O221" s="87"/>
      <c r="Q221" s="87"/>
      <c r="S221" s="87"/>
      <c r="U221" s="368"/>
      <c r="V221" s="370"/>
      <c r="W221" s="368"/>
      <c r="X221" s="370"/>
    </row>
    <row r="222" spans="1:28" s="86" customFormat="1" ht="13.8" x14ac:dyDescent="0.3">
      <c r="A222" s="82"/>
      <c r="B222" s="85"/>
      <c r="C222" s="83"/>
      <c r="E222" s="362"/>
      <c r="G222" s="25"/>
      <c r="I222" s="87"/>
      <c r="K222" s="87"/>
      <c r="M222" s="87"/>
      <c r="O222" s="87"/>
      <c r="Q222" s="87"/>
      <c r="S222" s="87"/>
      <c r="U222" s="368"/>
      <c r="V222" s="370"/>
      <c r="W222" s="368"/>
      <c r="X222" s="370"/>
    </row>
    <row r="223" spans="1:28" s="86" customFormat="1" ht="13.8" x14ac:dyDescent="0.3">
      <c r="A223" s="291"/>
      <c r="B223" s="291" t="s">
        <v>48</v>
      </c>
      <c r="C223" s="292"/>
      <c r="D223" s="290"/>
      <c r="E223" s="292"/>
      <c r="F223" s="290"/>
      <c r="G223" s="293"/>
      <c r="H223" s="290"/>
      <c r="I223" s="292"/>
      <c r="J223" s="290"/>
      <c r="K223" s="292"/>
      <c r="L223" s="290"/>
      <c r="M223" s="290"/>
      <c r="N223" s="290"/>
      <c r="O223" s="292"/>
      <c r="P223" s="290"/>
      <c r="Q223" s="292"/>
      <c r="R223" s="292"/>
      <c r="S223" s="292"/>
      <c r="T223" s="292"/>
      <c r="U223" s="292"/>
      <c r="V223" s="292"/>
      <c r="W223" s="368"/>
      <c r="X223" s="370"/>
    </row>
    <row r="224" spans="1:28" x14ac:dyDescent="0.3">
      <c r="A224" s="24"/>
      <c r="B224" s="24" t="s">
        <v>517</v>
      </c>
      <c r="U224" s="368"/>
      <c r="V224" s="370"/>
      <c r="W224" s="368"/>
      <c r="X224" s="370"/>
    </row>
    <row r="225" spans="1:28" ht="41.4" x14ac:dyDescent="0.3">
      <c r="A225" s="82"/>
      <c r="B225" s="108" t="s">
        <v>500</v>
      </c>
      <c r="C225" s="116" t="s">
        <v>501</v>
      </c>
      <c r="D225" s="112" t="s">
        <v>433</v>
      </c>
      <c r="E225" s="125"/>
      <c r="F225" s="142" t="s">
        <v>437</v>
      </c>
      <c r="G225" s="113"/>
      <c r="H225" s="168" t="s">
        <v>137</v>
      </c>
      <c r="I225" s="125"/>
      <c r="J225" s="110" t="s">
        <v>186</v>
      </c>
      <c r="K225" s="125"/>
      <c r="L225" s="142" t="s">
        <v>510</v>
      </c>
      <c r="M225" s="113"/>
      <c r="N225" s="113" t="s">
        <v>509</v>
      </c>
      <c r="O225" s="207"/>
      <c r="P225" s="142" t="s">
        <v>508</v>
      </c>
      <c r="Q225" s="125"/>
      <c r="R225" s="142" t="s">
        <v>486</v>
      </c>
      <c r="S225" s="125"/>
      <c r="T225" s="142" t="s">
        <v>534</v>
      </c>
      <c r="U225" s="368"/>
      <c r="V225" s="370"/>
      <c r="W225" s="368"/>
      <c r="X225" s="370"/>
    </row>
    <row r="226" spans="1:28" ht="15" thickBot="1" x14ac:dyDescent="0.35">
      <c r="A226" s="82"/>
      <c r="B226" s="173" t="s">
        <v>259</v>
      </c>
      <c r="C226" s="171" t="s">
        <v>258</v>
      </c>
      <c r="D226" s="376"/>
      <c r="E226" s="178"/>
      <c r="F226" s="174"/>
      <c r="G226" s="172"/>
      <c r="H226" s="174" t="s">
        <v>260</v>
      </c>
      <c r="I226" s="178"/>
      <c r="J226" s="174" t="s">
        <v>261</v>
      </c>
      <c r="K226" s="208"/>
      <c r="L226" s="174" t="s">
        <v>646</v>
      </c>
      <c r="M226" s="205"/>
      <c r="N226" s="171" t="s">
        <v>647</v>
      </c>
      <c r="O226" s="208"/>
      <c r="P226" s="174" t="s">
        <v>1387</v>
      </c>
      <c r="Q226" s="230"/>
      <c r="R226" s="174" t="s">
        <v>1127</v>
      </c>
      <c r="S226" s="230"/>
      <c r="T226" s="174" t="s">
        <v>1128</v>
      </c>
      <c r="U226" s="368"/>
      <c r="V226" s="370"/>
      <c r="W226" s="368"/>
      <c r="X226" s="370"/>
    </row>
    <row r="227" spans="1:28" s="364" customFormat="1" thickTop="1" x14ac:dyDescent="0.3">
      <c r="A227" s="378"/>
      <c r="B227" s="438" t="s">
        <v>797</v>
      </c>
      <c r="C227" s="378" t="s">
        <v>554</v>
      </c>
      <c r="D227" s="378" t="s">
        <v>435</v>
      </c>
      <c r="E227" s="131"/>
      <c r="F227" s="371" t="s">
        <v>797</v>
      </c>
      <c r="G227" s="899"/>
      <c r="H227" s="378" t="s">
        <v>449</v>
      </c>
      <c r="I227" s="899"/>
      <c r="J227" s="378" t="s">
        <v>187</v>
      </c>
      <c r="K227" s="899"/>
      <c r="L227" s="378">
        <v>55</v>
      </c>
      <c r="M227" s="899"/>
      <c r="N227" s="378">
        <v>60</v>
      </c>
      <c r="O227" s="899"/>
      <c r="P227" s="263" t="s">
        <v>930</v>
      </c>
      <c r="Q227" s="899"/>
      <c r="R227" s="206">
        <v>60</v>
      </c>
      <c r="S227" s="899"/>
      <c r="T227" s="206">
        <v>55</v>
      </c>
      <c r="U227" s="368"/>
      <c r="V227" s="370"/>
      <c r="W227" s="368"/>
      <c r="X227" s="370"/>
    </row>
    <row r="228" spans="1:28" s="364" customFormat="1" ht="13.8" x14ac:dyDescent="0.3">
      <c r="A228" s="378"/>
      <c r="B228" s="122" t="s">
        <v>798</v>
      </c>
      <c r="C228" s="378" t="s">
        <v>565</v>
      </c>
      <c r="D228" s="378" t="s">
        <v>435</v>
      </c>
      <c r="E228" s="131"/>
      <c r="F228" s="371" t="s">
        <v>798</v>
      </c>
      <c r="G228" s="899"/>
      <c r="H228" s="378" t="s">
        <v>449</v>
      </c>
      <c r="I228" s="902"/>
      <c r="J228" s="378" t="s">
        <v>187</v>
      </c>
      <c r="K228" s="902"/>
      <c r="L228" s="378">
        <v>55</v>
      </c>
      <c r="M228" s="902"/>
      <c r="N228" s="378">
        <v>60</v>
      </c>
      <c r="O228" s="902"/>
      <c r="P228" s="197" t="s">
        <v>930</v>
      </c>
      <c r="Q228" s="899"/>
      <c r="R228" s="206">
        <v>60</v>
      </c>
      <c r="S228" s="899"/>
      <c r="T228" s="206">
        <v>55</v>
      </c>
      <c r="U228" s="368"/>
      <c r="V228" s="370"/>
      <c r="W228" s="368"/>
      <c r="X228" s="370"/>
    </row>
    <row r="229" spans="1:28" s="364" customFormat="1" ht="13.8" x14ac:dyDescent="0.3">
      <c r="A229" s="378"/>
      <c r="B229" s="122" t="s">
        <v>799</v>
      </c>
      <c r="C229" s="378" t="s">
        <v>566</v>
      </c>
      <c r="D229" s="378" t="s">
        <v>435</v>
      </c>
      <c r="E229" s="131"/>
      <c r="F229" s="371" t="s">
        <v>799</v>
      </c>
      <c r="G229" s="899"/>
      <c r="H229" s="378" t="s">
        <v>449</v>
      </c>
      <c r="I229" s="902"/>
      <c r="J229" s="378" t="s">
        <v>187</v>
      </c>
      <c r="K229" s="902"/>
      <c r="L229" s="378">
        <v>55</v>
      </c>
      <c r="M229" s="902"/>
      <c r="N229" s="378">
        <v>60</v>
      </c>
      <c r="O229" s="902"/>
      <c r="P229" s="197" t="s">
        <v>930</v>
      </c>
      <c r="Q229" s="899"/>
      <c r="R229" s="206">
        <v>60</v>
      </c>
      <c r="S229" s="899"/>
      <c r="T229" s="206">
        <v>55</v>
      </c>
      <c r="U229" s="368"/>
      <c r="V229" s="370"/>
      <c r="W229" s="368"/>
      <c r="X229" s="370"/>
    </row>
    <row r="230" spans="1:28" s="364" customFormat="1" ht="13.8" x14ac:dyDescent="0.3">
      <c r="A230" s="378"/>
      <c r="B230" s="122" t="s">
        <v>800</v>
      </c>
      <c r="C230" s="378" t="s">
        <v>795</v>
      </c>
      <c r="D230" s="378" t="s">
        <v>435</v>
      </c>
      <c r="E230" s="131"/>
      <c r="F230" s="371" t="s">
        <v>800</v>
      </c>
      <c r="G230" s="899"/>
      <c r="H230" s="378" t="s">
        <v>449</v>
      </c>
      <c r="I230" s="902"/>
      <c r="J230" s="378" t="s">
        <v>187</v>
      </c>
      <c r="K230" s="902"/>
      <c r="L230" s="378">
        <v>55</v>
      </c>
      <c r="M230" s="902"/>
      <c r="N230" s="378">
        <v>60</v>
      </c>
      <c r="O230" s="902"/>
      <c r="P230" s="197" t="s">
        <v>930</v>
      </c>
      <c r="Q230" s="899"/>
      <c r="R230" s="206">
        <v>60</v>
      </c>
      <c r="S230" s="899"/>
      <c r="T230" s="206">
        <v>55</v>
      </c>
      <c r="U230" s="368"/>
      <c r="V230" s="370"/>
      <c r="W230" s="368"/>
      <c r="X230" s="370"/>
    </row>
    <row r="231" spans="1:28" s="362" customFormat="1" ht="13.8" x14ac:dyDescent="0.3">
      <c r="A231" s="82"/>
      <c r="B231" s="175" t="s">
        <v>801</v>
      </c>
      <c r="C231" s="150" t="s">
        <v>828</v>
      </c>
      <c r="D231" s="199" t="s">
        <v>435</v>
      </c>
      <c r="E231" s="179"/>
      <c r="F231" s="439" t="s">
        <v>801</v>
      </c>
      <c r="G231" s="891"/>
      <c r="H231" s="150" t="s">
        <v>167</v>
      </c>
      <c r="I231" s="891"/>
      <c r="J231" s="155" t="s">
        <v>802</v>
      </c>
      <c r="K231" s="891"/>
      <c r="L231" s="209">
        <v>55</v>
      </c>
      <c r="M231" s="891"/>
      <c r="N231" s="151">
        <v>95</v>
      </c>
      <c r="O231" s="891"/>
      <c r="P231" s="209" t="s">
        <v>300</v>
      </c>
      <c r="Q231" s="411" t="s">
        <v>14</v>
      </c>
      <c r="R231" s="412" t="s">
        <v>14</v>
      </c>
      <c r="S231" s="411" t="s">
        <v>14</v>
      </c>
      <c r="T231" s="412" t="s">
        <v>14</v>
      </c>
      <c r="U231" s="368"/>
      <c r="V231" s="370"/>
      <c r="W231" s="368"/>
      <c r="X231" s="370"/>
    </row>
    <row r="232" spans="1:28" x14ac:dyDescent="0.3">
      <c r="A232" s="82"/>
      <c r="B232" s="77"/>
      <c r="C232" s="75"/>
      <c r="D232" s="29"/>
      <c r="E232" s="369"/>
      <c r="F232" s="369"/>
      <c r="G232" s="369"/>
      <c r="H232" s="369"/>
      <c r="J232" s="369"/>
      <c r="K232" s="84"/>
      <c r="L232" s="82"/>
      <c r="N232" s="369"/>
      <c r="P232" s="369"/>
      <c r="R232" s="369"/>
      <c r="T232" s="369"/>
      <c r="U232" s="368"/>
      <c r="V232" s="370"/>
      <c r="W232" s="368"/>
      <c r="X232" s="370"/>
    </row>
    <row r="233" spans="1:28" x14ac:dyDescent="0.3">
      <c r="A233" s="82"/>
      <c r="B233" s="77"/>
      <c r="C233" s="75"/>
      <c r="D233" s="29"/>
      <c r="E233" s="369"/>
      <c r="F233" s="369"/>
      <c r="G233" s="369"/>
      <c r="H233" s="369"/>
      <c r="J233" s="369"/>
      <c r="K233" s="84"/>
      <c r="L233" s="82"/>
      <c r="N233" s="369"/>
      <c r="P233" s="369"/>
      <c r="R233" s="369"/>
      <c r="T233" s="369"/>
      <c r="U233" s="368"/>
      <c r="V233" s="370"/>
      <c r="W233" s="368"/>
      <c r="X233" s="370"/>
    </row>
    <row r="234" spans="1:28" ht="41.4" x14ac:dyDescent="0.3">
      <c r="A234" s="82"/>
      <c r="B234" s="108" t="s">
        <v>500</v>
      </c>
      <c r="C234" s="116" t="s">
        <v>804</v>
      </c>
      <c r="D234" s="112" t="s">
        <v>433</v>
      </c>
      <c r="E234" s="177"/>
      <c r="F234" s="113" t="s">
        <v>437</v>
      </c>
      <c r="G234" s="177"/>
      <c r="H234" s="116" t="s">
        <v>137</v>
      </c>
      <c r="I234" s="177"/>
      <c r="J234" s="109" t="s">
        <v>186</v>
      </c>
      <c r="K234" s="125"/>
      <c r="L234" s="142" t="s">
        <v>510</v>
      </c>
      <c r="M234" s="113"/>
      <c r="N234" s="113" t="s">
        <v>509</v>
      </c>
      <c r="O234" s="207"/>
      <c r="P234" s="142" t="s">
        <v>508</v>
      </c>
      <c r="Q234" s="125"/>
      <c r="R234" s="142" t="s">
        <v>486</v>
      </c>
      <c r="S234" s="125"/>
      <c r="T234" s="142" t="s">
        <v>534</v>
      </c>
    </row>
    <row r="235" spans="1:28" ht="15" thickBot="1" x14ac:dyDescent="0.35">
      <c r="A235" s="82"/>
      <c r="B235" s="173" t="s">
        <v>912</v>
      </c>
      <c r="C235" s="171"/>
      <c r="D235" s="376"/>
      <c r="E235" s="178"/>
      <c r="F235" s="376"/>
      <c r="G235" s="375"/>
      <c r="H235" s="171" t="s">
        <v>260</v>
      </c>
      <c r="I235" s="178"/>
      <c r="J235" s="174" t="s">
        <v>261</v>
      </c>
      <c r="K235" s="208"/>
      <c r="L235" s="174" t="s">
        <v>646</v>
      </c>
      <c r="M235" s="205"/>
      <c r="N235" s="171" t="s">
        <v>647</v>
      </c>
      <c r="O235" s="208"/>
      <c r="P235" s="174" t="s">
        <v>1388</v>
      </c>
      <c r="Q235" s="230"/>
      <c r="R235" s="174" t="s">
        <v>1127</v>
      </c>
      <c r="S235" s="230"/>
      <c r="T235" s="174" t="s">
        <v>1128</v>
      </c>
    </row>
    <row r="236" spans="1:28" s="362" customFormat="1" thickTop="1" x14ac:dyDescent="0.3">
      <c r="A236" s="82"/>
      <c r="B236" s="487" t="s">
        <v>803</v>
      </c>
      <c r="C236" s="400" t="s">
        <v>809</v>
      </c>
      <c r="D236" s="400" t="s">
        <v>435</v>
      </c>
      <c r="E236" s="488"/>
      <c r="F236" s="493" t="s">
        <v>803</v>
      </c>
      <c r="G236" s="916"/>
      <c r="H236" s="400" t="s">
        <v>805</v>
      </c>
      <c r="I236" s="916"/>
      <c r="J236" s="400" t="s">
        <v>806</v>
      </c>
      <c r="K236" s="916"/>
      <c r="L236" s="400">
        <v>58</v>
      </c>
      <c r="M236" s="916"/>
      <c r="N236" s="400">
        <v>95</v>
      </c>
      <c r="O236" s="916"/>
      <c r="P236" s="458" t="s">
        <v>300</v>
      </c>
      <c r="Q236" s="494" t="s">
        <v>14</v>
      </c>
      <c r="R236" s="478" t="s">
        <v>14</v>
      </c>
      <c r="S236" s="494" t="s">
        <v>14</v>
      </c>
      <c r="T236" s="478" t="s">
        <v>14</v>
      </c>
      <c r="U236" s="369"/>
      <c r="V236" s="85"/>
      <c r="W236" s="369"/>
      <c r="X236" s="85"/>
    </row>
    <row r="237" spans="1:28" x14ac:dyDescent="0.3">
      <c r="A237" s="82"/>
      <c r="B237" s="77"/>
      <c r="C237" s="75"/>
      <c r="D237" s="29"/>
      <c r="E237" s="369"/>
      <c r="F237" s="369"/>
      <c r="G237" s="369"/>
      <c r="H237" s="369"/>
      <c r="J237" s="369"/>
      <c r="K237" s="84"/>
      <c r="L237" s="82"/>
      <c r="N237" s="369"/>
      <c r="P237" s="369"/>
      <c r="R237" s="369"/>
      <c r="T237" s="369"/>
      <c r="V237" s="369"/>
      <c r="X237" s="369"/>
      <c r="Y237" s="369"/>
      <c r="Z237" s="369"/>
      <c r="AA237" s="369"/>
      <c r="AB237" s="369"/>
    </row>
    <row r="238" spans="1:28" x14ac:dyDescent="0.3">
      <c r="A238" s="82"/>
      <c r="B238" s="77"/>
      <c r="C238" s="75"/>
      <c r="D238" s="29"/>
      <c r="E238" s="369"/>
      <c r="F238" s="369"/>
      <c r="G238" s="369"/>
      <c r="H238" s="369"/>
      <c r="J238" s="369"/>
      <c r="K238" s="84"/>
      <c r="L238" s="82"/>
      <c r="N238" s="369"/>
      <c r="P238" s="369"/>
      <c r="R238" s="369"/>
      <c r="T238" s="369"/>
      <c r="V238" s="369"/>
      <c r="X238" s="369"/>
      <c r="Y238" s="369"/>
      <c r="Z238" s="369"/>
      <c r="AA238" s="369"/>
      <c r="AB238" s="369"/>
    </row>
    <row r="239" spans="1:28" ht="41.4" x14ac:dyDescent="0.3">
      <c r="A239" s="82"/>
      <c r="B239" s="108" t="s">
        <v>501</v>
      </c>
      <c r="C239" s="116" t="s">
        <v>502</v>
      </c>
      <c r="D239" s="112" t="s">
        <v>433</v>
      </c>
      <c r="E239" s="177"/>
      <c r="F239" s="110" t="s">
        <v>137</v>
      </c>
      <c r="G239" s="170"/>
      <c r="H239" s="168" t="s">
        <v>503</v>
      </c>
      <c r="I239" s="189"/>
      <c r="J239" s="110" t="s">
        <v>204</v>
      </c>
      <c r="K239" s="182"/>
      <c r="L239" s="110" t="s">
        <v>1053</v>
      </c>
      <c r="M239" s="442"/>
      <c r="N239" s="110" t="s">
        <v>1054</v>
      </c>
      <c r="O239" s="441"/>
      <c r="P239" s="110" t="s">
        <v>1055</v>
      </c>
      <c r="R239" s="369"/>
      <c r="T239" s="369"/>
      <c r="V239" s="369"/>
      <c r="X239" s="369"/>
      <c r="Y239" s="369"/>
      <c r="Z239" s="369"/>
      <c r="AA239" s="369"/>
      <c r="AB239" s="369"/>
    </row>
    <row r="240" spans="1:28" ht="15" thickBot="1" x14ac:dyDescent="0.35">
      <c r="A240" s="82"/>
      <c r="B240" s="173" t="s">
        <v>280</v>
      </c>
      <c r="C240" s="171" t="s">
        <v>262</v>
      </c>
      <c r="D240" s="376"/>
      <c r="E240" s="178"/>
      <c r="F240" s="174" t="s">
        <v>264</v>
      </c>
      <c r="G240" s="172"/>
      <c r="H240" s="171" t="s">
        <v>933</v>
      </c>
      <c r="I240" s="178"/>
      <c r="J240" s="174" t="s">
        <v>263</v>
      </c>
      <c r="K240" s="184"/>
      <c r="L240" s="171" t="s">
        <v>629</v>
      </c>
      <c r="M240" s="173"/>
      <c r="N240" s="174" t="s">
        <v>630</v>
      </c>
      <c r="O240" s="171"/>
      <c r="P240" s="174" t="s">
        <v>631</v>
      </c>
      <c r="R240" s="369"/>
      <c r="T240" s="369"/>
      <c r="V240" s="369"/>
      <c r="X240" s="369"/>
      <c r="Y240" s="369"/>
      <c r="Z240" s="369"/>
      <c r="AA240" s="369"/>
      <c r="AB240" s="369"/>
    </row>
    <row r="241" spans="1:28" s="364" customFormat="1" thickTop="1" x14ac:dyDescent="0.3">
      <c r="A241" s="378"/>
      <c r="B241" s="135" t="s">
        <v>554</v>
      </c>
      <c r="C241" s="378" t="s">
        <v>558</v>
      </c>
      <c r="D241" s="378" t="s">
        <v>435</v>
      </c>
      <c r="E241" s="899"/>
      <c r="F241" s="378" t="s">
        <v>173</v>
      </c>
      <c r="G241" s="890"/>
      <c r="H241" s="378">
        <v>9.8000000000000007</v>
      </c>
      <c r="I241" s="899"/>
      <c r="J241" s="378">
        <v>1.1499999999999999</v>
      </c>
      <c r="K241" s="890"/>
      <c r="L241" s="371" t="s">
        <v>454</v>
      </c>
      <c r="M241" s="922"/>
      <c r="N241" s="371" t="s">
        <v>530</v>
      </c>
      <c r="O241" s="922"/>
      <c r="P241" s="367" t="s">
        <v>673</v>
      </c>
      <c r="Q241" s="378"/>
      <c r="R241" s="378"/>
      <c r="S241" s="378"/>
      <c r="T241" s="378"/>
      <c r="U241" s="378"/>
      <c r="V241" s="378"/>
      <c r="W241" s="378"/>
      <c r="X241" s="378"/>
      <c r="Y241" s="378"/>
      <c r="Z241" s="378"/>
      <c r="AA241" s="378"/>
      <c r="AB241" s="378"/>
    </row>
    <row r="242" spans="1:28" s="364" customFormat="1" ht="27.6" x14ac:dyDescent="0.3">
      <c r="A242" s="378"/>
      <c r="B242" s="135" t="s">
        <v>565</v>
      </c>
      <c r="C242" s="378" t="s">
        <v>573</v>
      </c>
      <c r="D242" s="378" t="s">
        <v>435</v>
      </c>
      <c r="E242" s="902"/>
      <c r="F242" s="378" t="s">
        <v>173</v>
      </c>
      <c r="G242" s="902"/>
      <c r="H242" s="489">
        <v>10.8446</v>
      </c>
      <c r="I242" s="902"/>
      <c r="J242" s="378">
        <v>1.1499999999999999</v>
      </c>
      <c r="K242" s="888"/>
      <c r="L242" s="371" t="s">
        <v>1431</v>
      </c>
      <c r="M242" s="923"/>
      <c r="N242" s="371" t="s">
        <v>302</v>
      </c>
      <c r="O242" s="923"/>
      <c r="P242" s="367" t="s">
        <v>673</v>
      </c>
      <c r="Q242" s="378"/>
      <c r="R242" s="378"/>
      <c r="S242" s="378"/>
      <c r="T242" s="378"/>
      <c r="U242" s="378"/>
      <c r="V242" s="378"/>
      <c r="W242" s="378"/>
      <c r="X242" s="378"/>
      <c r="Y242" s="378"/>
      <c r="Z242" s="378"/>
      <c r="AA242" s="378"/>
      <c r="AB242" s="378"/>
    </row>
    <row r="243" spans="1:28" s="364" customFormat="1" ht="27.6" x14ac:dyDescent="0.3">
      <c r="A243" s="378"/>
      <c r="B243" s="135" t="s">
        <v>566</v>
      </c>
      <c r="C243" s="378" t="s">
        <v>574</v>
      </c>
      <c r="D243" s="378" t="s">
        <v>435</v>
      </c>
      <c r="E243" s="902"/>
      <c r="F243" s="378" t="s">
        <v>173</v>
      </c>
      <c r="G243" s="902"/>
      <c r="H243" s="489">
        <v>10.8446</v>
      </c>
      <c r="I243" s="902"/>
      <c r="J243" s="378">
        <v>1.1499999999999999</v>
      </c>
      <c r="K243" s="888"/>
      <c r="L243" s="371" t="s">
        <v>1431</v>
      </c>
      <c r="M243" s="923"/>
      <c r="N243" s="371" t="s">
        <v>302</v>
      </c>
      <c r="O243" s="923"/>
      <c r="P243" s="367" t="s">
        <v>673</v>
      </c>
      <c r="Q243" s="378"/>
      <c r="R243" s="378"/>
      <c r="S243" s="378"/>
      <c r="T243" s="378"/>
      <c r="U243" s="378"/>
      <c r="V243" s="378"/>
      <c r="W243" s="378"/>
      <c r="X243" s="378"/>
      <c r="Y243" s="378"/>
      <c r="Z243" s="378"/>
      <c r="AA243" s="378"/>
      <c r="AB243" s="378"/>
    </row>
    <row r="244" spans="1:28" s="364" customFormat="1" ht="13.8" x14ac:dyDescent="0.3">
      <c r="A244" s="378"/>
      <c r="B244" s="135" t="s">
        <v>795</v>
      </c>
      <c r="C244" s="378" t="s">
        <v>808</v>
      </c>
      <c r="D244" s="378" t="s">
        <v>435</v>
      </c>
      <c r="E244" s="902"/>
      <c r="F244" s="378" t="s">
        <v>173</v>
      </c>
      <c r="G244" s="902"/>
      <c r="H244" s="489">
        <v>11</v>
      </c>
      <c r="I244" s="902"/>
      <c r="J244" s="378">
        <v>1.1499999999999999</v>
      </c>
      <c r="K244" s="888"/>
      <c r="L244" s="371" t="s">
        <v>454</v>
      </c>
      <c r="M244" s="923"/>
      <c r="N244" s="371" t="s">
        <v>530</v>
      </c>
      <c r="O244" s="923"/>
      <c r="P244" s="367" t="s">
        <v>673</v>
      </c>
      <c r="Q244" s="378"/>
      <c r="R244" s="378"/>
      <c r="S244" s="378"/>
      <c r="T244" s="378"/>
      <c r="U244" s="378"/>
      <c r="V244" s="378"/>
      <c r="W244" s="378"/>
      <c r="X244" s="378"/>
      <c r="Y244" s="378"/>
      <c r="Z244" s="378"/>
      <c r="AA244" s="378"/>
      <c r="AB244" s="378"/>
    </row>
    <row r="245" spans="1:28" s="364" customFormat="1" ht="27.6" x14ac:dyDescent="0.3">
      <c r="A245" s="378"/>
      <c r="B245" s="135" t="s">
        <v>828</v>
      </c>
      <c r="C245" s="378" t="s">
        <v>829</v>
      </c>
      <c r="D245" s="378" t="s">
        <v>435</v>
      </c>
      <c r="E245" s="902"/>
      <c r="F245" s="378" t="s">
        <v>173</v>
      </c>
      <c r="G245" s="888"/>
      <c r="H245" s="489">
        <v>10.8446</v>
      </c>
      <c r="I245" s="902"/>
      <c r="J245" s="378">
        <v>1.1499999999999999</v>
      </c>
      <c r="K245" s="888"/>
      <c r="L245" s="371" t="s">
        <v>1431</v>
      </c>
      <c r="M245" s="923"/>
      <c r="N245" s="371" t="s">
        <v>302</v>
      </c>
      <c r="O245" s="923"/>
      <c r="P245" s="367" t="s">
        <v>281</v>
      </c>
      <c r="Q245" s="378"/>
      <c r="R245" s="378"/>
      <c r="S245" s="378"/>
      <c r="T245" s="378"/>
      <c r="U245" s="378"/>
      <c r="V245" s="378"/>
      <c r="W245" s="378"/>
      <c r="X245" s="378"/>
      <c r="Y245" s="378"/>
      <c r="Z245" s="378"/>
      <c r="AA245" s="378"/>
      <c r="AB245" s="378"/>
    </row>
    <row r="246" spans="1:28" s="362" customFormat="1" ht="13.8" x14ac:dyDescent="0.3">
      <c r="A246" s="82"/>
      <c r="B246" s="175" t="s">
        <v>834</v>
      </c>
      <c r="C246" s="150" t="s">
        <v>911</v>
      </c>
      <c r="D246" s="199" t="s">
        <v>435</v>
      </c>
      <c r="E246" s="891"/>
      <c r="F246" s="150" t="s">
        <v>704</v>
      </c>
      <c r="G246" s="411" t="s">
        <v>14</v>
      </c>
      <c r="H246" s="412" t="s">
        <v>14</v>
      </c>
      <c r="I246" s="891"/>
      <c r="J246" s="252">
        <v>1.1499999999999999</v>
      </c>
      <c r="K246" s="411" t="s">
        <v>14</v>
      </c>
      <c r="L246" s="412" t="s">
        <v>14</v>
      </c>
      <c r="M246" s="411" t="s">
        <v>14</v>
      </c>
      <c r="N246" s="412" t="s">
        <v>14</v>
      </c>
      <c r="O246" s="411" t="s">
        <v>14</v>
      </c>
      <c r="P246" s="412" t="s">
        <v>14</v>
      </c>
      <c r="Q246" s="369"/>
      <c r="R246" s="369"/>
      <c r="S246" s="369"/>
      <c r="T246" s="369"/>
      <c r="U246" s="369"/>
      <c r="V246" s="369"/>
      <c r="W246" s="369"/>
      <c r="X246" s="369"/>
      <c r="Y246" s="369"/>
      <c r="Z246" s="369"/>
      <c r="AA246" s="369"/>
      <c r="AB246" s="369"/>
    </row>
    <row r="247" spans="1:28" x14ac:dyDescent="0.3">
      <c r="A247" s="82"/>
      <c r="B247" s="77"/>
      <c r="C247" s="75"/>
      <c r="D247" s="82"/>
      <c r="E247" s="84"/>
      <c r="F247" s="82"/>
      <c r="G247" s="84"/>
      <c r="H247" s="82"/>
      <c r="I247" s="84"/>
      <c r="J247" s="82"/>
      <c r="K247" s="29"/>
      <c r="L247" s="369"/>
      <c r="N247" s="369"/>
      <c r="P247" s="369"/>
      <c r="R247" s="369"/>
      <c r="T247" s="369"/>
      <c r="V247" s="369"/>
      <c r="X247" s="369"/>
      <c r="Y247" s="369"/>
      <c r="Z247" s="369"/>
      <c r="AA247" s="369"/>
      <c r="AB247" s="369"/>
    </row>
    <row r="248" spans="1:28" x14ac:dyDescent="0.3">
      <c r="A248" s="82"/>
      <c r="B248" s="77"/>
      <c r="C248" s="75"/>
      <c r="D248" s="82"/>
      <c r="E248" s="84"/>
      <c r="F248" s="82"/>
      <c r="G248" s="84"/>
      <c r="H248" s="82"/>
      <c r="I248" s="84"/>
      <c r="J248" s="82"/>
      <c r="K248" s="29"/>
      <c r="L248" s="369"/>
      <c r="N248" s="369"/>
      <c r="P248" s="369"/>
      <c r="R248" s="369"/>
      <c r="T248" s="369"/>
      <c r="V248" s="369"/>
      <c r="X248" s="369"/>
      <c r="Y248" s="369"/>
      <c r="Z248" s="369"/>
      <c r="AA248" s="369"/>
      <c r="AB248" s="369"/>
    </row>
    <row r="249" spans="1:28" ht="27.6" x14ac:dyDescent="0.3">
      <c r="A249" s="82"/>
      <c r="B249" s="108" t="s">
        <v>501</v>
      </c>
      <c r="C249" s="116" t="s">
        <v>504</v>
      </c>
      <c r="D249" s="112" t="s">
        <v>433</v>
      </c>
      <c r="E249" s="177"/>
      <c r="F249" s="110" t="s">
        <v>474</v>
      </c>
      <c r="G249" s="168"/>
      <c r="H249" s="168" t="s">
        <v>603</v>
      </c>
      <c r="I249" s="189"/>
      <c r="J249" s="110" t="s">
        <v>204</v>
      </c>
      <c r="K249" s="182"/>
      <c r="L249" s="110" t="s">
        <v>1056</v>
      </c>
      <c r="N249" s="369"/>
      <c r="P249" s="369"/>
      <c r="R249" s="369"/>
      <c r="T249" s="369"/>
      <c r="V249" s="369"/>
      <c r="X249" s="369"/>
      <c r="Y249" s="369"/>
      <c r="Z249" s="369"/>
      <c r="AA249" s="369"/>
      <c r="AB249" s="369"/>
    </row>
    <row r="250" spans="1:28" ht="15" thickBot="1" x14ac:dyDescent="0.35">
      <c r="A250" s="82"/>
      <c r="B250" s="173" t="s">
        <v>282</v>
      </c>
      <c r="C250" s="171" t="s">
        <v>265</v>
      </c>
      <c r="D250" s="171"/>
      <c r="E250" s="178"/>
      <c r="F250" s="174" t="s">
        <v>266</v>
      </c>
      <c r="G250" s="172"/>
      <c r="H250" s="171" t="s">
        <v>267</v>
      </c>
      <c r="I250" s="178"/>
      <c r="J250" s="174"/>
      <c r="K250" s="117"/>
      <c r="L250" s="174" t="s">
        <v>283</v>
      </c>
      <c r="N250" s="369"/>
      <c r="P250" s="369"/>
      <c r="R250" s="369"/>
      <c r="T250" s="369"/>
      <c r="V250" s="369"/>
      <c r="X250" s="369"/>
      <c r="Y250" s="369"/>
      <c r="Z250" s="369"/>
      <c r="AA250" s="369"/>
      <c r="AB250" s="369"/>
    </row>
    <row r="251" spans="1:28" s="362" customFormat="1" thickTop="1" x14ac:dyDescent="0.3">
      <c r="A251" s="82"/>
      <c r="B251" s="135" t="s">
        <v>554</v>
      </c>
      <c r="C251" s="378" t="s">
        <v>559</v>
      </c>
      <c r="D251" s="378" t="s">
        <v>435</v>
      </c>
      <c r="E251" s="897"/>
      <c r="F251" s="274" t="s">
        <v>562</v>
      </c>
      <c r="G251" s="409" t="s">
        <v>14</v>
      </c>
      <c r="H251" s="410" t="s">
        <v>14</v>
      </c>
      <c r="I251" s="899"/>
      <c r="J251" s="365">
        <v>1.25</v>
      </c>
      <c r="K251" s="409" t="s">
        <v>14</v>
      </c>
      <c r="L251" s="410" t="s">
        <v>14</v>
      </c>
      <c r="M251" s="369"/>
      <c r="N251" s="369"/>
      <c r="O251" s="369"/>
      <c r="P251" s="369"/>
      <c r="Q251" s="369"/>
      <c r="R251" s="369"/>
      <c r="S251" s="369"/>
      <c r="T251" s="369"/>
      <c r="U251" s="369"/>
      <c r="V251" s="369"/>
      <c r="W251" s="369"/>
      <c r="X251" s="369"/>
      <c r="Y251" s="369"/>
      <c r="Z251" s="369"/>
      <c r="AA251" s="369"/>
      <c r="AB251" s="369"/>
    </row>
    <row r="252" spans="1:28" s="362" customFormat="1" ht="13.8" x14ac:dyDescent="0.3">
      <c r="A252" s="82"/>
      <c r="B252" s="135" t="s">
        <v>565</v>
      </c>
      <c r="C252" s="378" t="s">
        <v>575</v>
      </c>
      <c r="D252" s="378" t="s">
        <v>435</v>
      </c>
      <c r="E252" s="897"/>
      <c r="F252" s="274" t="s">
        <v>562</v>
      </c>
      <c r="G252" s="409" t="s">
        <v>14</v>
      </c>
      <c r="H252" s="410" t="s">
        <v>14</v>
      </c>
      <c r="I252" s="902"/>
      <c r="J252" s="365">
        <v>1.25</v>
      </c>
      <c r="K252" s="409" t="s">
        <v>14</v>
      </c>
      <c r="L252" s="410" t="s">
        <v>14</v>
      </c>
      <c r="M252" s="369"/>
      <c r="N252" s="369"/>
      <c r="O252" s="369"/>
      <c r="P252" s="369"/>
      <c r="Q252" s="369"/>
      <c r="R252" s="369"/>
      <c r="S252" s="369"/>
      <c r="T252" s="369"/>
      <c r="U252" s="369"/>
      <c r="V252" s="369"/>
      <c r="W252" s="369"/>
      <c r="X252" s="369"/>
      <c r="Y252" s="369"/>
      <c r="Z252" s="369"/>
      <c r="AA252" s="369"/>
      <c r="AB252" s="369"/>
    </row>
    <row r="253" spans="1:28" s="362" customFormat="1" ht="13.8" x14ac:dyDescent="0.3">
      <c r="A253" s="82"/>
      <c r="B253" s="135" t="s">
        <v>566</v>
      </c>
      <c r="C253" s="378" t="s">
        <v>576</v>
      </c>
      <c r="D253" s="378" t="s">
        <v>435</v>
      </c>
      <c r="E253" s="897"/>
      <c r="F253" s="274" t="s">
        <v>562</v>
      </c>
      <c r="G253" s="409" t="s">
        <v>14</v>
      </c>
      <c r="H253" s="410" t="s">
        <v>14</v>
      </c>
      <c r="I253" s="902"/>
      <c r="J253" s="365">
        <v>1.25</v>
      </c>
      <c r="K253" s="409" t="s">
        <v>14</v>
      </c>
      <c r="L253" s="410" t="s">
        <v>14</v>
      </c>
      <c r="M253" s="369"/>
      <c r="N253" s="369"/>
      <c r="O253" s="369"/>
      <c r="P253" s="369"/>
      <c r="Q253" s="369"/>
      <c r="R253" s="369"/>
      <c r="S253" s="369"/>
      <c r="T253" s="369"/>
      <c r="U253" s="369"/>
      <c r="V253" s="369"/>
      <c r="W253" s="369"/>
      <c r="X253" s="369"/>
      <c r="Y253" s="369"/>
      <c r="Z253" s="369"/>
      <c r="AA253" s="369"/>
      <c r="AB253" s="369"/>
    </row>
    <row r="254" spans="1:28" s="362" customFormat="1" ht="13.8" x14ac:dyDescent="0.3">
      <c r="A254" s="82"/>
      <c r="B254" s="135" t="s">
        <v>795</v>
      </c>
      <c r="C254" s="378" t="s">
        <v>811</v>
      </c>
      <c r="D254" s="378" t="s">
        <v>435</v>
      </c>
      <c r="E254" s="897"/>
      <c r="F254" s="274" t="s">
        <v>562</v>
      </c>
      <c r="G254" s="409" t="s">
        <v>14</v>
      </c>
      <c r="H254" s="410" t="s">
        <v>14</v>
      </c>
      <c r="I254" s="902"/>
      <c r="J254" s="365">
        <v>1.25</v>
      </c>
      <c r="K254" s="409" t="s">
        <v>14</v>
      </c>
      <c r="L254" s="410" t="s">
        <v>14</v>
      </c>
      <c r="M254" s="369"/>
      <c r="N254" s="369"/>
      <c r="O254" s="369"/>
      <c r="P254" s="369"/>
      <c r="Q254" s="369"/>
      <c r="R254" s="369"/>
      <c r="S254" s="369"/>
      <c r="T254" s="369"/>
      <c r="U254" s="369"/>
      <c r="V254" s="369"/>
      <c r="W254" s="369"/>
      <c r="X254" s="369"/>
      <c r="Y254" s="369"/>
      <c r="Z254" s="369"/>
      <c r="AA254" s="369"/>
      <c r="AB254" s="369"/>
    </row>
    <row r="255" spans="1:28" s="362" customFormat="1" ht="13.8" x14ac:dyDescent="0.3">
      <c r="A255" s="82"/>
      <c r="B255" s="135" t="s">
        <v>554</v>
      </c>
      <c r="C255" s="378" t="s">
        <v>831</v>
      </c>
      <c r="D255" s="378" t="s">
        <v>435</v>
      </c>
      <c r="E255" s="897"/>
      <c r="F255" s="274" t="s">
        <v>562</v>
      </c>
      <c r="G255" s="409" t="s">
        <v>14</v>
      </c>
      <c r="H255" s="410" t="s">
        <v>14</v>
      </c>
      <c r="I255" s="902"/>
      <c r="J255" s="365">
        <v>1.25</v>
      </c>
      <c r="K255" s="409" t="s">
        <v>14</v>
      </c>
      <c r="L255" s="410" t="s">
        <v>14</v>
      </c>
      <c r="M255" s="369"/>
      <c r="N255" s="369"/>
      <c r="O255" s="369"/>
      <c r="P255" s="369"/>
      <c r="Q255" s="369"/>
      <c r="R255" s="369"/>
      <c r="S255" s="369"/>
      <c r="T255" s="369"/>
      <c r="U255" s="369"/>
      <c r="V255" s="369"/>
      <c r="W255" s="369"/>
      <c r="X255" s="369"/>
      <c r="Y255" s="369"/>
      <c r="Z255" s="369"/>
      <c r="AA255" s="369"/>
      <c r="AB255" s="369"/>
    </row>
    <row r="256" spans="1:28" s="364" customFormat="1" ht="13.8" x14ac:dyDescent="0.3">
      <c r="A256" s="378"/>
      <c r="B256" s="135" t="s">
        <v>565</v>
      </c>
      <c r="C256" s="378" t="s">
        <v>831</v>
      </c>
      <c r="D256" s="378" t="s">
        <v>435</v>
      </c>
      <c r="E256" s="897"/>
      <c r="F256" s="274" t="s">
        <v>562</v>
      </c>
      <c r="G256" s="409" t="s">
        <v>14</v>
      </c>
      <c r="H256" s="410" t="s">
        <v>14</v>
      </c>
      <c r="I256" s="902"/>
      <c r="J256" s="365">
        <v>1.25</v>
      </c>
      <c r="K256" s="409" t="s">
        <v>14</v>
      </c>
      <c r="L256" s="410" t="s">
        <v>14</v>
      </c>
      <c r="M256" s="378"/>
      <c r="N256" s="378"/>
      <c r="O256" s="378"/>
      <c r="P256" s="378"/>
      <c r="Q256" s="378"/>
      <c r="R256" s="378"/>
      <c r="S256" s="378"/>
      <c r="T256" s="378"/>
      <c r="U256" s="378"/>
      <c r="V256" s="378"/>
      <c r="W256" s="378"/>
      <c r="X256" s="378"/>
      <c r="Y256" s="378"/>
      <c r="Z256" s="378"/>
      <c r="AA256" s="378"/>
      <c r="AB256" s="378"/>
    </row>
    <row r="257" spans="1:28" s="364" customFormat="1" ht="13.8" x14ac:dyDescent="0.3">
      <c r="A257" s="378"/>
      <c r="B257" s="135" t="s">
        <v>566</v>
      </c>
      <c r="C257" s="378" t="s">
        <v>831</v>
      </c>
      <c r="D257" s="378" t="s">
        <v>435</v>
      </c>
      <c r="E257" s="897"/>
      <c r="F257" s="274" t="s">
        <v>562</v>
      </c>
      <c r="G257" s="409" t="s">
        <v>14</v>
      </c>
      <c r="H257" s="410" t="s">
        <v>14</v>
      </c>
      <c r="I257" s="888"/>
      <c r="J257" s="365">
        <v>1.25</v>
      </c>
      <c r="K257" s="409" t="s">
        <v>14</v>
      </c>
      <c r="L257" s="410" t="s">
        <v>14</v>
      </c>
      <c r="M257" s="378"/>
      <c r="N257" s="378"/>
      <c r="O257" s="378"/>
      <c r="P257" s="378"/>
      <c r="Q257" s="378"/>
      <c r="R257" s="378"/>
      <c r="S257" s="378"/>
      <c r="T257" s="378"/>
      <c r="U257" s="378"/>
      <c r="V257" s="378"/>
      <c r="W257" s="378"/>
      <c r="X257" s="378"/>
      <c r="Y257" s="378"/>
      <c r="Z257" s="378"/>
      <c r="AA257" s="378"/>
      <c r="AB257" s="378"/>
    </row>
    <row r="258" spans="1:28" s="364" customFormat="1" ht="13.8" x14ac:dyDescent="0.3">
      <c r="A258" s="378"/>
      <c r="B258" s="135" t="s">
        <v>795</v>
      </c>
      <c r="C258" s="378" t="s">
        <v>831</v>
      </c>
      <c r="D258" s="378" t="s">
        <v>435</v>
      </c>
      <c r="E258" s="897"/>
      <c r="F258" s="274" t="s">
        <v>562</v>
      </c>
      <c r="G258" s="409" t="s">
        <v>14</v>
      </c>
      <c r="H258" s="410" t="s">
        <v>14</v>
      </c>
      <c r="I258" s="888"/>
      <c r="J258" s="365">
        <v>1.25</v>
      </c>
      <c r="K258" s="409" t="s">
        <v>14</v>
      </c>
      <c r="L258" s="410" t="s">
        <v>14</v>
      </c>
      <c r="M258" s="378"/>
      <c r="N258" s="378"/>
      <c r="O258" s="378"/>
      <c r="P258" s="378"/>
      <c r="Q258" s="378"/>
      <c r="R258" s="378"/>
      <c r="S258" s="378"/>
      <c r="T258" s="378"/>
      <c r="U258" s="378"/>
      <c r="V258" s="378"/>
      <c r="W258" s="378"/>
      <c r="X258" s="378"/>
      <c r="Y258" s="378"/>
      <c r="Z258" s="378"/>
      <c r="AA258" s="378"/>
      <c r="AB258" s="378"/>
    </row>
    <row r="259" spans="1:28" s="364" customFormat="1" ht="13.8" x14ac:dyDescent="0.3">
      <c r="A259" s="378"/>
      <c r="B259" s="135" t="s">
        <v>828</v>
      </c>
      <c r="C259" s="378" t="s">
        <v>830</v>
      </c>
      <c r="D259" s="378" t="s">
        <v>435</v>
      </c>
      <c r="E259" s="897"/>
      <c r="F259" s="274" t="s">
        <v>562</v>
      </c>
      <c r="G259" s="409" t="s">
        <v>14</v>
      </c>
      <c r="H259" s="410" t="s">
        <v>14</v>
      </c>
      <c r="I259" s="888"/>
      <c r="J259" s="365">
        <v>1.25</v>
      </c>
      <c r="K259" s="409" t="s">
        <v>14</v>
      </c>
      <c r="L259" s="410" t="s">
        <v>14</v>
      </c>
      <c r="M259" s="378"/>
      <c r="N259" s="378"/>
      <c r="O259" s="378"/>
      <c r="P259" s="378"/>
      <c r="Q259" s="378"/>
      <c r="R259" s="378"/>
      <c r="S259" s="378"/>
      <c r="T259" s="378"/>
      <c r="U259" s="378"/>
      <c r="V259" s="378"/>
      <c r="W259" s="378"/>
      <c r="X259" s="378"/>
      <c r="Y259" s="378"/>
      <c r="Z259" s="378"/>
      <c r="AA259" s="378"/>
      <c r="AB259" s="378"/>
    </row>
    <row r="260" spans="1:28" s="362" customFormat="1" ht="13.8" x14ac:dyDescent="0.3">
      <c r="A260" s="82"/>
      <c r="B260" s="175" t="s">
        <v>834</v>
      </c>
      <c r="C260" s="150" t="s">
        <v>910</v>
      </c>
      <c r="D260" s="181" t="s">
        <v>435</v>
      </c>
      <c r="E260" s="895"/>
      <c r="F260" s="193" t="s">
        <v>562</v>
      </c>
      <c r="G260" s="411" t="s">
        <v>14</v>
      </c>
      <c r="H260" s="412" t="s">
        <v>14</v>
      </c>
      <c r="I260" s="891"/>
      <c r="J260" s="193">
        <v>1.25</v>
      </c>
      <c r="K260" s="411" t="s">
        <v>14</v>
      </c>
      <c r="L260" s="412" t="s">
        <v>14</v>
      </c>
      <c r="M260" s="369"/>
      <c r="N260" s="369"/>
      <c r="O260" s="369"/>
      <c r="P260" s="369"/>
      <c r="Q260" s="369"/>
      <c r="R260" s="369"/>
      <c r="S260" s="369"/>
      <c r="T260" s="369"/>
      <c r="U260" s="369"/>
      <c r="V260" s="369"/>
      <c r="W260" s="369"/>
      <c r="X260" s="369"/>
      <c r="Y260" s="369"/>
      <c r="Z260" s="369"/>
      <c r="AA260" s="369"/>
      <c r="AB260" s="369"/>
    </row>
    <row r="261" spans="1:28" x14ac:dyDescent="0.3">
      <c r="A261" s="82"/>
      <c r="B261" s="384"/>
      <c r="C261" s="384"/>
      <c r="D261" s="397"/>
      <c r="E261" s="362"/>
      <c r="F261" s="397"/>
      <c r="G261" s="362"/>
      <c r="H261" s="397"/>
      <c r="I261" s="362"/>
      <c r="J261" s="397"/>
      <c r="K261" s="362"/>
      <c r="L261" s="397"/>
      <c r="N261" s="369"/>
      <c r="P261" s="369"/>
      <c r="R261" s="369"/>
      <c r="T261" s="369"/>
      <c r="V261" s="369"/>
      <c r="X261" s="369"/>
    </row>
    <row r="262" spans="1:28" x14ac:dyDescent="0.3">
      <c r="A262" s="82"/>
      <c r="B262" s="384"/>
      <c r="C262" s="384"/>
      <c r="D262" s="397"/>
      <c r="E262" s="362"/>
      <c r="F262" s="397"/>
      <c r="G262" s="362"/>
      <c r="H262" s="397"/>
      <c r="I262" s="362"/>
      <c r="J262" s="397"/>
      <c r="K262" s="362"/>
      <c r="L262" s="397"/>
      <c r="N262" s="369"/>
      <c r="P262" s="369"/>
      <c r="R262" s="369"/>
      <c r="T262" s="369"/>
      <c r="V262" s="369"/>
      <c r="X262" s="369"/>
    </row>
    <row r="263" spans="1:28" ht="27.6" x14ac:dyDescent="0.3">
      <c r="A263" s="82"/>
      <c r="B263" s="189" t="s">
        <v>500</v>
      </c>
      <c r="C263" s="113" t="s">
        <v>506</v>
      </c>
      <c r="D263" s="112" t="s">
        <v>433</v>
      </c>
      <c r="E263" s="125"/>
      <c r="F263" s="110" t="s">
        <v>184</v>
      </c>
      <c r="G263" s="113"/>
      <c r="H263" s="168" t="s">
        <v>277</v>
      </c>
      <c r="I263" s="125"/>
      <c r="J263" s="110" t="s">
        <v>511</v>
      </c>
      <c r="K263" s="113"/>
      <c r="L263" s="168" t="s">
        <v>183</v>
      </c>
      <c r="M263" s="189"/>
      <c r="N263" s="142" t="s">
        <v>205</v>
      </c>
      <c r="O263" s="168"/>
      <c r="P263" s="168" t="s">
        <v>507</v>
      </c>
      <c r="Q263" s="189"/>
      <c r="R263" s="110" t="s">
        <v>206</v>
      </c>
      <c r="S263" s="189"/>
      <c r="T263" s="110" t="s">
        <v>182</v>
      </c>
      <c r="U263" s="189"/>
      <c r="V263" s="110" t="s">
        <v>675</v>
      </c>
      <c r="X263" s="369"/>
    </row>
    <row r="264" spans="1:28" ht="15" thickBot="1" x14ac:dyDescent="0.35">
      <c r="A264" s="82"/>
      <c r="B264" s="173" t="s">
        <v>268</v>
      </c>
      <c r="C264" s="171" t="s">
        <v>269</v>
      </c>
      <c r="D264" s="171"/>
      <c r="E264" s="178"/>
      <c r="F264" s="174" t="s">
        <v>270</v>
      </c>
      <c r="G264" s="172"/>
      <c r="H264" s="171" t="s">
        <v>271</v>
      </c>
      <c r="I264" s="178"/>
      <c r="J264" s="174"/>
      <c r="K264" s="172"/>
      <c r="L264" s="171" t="s">
        <v>272</v>
      </c>
      <c r="M264" s="178"/>
      <c r="N264" s="174" t="s">
        <v>273</v>
      </c>
      <c r="O264" s="172"/>
      <c r="P264" s="171" t="s">
        <v>274</v>
      </c>
      <c r="Q264" s="178"/>
      <c r="R264" s="174" t="s">
        <v>275</v>
      </c>
      <c r="S264" s="178"/>
      <c r="T264" s="174" t="s">
        <v>276</v>
      </c>
      <c r="U264" s="178"/>
      <c r="V264" s="174" t="s">
        <v>676</v>
      </c>
      <c r="X264" s="369"/>
    </row>
    <row r="265" spans="1:28" s="364" customFormat="1" ht="15" thickTop="1" x14ac:dyDescent="0.3">
      <c r="A265" s="378"/>
      <c r="B265" s="135" t="s">
        <v>797</v>
      </c>
      <c r="C265" s="378" t="s">
        <v>563</v>
      </c>
      <c r="D265" s="378" t="s">
        <v>435</v>
      </c>
      <c r="E265" s="897"/>
      <c r="F265" s="378" t="s">
        <v>482</v>
      </c>
      <c r="G265" s="897"/>
      <c r="H265" s="378" t="s">
        <v>564</v>
      </c>
      <c r="I265" s="901" t="s">
        <v>919</v>
      </c>
      <c r="J265" s="90">
        <v>8247.5499999999993</v>
      </c>
      <c r="K265" s="901" t="s">
        <v>919</v>
      </c>
      <c r="L265" s="760">
        <f>J265*P265*(0.1175/745.6)/N265</f>
        <v>7.5818243416934896</v>
      </c>
      <c r="M265" s="897"/>
      <c r="N265" s="677">
        <f>IF(J265&lt;2000,0.5,IF(J265&lt;10000,0.6,0.62))</f>
        <v>0.6</v>
      </c>
      <c r="O265" s="897"/>
      <c r="P265" s="802">
        <v>3.5</v>
      </c>
      <c r="Q265" s="899"/>
      <c r="R265" s="852">
        <v>10</v>
      </c>
      <c r="S265" s="897"/>
      <c r="T265" s="804">
        <v>0.91700000000000004</v>
      </c>
      <c r="U265" s="409" t="s">
        <v>14</v>
      </c>
      <c r="V265" s="410" t="s">
        <v>14</v>
      </c>
      <c r="W265" s="369"/>
      <c r="X265" s="369"/>
      <c r="Y265" s="397"/>
    </row>
    <row r="266" spans="1:28" s="364" customFormat="1" x14ac:dyDescent="0.3">
      <c r="A266" s="378"/>
      <c r="B266" s="135" t="s">
        <v>798</v>
      </c>
      <c r="C266" s="378" t="s">
        <v>577</v>
      </c>
      <c r="D266" s="378" t="s">
        <v>435</v>
      </c>
      <c r="E266" s="902"/>
      <c r="F266" s="378" t="s">
        <v>482</v>
      </c>
      <c r="G266" s="902"/>
      <c r="H266" s="378" t="s">
        <v>564</v>
      </c>
      <c r="I266" s="903" t="s">
        <v>919</v>
      </c>
      <c r="J266" s="90">
        <v>1469.61</v>
      </c>
      <c r="K266" s="903" t="s">
        <v>919</v>
      </c>
      <c r="L266" s="760">
        <f>J266*P266*(0.1175/745.6)/N266</f>
        <v>1.3895856357296135</v>
      </c>
      <c r="M266" s="902"/>
      <c r="N266" s="677">
        <f t="shared" ref="N266:N269" si="9">IF(J266&lt;2000,0.5,IF(J266&lt;10000,0.6,0.62))</f>
        <v>0.5</v>
      </c>
      <c r="O266" s="902"/>
      <c r="P266" s="802">
        <v>3</v>
      </c>
      <c r="Q266" s="899"/>
      <c r="R266" s="802">
        <v>1.5</v>
      </c>
      <c r="S266" s="902"/>
      <c r="T266" s="806">
        <v>0.86499999999999999</v>
      </c>
      <c r="U266" s="409" t="s">
        <v>14</v>
      </c>
      <c r="V266" s="410" t="s">
        <v>14</v>
      </c>
      <c r="W266" s="369"/>
      <c r="X266" s="369"/>
      <c r="Y266" s="397"/>
    </row>
    <row r="267" spans="1:28" s="364" customFormat="1" x14ac:dyDescent="0.3">
      <c r="A267" s="378"/>
      <c r="B267" s="135" t="s">
        <v>799</v>
      </c>
      <c r="C267" s="378" t="s">
        <v>578</v>
      </c>
      <c r="D267" s="378" t="s">
        <v>435</v>
      </c>
      <c r="E267" s="902"/>
      <c r="F267" s="378" t="s">
        <v>482</v>
      </c>
      <c r="G267" s="902"/>
      <c r="H267" s="378" t="s">
        <v>564</v>
      </c>
      <c r="I267" s="903" t="s">
        <v>919</v>
      </c>
      <c r="J267" s="90">
        <v>1477.91</v>
      </c>
      <c r="K267" s="903" t="s">
        <v>919</v>
      </c>
      <c r="L267" s="760">
        <f>J267*P267*(0.1175/745.6)/N267</f>
        <v>1.3974336775751073</v>
      </c>
      <c r="M267" s="902"/>
      <c r="N267" s="677">
        <f t="shared" si="9"/>
        <v>0.5</v>
      </c>
      <c r="O267" s="902"/>
      <c r="P267" s="802">
        <v>3</v>
      </c>
      <c r="Q267" s="902"/>
      <c r="R267" s="802">
        <v>1.5</v>
      </c>
      <c r="S267" s="902"/>
      <c r="T267" s="806">
        <v>0.86499999999999999</v>
      </c>
      <c r="U267" s="409" t="s">
        <v>14</v>
      </c>
      <c r="V267" s="410" t="s">
        <v>14</v>
      </c>
      <c r="W267" s="369"/>
      <c r="X267" s="369"/>
      <c r="Y267" s="397"/>
    </row>
    <row r="268" spans="1:28" s="364" customFormat="1" x14ac:dyDescent="0.3">
      <c r="A268" s="378"/>
      <c r="B268" s="135" t="s">
        <v>800</v>
      </c>
      <c r="C268" s="378" t="s">
        <v>816</v>
      </c>
      <c r="D268" s="378" t="s">
        <v>435</v>
      </c>
      <c r="E268" s="902"/>
      <c r="F268" s="378" t="s">
        <v>482</v>
      </c>
      <c r="G268" s="902"/>
      <c r="H268" s="378" t="s">
        <v>564</v>
      </c>
      <c r="I268" s="903" t="s">
        <v>919</v>
      </c>
      <c r="J268" s="90">
        <v>1746.84</v>
      </c>
      <c r="K268" s="903" t="s">
        <v>919</v>
      </c>
      <c r="L268" s="760">
        <f>J268*P268*(0.1175/745.6)/N268</f>
        <v>1.6517196888412014</v>
      </c>
      <c r="M268" s="902"/>
      <c r="N268" s="677">
        <f t="shared" si="9"/>
        <v>0.5</v>
      </c>
      <c r="O268" s="902"/>
      <c r="P268" s="802">
        <v>3</v>
      </c>
      <c r="Q268" s="902"/>
      <c r="R268" s="802">
        <v>2</v>
      </c>
      <c r="S268" s="902"/>
      <c r="T268" s="806">
        <v>0.86499999999999999</v>
      </c>
      <c r="U268" s="409" t="s">
        <v>14</v>
      </c>
      <c r="V268" s="410" t="s">
        <v>14</v>
      </c>
      <c r="W268" s="369"/>
      <c r="X268" s="369"/>
      <c r="Y268" s="397"/>
    </row>
    <row r="269" spans="1:28" s="364" customFormat="1" x14ac:dyDescent="0.3">
      <c r="A269" s="378"/>
      <c r="B269" s="135" t="s">
        <v>801</v>
      </c>
      <c r="C269" s="378" t="s">
        <v>832</v>
      </c>
      <c r="D269" s="378" t="s">
        <v>435</v>
      </c>
      <c r="E269" s="902"/>
      <c r="F269" s="378" t="s">
        <v>485</v>
      </c>
      <c r="G269" s="902"/>
      <c r="H269" s="378" t="s">
        <v>564</v>
      </c>
      <c r="I269" s="924" t="s">
        <v>919</v>
      </c>
      <c r="J269" s="90">
        <v>798.755</v>
      </c>
      <c r="K269" s="903" t="s">
        <v>919</v>
      </c>
      <c r="L269" s="760">
        <f>J269*P269*(0.1175/745.6)/N269</f>
        <v>0.62938380163626606</v>
      </c>
      <c r="M269" s="902"/>
      <c r="N269" s="677">
        <f t="shared" si="9"/>
        <v>0.5</v>
      </c>
      <c r="O269" s="902"/>
      <c r="P269" s="802">
        <v>2.5</v>
      </c>
      <c r="Q269" s="888"/>
      <c r="R269" s="802">
        <v>0.75</v>
      </c>
      <c r="S269" s="902"/>
      <c r="T269" s="806">
        <v>0.85499999999999998</v>
      </c>
      <c r="U269" s="409" t="s">
        <v>14</v>
      </c>
      <c r="V269" s="410" t="s">
        <v>14</v>
      </c>
      <c r="W269" s="369"/>
      <c r="X269" s="369"/>
      <c r="Y269" s="397"/>
    </row>
    <row r="270" spans="1:28" s="364" customFormat="1" x14ac:dyDescent="0.3">
      <c r="A270" s="378"/>
      <c r="B270" s="135" t="s">
        <v>803</v>
      </c>
      <c r="C270" s="378" t="s">
        <v>833</v>
      </c>
      <c r="D270" s="378" t="s">
        <v>435</v>
      </c>
      <c r="E270" s="902"/>
      <c r="F270" s="378" t="s">
        <v>485</v>
      </c>
      <c r="G270" s="902"/>
      <c r="H270" s="378" t="s">
        <v>674</v>
      </c>
      <c r="I270" s="924" t="s">
        <v>919</v>
      </c>
      <c r="J270" s="496">
        <v>167.38</v>
      </c>
      <c r="K270" s="409" t="s">
        <v>14</v>
      </c>
      <c r="L270" s="410" t="s">
        <v>14</v>
      </c>
      <c r="M270" s="924" t="s">
        <v>919</v>
      </c>
      <c r="N270" s="697">
        <v>0.5</v>
      </c>
      <c r="O270" s="924" t="s">
        <v>919</v>
      </c>
      <c r="P270" s="496">
        <v>1.2734000000000001</v>
      </c>
      <c r="Q270" s="409" t="s">
        <v>14</v>
      </c>
      <c r="R270" s="851" t="s">
        <v>14</v>
      </c>
      <c r="S270" s="924" t="s">
        <v>919</v>
      </c>
      <c r="T270" s="853">
        <v>0.85499999999999998</v>
      </c>
      <c r="U270" s="902"/>
      <c r="V270" s="498">
        <f>0.1175*P270/(N270*T270)</f>
        <v>0.3499988304093567</v>
      </c>
      <c r="W270" s="369"/>
      <c r="X270" s="369"/>
      <c r="Y270" s="397"/>
    </row>
    <row r="271" spans="1:28" s="364" customFormat="1" x14ac:dyDescent="0.3">
      <c r="A271" s="378"/>
      <c r="B271" s="135" t="s">
        <v>803</v>
      </c>
      <c r="C271" s="378" t="s">
        <v>876</v>
      </c>
      <c r="D271" s="378" t="s">
        <v>435</v>
      </c>
      <c r="E271" s="902"/>
      <c r="F271" s="378" t="s">
        <v>485</v>
      </c>
      <c r="G271" s="902"/>
      <c r="H271" s="378" t="s">
        <v>674</v>
      </c>
      <c r="I271" s="924" t="s">
        <v>919</v>
      </c>
      <c r="J271" s="496">
        <v>169.73</v>
      </c>
      <c r="K271" s="409" t="s">
        <v>14</v>
      </c>
      <c r="L271" s="410" t="s">
        <v>14</v>
      </c>
      <c r="M271" s="924" t="s">
        <v>919</v>
      </c>
      <c r="N271" s="697">
        <v>0.5</v>
      </c>
      <c r="O271" s="924" t="s">
        <v>919</v>
      </c>
      <c r="P271" s="496">
        <v>1.2734000000000001</v>
      </c>
      <c r="Q271" s="409" t="s">
        <v>14</v>
      </c>
      <c r="R271" s="851" t="s">
        <v>14</v>
      </c>
      <c r="S271" s="924" t="s">
        <v>919</v>
      </c>
      <c r="T271" s="853">
        <v>0.85499999999999998</v>
      </c>
      <c r="U271" s="902"/>
      <c r="V271" s="498">
        <f>0.1175*P271/(N271*T271)</f>
        <v>0.3499988304093567</v>
      </c>
      <c r="W271" s="369"/>
      <c r="X271" s="369"/>
      <c r="Y271" s="397"/>
    </row>
    <row r="272" spans="1:28" s="364" customFormat="1" x14ac:dyDescent="0.3">
      <c r="A272" s="378"/>
      <c r="B272" s="135" t="s">
        <v>803</v>
      </c>
      <c r="C272" s="378" t="s">
        <v>877</v>
      </c>
      <c r="D272" s="378" t="s">
        <v>435</v>
      </c>
      <c r="E272" s="902"/>
      <c r="F272" s="378" t="s">
        <v>485</v>
      </c>
      <c r="G272" s="902"/>
      <c r="H272" s="378" t="s">
        <v>674</v>
      </c>
      <c r="I272" s="924" t="s">
        <v>919</v>
      </c>
      <c r="J272" s="496">
        <v>164.89</v>
      </c>
      <c r="K272" s="409" t="s">
        <v>14</v>
      </c>
      <c r="L272" s="410" t="s">
        <v>14</v>
      </c>
      <c r="M272" s="924" t="s">
        <v>919</v>
      </c>
      <c r="N272" s="697">
        <v>0.5</v>
      </c>
      <c r="O272" s="924" t="s">
        <v>919</v>
      </c>
      <c r="P272" s="496">
        <v>1.2734000000000001</v>
      </c>
      <c r="Q272" s="409" t="s">
        <v>14</v>
      </c>
      <c r="R272" s="851" t="s">
        <v>14</v>
      </c>
      <c r="S272" s="924" t="s">
        <v>919</v>
      </c>
      <c r="T272" s="853">
        <v>0.85499999999999998</v>
      </c>
      <c r="U272" s="902"/>
      <c r="V272" s="498">
        <f t="shared" ref="V272:V304" si="10">0.1175*P272/(N272*T272)</f>
        <v>0.3499988304093567</v>
      </c>
      <c r="W272" s="369"/>
      <c r="X272" s="369"/>
      <c r="Y272" s="397"/>
    </row>
    <row r="273" spans="1:25" s="364" customFormat="1" x14ac:dyDescent="0.3">
      <c r="A273" s="378"/>
      <c r="B273" s="135" t="s">
        <v>803</v>
      </c>
      <c r="C273" s="378" t="s">
        <v>878</v>
      </c>
      <c r="D273" s="378" t="s">
        <v>435</v>
      </c>
      <c r="E273" s="902"/>
      <c r="F273" s="378" t="s">
        <v>485</v>
      </c>
      <c r="G273" s="902"/>
      <c r="H273" s="378" t="s">
        <v>674</v>
      </c>
      <c r="I273" s="924" t="s">
        <v>919</v>
      </c>
      <c r="J273" s="496">
        <v>161.52000000000001</v>
      </c>
      <c r="K273" s="409" t="s">
        <v>14</v>
      </c>
      <c r="L273" s="410" t="s">
        <v>14</v>
      </c>
      <c r="M273" s="924" t="s">
        <v>919</v>
      </c>
      <c r="N273" s="697">
        <v>0.5</v>
      </c>
      <c r="O273" s="924" t="s">
        <v>919</v>
      </c>
      <c r="P273" s="496">
        <v>1.2734000000000001</v>
      </c>
      <c r="Q273" s="409" t="s">
        <v>14</v>
      </c>
      <c r="R273" s="851" t="s">
        <v>14</v>
      </c>
      <c r="S273" s="924" t="s">
        <v>919</v>
      </c>
      <c r="T273" s="853">
        <v>0.85499999999999998</v>
      </c>
      <c r="U273" s="902"/>
      <c r="V273" s="498">
        <f t="shared" si="10"/>
        <v>0.3499988304093567</v>
      </c>
      <c r="W273" s="369"/>
      <c r="X273" s="369"/>
      <c r="Y273" s="397"/>
    </row>
    <row r="274" spans="1:25" s="364" customFormat="1" x14ac:dyDescent="0.3">
      <c r="A274" s="378"/>
      <c r="B274" s="135" t="s">
        <v>803</v>
      </c>
      <c r="C274" s="378" t="s">
        <v>879</v>
      </c>
      <c r="D274" s="378" t="s">
        <v>435</v>
      </c>
      <c r="E274" s="902"/>
      <c r="F274" s="378" t="s">
        <v>485</v>
      </c>
      <c r="G274" s="902"/>
      <c r="H274" s="378" t="s">
        <v>674</v>
      </c>
      <c r="I274" s="924" t="s">
        <v>919</v>
      </c>
      <c r="J274" s="496">
        <v>161.99</v>
      </c>
      <c r="K274" s="409" t="s">
        <v>14</v>
      </c>
      <c r="L274" s="410" t="s">
        <v>14</v>
      </c>
      <c r="M274" s="924" t="s">
        <v>919</v>
      </c>
      <c r="N274" s="697">
        <v>0.5</v>
      </c>
      <c r="O274" s="924" t="s">
        <v>919</v>
      </c>
      <c r="P274" s="496">
        <v>1.2734000000000001</v>
      </c>
      <c r="Q274" s="409" t="s">
        <v>14</v>
      </c>
      <c r="R274" s="851" t="s">
        <v>14</v>
      </c>
      <c r="S274" s="924" t="s">
        <v>919</v>
      </c>
      <c r="T274" s="853">
        <v>0.85499999999999998</v>
      </c>
      <c r="U274" s="902"/>
      <c r="V274" s="498">
        <f t="shared" si="10"/>
        <v>0.3499988304093567</v>
      </c>
      <c r="W274" s="369"/>
      <c r="X274" s="369"/>
      <c r="Y274" s="397"/>
    </row>
    <row r="275" spans="1:25" s="364" customFormat="1" x14ac:dyDescent="0.3">
      <c r="A275" s="378"/>
      <c r="B275" s="135" t="s">
        <v>803</v>
      </c>
      <c r="C275" s="378" t="s">
        <v>880</v>
      </c>
      <c r="D275" s="378" t="s">
        <v>435</v>
      </c>
      <c r="E275" s="902"/>
      <c r="F275" s="378" t="s">
        <v>485</v>
      </c>
      <c r="G275" s="902"/>
      <c r="H275" s="378" t="s">
        <v>674</v>
      </c>
      <c r="I275" s="924" t="s">
        <v>919</v>
      </c>
      <c r="J275" s="496">
        <v>182.63</v>
      </c>
      <c r="K275" s="409" t="s">
        <v>14</v>
      </c>
      <c r="L275" s="410" t="s">
        <v>14</v>
      </c>
      <c r="M275" s="924" t="s">
        <v>919</v>
      </c>
      <c r="N275" s="697">
        <v>0.5</v>
      </c>
      <c r="O275" s="924" t="s">
        <v>919</v>
      </c>
      <c r="P275" s="496">
        <v>1.2734000000000001</v>
      </c>
      <c r="Q275" s="409" t="s">
        <v>14</v>
      </c>
      <c r="R275" s="851" t="s">
        <v>14</v>
      </c>
      <c r="S275" s="924" t="s">
        <v>919</v>
      </c>
      <c r="T275" s="853">
        <v>0.85499999999999998</v>
      </c>
      <c r="U275" s="902"/>
      <c r="V275" s="498">
        <f t="shared" si="10"/>
        <v>0.3499988304093567</v>
      </c>
      <c r="W275" s="369"/>
      <c r="X275" s="369"/>
      <c r="Y275" s="397"/>
    </row>
    <row r="276" spans="1:25" s="364" customFormat="1" x14ac:dyDescent="0.3">
      <c r="A276" s="378"/>
      <c r="B276" s="135" t="s">
        <v>803</v>
      </c>
      <c r="C276" s="378" t="s">
        <v>881</v>
      </c>
      <c r="D276" s="378" t="s">
        <v>435</v>
      </c>
      <c r="E276" s="902"/>
      <c r="F276" s="378" t="s">
        <v>485</v>
      </c>
      <c r="G276" s="902"/>
      <c r="H276" s="378" t="s">
        <v>674</v>
      </c>
      <c r="I276" s="924" t="s">
        <v>919</v>
      </c>
      <c r="J276" s="496">
        <v>152.34</v>
      </c>
      <c r="K276" s="409" t="s">
        <v>14</v>
      </c>
      <c r="L276" s="410" t="s">
        <v>14</v>
      </c>
      <c r="M276" s="924" t="s">
        <v>919</v>
      </c>
      <c r="N276" s="697">
        <v>0.5</v>
      </c>
      <c r="O276" s="924" t="s">
        <v>919</v>
      </c>
      <c r="P276" s="496">
        <v>1.2734000000000001</v>
      </c>
      <c r="Q276" s="409" t="s">
        <v>14</v>
      </c>
      <c r="R276" s="851" t="s">
        <v>14</v>
      </c>
      <c r="S276" s="924" t="s">
        <v>919</v>
      </c>
      <c r="T276" s="853">
        <v>0.85499999999999998</v>
      </c>
      <c r="U276" s="902"/>
      <c r="V276" s="498">
        <f t="shared" si="10"/>
        <v>0.3499988304093567</v>
      </c>
      <c r="W276" s="369"/>
      <c r="X276" s="369"/>
      <c r="Y276" s="397"/>
    </row>
    <row r="277" spans="1:25" s="364" customFormat="1" x14ac:dyDescent="0.3">
      <c r="A277" s="378"/>
      <c r="B277" s="135" t="s">
        <v>803</v>
      </c>
      <c r="C277" s="378" t="s">
        <v>882</v>
      </c>
      <c r="D277" s="378" t="s">
        <v>435</v>
      </c>
      <c r="E277" s="902"/>
      <c r="F277" s="378" t="s">
        <v>485</v>
      </c>
      <c r="G277" s="902"/>
      <c r="H277" s="378" t="s">
        <v>674</v>
      </c>
      <c r="I277" s="924" t="s">
        <v>919</v>
      </c>
      <c r="J277" s="496">
        <v>150.83699999999999</v>
      </c>
      <c r="K277" s="409" t="s">
        <v>14</v>
      </c>
      <c r="L277" s="410" t="s">
        <v>14</v>
      </c>
      <c r="M277" s="924" t="s">
        <v>919</v>
      </c>
      <c r="N277" s="697">
        <v>0.5</v>
      </c>
      <c r="O277" s="924" t="s">
        <v>919</v>
      </c>
      <c r="P277" s="496">
        <v>1.2734000000000001</v>
      </c>
      <c r="Q277" s="409" t="s">
        <v>14</v>
      </c>
      <c r="R277" s="851" t="s">
        <v>14</v>
      </c>
      <c r="S277" s="924" t="s">
        <v>919</v>
      </c>
      <c r="T277" s="853">
        <v>0.85499999999999998</v>
      </c>
      <c r="U277" s="902"/>
      <c r="V277" s="498">
        <f t="shared" si="10"/>
        <v>0.3499988304093567</v>
      </c>
      <c r="W277" s="369"/>
      <c r="X277" s="369"/>
      <c r="Y277" s="397"/>
    </row>
    <row r="278" spans="1:25" s="364" customFormat="1" x14ac:dyDescent="0.3">
      <c r="A278" s="378"/>
      <c r="B278" s="135" t="s">
        <v>803</v>
      </c>
      <c r="C278" s="378" t="s">
        <v>883</v>
      </c>
      <c r="D278" s="378" t="s">
        <v>435</v>
      </c>
      <c r="E278" s="902"/>
      <c r="F278" s="378" t="s">
        <v>485</v>
      </c>
      <c r="G278" s="902"/>
      <c r="H278" s="378" t="s">
        <v>674</v>
      </c>
      <c r="I278" s="924" t="s">
        <v>919</v>
      </c>
      <c r="J278" s="496">
        <v>139.33500000000001</v>
      </c>
      <c r="K278" s="409" t="s">
        <v>14</v>
      </c>
      <c r="L278" s="410" t="s">
        <v>14</v>
      </c>
      <c r="M278" s="924" t="s">
        <v>919</v>
      </c>
      <c r="N278" s="697">
        <v>0.5</v>
      </c>
      <c r="O278" s="924" t="s">
        <v>919</v>
      </c>
      <c r="P278" s="496">
        <v>1.2734000000000001</v>
      </c>
      <c r="Q278" s="409" t="s">
        <v>14</v>
      </c>
      <c r="R278" s="851" t="s">
        <v>14</v>
      </c>
      <c r="S278" s="924" t="s">
        <v>919</v>
      </c>
      <c r="T278" s="853">
        <v>0.85499999999999998</v>
      </c>
      <c r="U278" s="902"/>
      <c r="V278" s="498">
        <f t="shared" si="10"/>
        <v>0.3499988304093567</v>
      </c>
      <c r="W278" s="369"/>
      <c r="X278" s="369"/>
      <c r="Y278" s="397"/>
    </row>
    <row r="279" spans="1:25" s="364" customFormat="1" x14ac:dyDescent="0.3">
      <c r="A279" s="378"/>
      <c r="B279" s="135" t="s">
        <v>803</v>
      </c>
      <c r="C279" s="378" t="s">
        <v>884</v>
      </c>
      <c r="D279" s="378" t="s">
        <v>435</v>
      </c>
      <c r="E279" s="902"/>
      <c r="F279" s="378" t="s">
        <v>485</v>
      </c>
      <c r="G279" s="902"/>
      <c r="H279" s="378" t="s">
        <v>674</v>
      </c>
      <c r="I279" s="924" t="s">
        <v>919</v>
      </c>
      <c r="J279" s="496">
        <v>140.6</v>
      </c>
      <c r="K279" s="409" t="s">
        <v>14</v>
      </c>
      <c r="L279" s="410" t="s">
        <v>14</v>
      </c>
      <c r="M279" s="924" t="s">
        <v>919</v>
      </c>
      <c r="N279" s="697">
        <v>0.5</v>
      </c>
      <c r="O279" s="924" t="s">
        <v>919</v>
      </c>
      <c r="P279" s="496">
        <v>1.2734000000000001</v>
      </c>
      <c r="Q279" s="409" t="s">
        <v>14</v>
      </c>
      <c r="R279" s="851" t="s">
        <v>14</v>
      </c>
      <c r="S279" s="924" t="s">
        <v>919</v>
      </c>
      <c r="T279" s="853">
        <v>0.85499999999999998</v>
      </c>
      <c r="U279" s="902"/>
      <c r="V279" s="498">
        <f t="shared" si="10"/>
        <v>0.3499988304093567</v>
      </c>
      <c r="W279" s="369"/>
      <c r="X279" s="369"/>
      <c r="Y279" s="397"/>
    </row>
    <row r="280" spans="1:25" s="364" customFormat="1" x14ac:dyDescent="0.3">
      <c r="A280" s="378"/>
      <c r="B280" s="135" t="s">
        <v>803</v>
      </c>
      <c r="C280" s="378" t="s">
        <v>885</v>
      </c>
      <c r="D280" s="378" t="s">
        <v>435</v>
      </c>
      <c r="E280" s="902"/>
      <c r="F280" s="378" t="s">
        <v>485</v>
      </c>
      <c r="G280" s="902"/>
      <c r="H280" s="378" t="s">
        <v>674</v>
      </c>
      <c r="I280" s="924" t="s">
        <v>919</v>
      </c>
      <c r="J280" s="496">
        <v>137.47999999999999</v>
      </c>
      <c r="K280" s="409" t="s">
        <v>14</v>
      </c>
      <c r="L280" s="410" t="s">
        <v>14</v>
      </c>
      <c r="M280" s="924" t="s">
        <v>919</v>
      </c>
      <c r="N280" s="697">
        <v>0.5</v>
      </c>
      <c r="O280" s="924" t="s">
        <v>919</v>
      </c>
      <c r="P280" s="496">
        <v>1.2734000000000001</v>
      </c>
      <c r="Q280" s="409" t="s">
        <v>14</v>
      </c>
      <c r="R280" s="851" t="s">
        <v>14</v>
      </c>
      <c r="S280" s="924" t="s">
        <v>919</v>
      </c>
      <c r="T280" s="853">
        <v>0.85499999999999998</v>
      </c>
      <c r="U280" s="902"/>
      <c r="V280" s="498">
        <f t="shared" si="10"/>
        <v>0.3499988304093567</v>
      </c>
      <c r="W280" s="369"/>
      <c r="X280" s="369"/>
      <c r="Y280" s="397"/>
    </row>
    <row r="281" spans="1:25" s="364" customFormat="1" x14ac:dyDescent="0.3">
      <c r="A281" s="378"/>
      <c r="B281" s="135" t="s">
        <v>803</v>
      </c>
      <c r="C281" s="378" t="s">
        <v>886</v>
      </c>
      <c r="D281" s="378" t="s">
        <v>435</v>
      </c>
      <c r="E281" s="902"/>
      <c r="F281" s="378" t="s">
        <v>485</v>
      </c>
      <c r="G281" s="902"/>
      <c r="H281" s="378" t="s">
        <v>674</v>
      </c>
      <c r="I281" s="924" t="s">
        <v>919</v>
      </c>
      <c r="J281" s="496">
        <v>135.227</v>
      </c>
      <c r="K281" s="409" t="s">
        <v>14</v>
      </c>
      <c r="L281" s="410" t="s">
        <v>14</v>
      </c>
      <c r="M281" s="924" t="s">
        <v>919</v>
      </c>
      <c r="N281" s="697">
        <v>0.5</v>
      </c>
      <c r="O281" s="924" t="s">
        <v>919</v>
      </c>
      <c r="P281" s="496">
        <v>1.2734000000000001</v>
      </c>
      <c r="Q281" s="409" t="s">
        <v>14</v>
      </c>
      <c r="R281" s="851" t="s">
        <v>14</v>
      </c>
      <c r="S281" s="924" t="s">
        <v>919</v>
      </c>
      <c r="T281" s="853">
        <v>0.85499999999999998</v>
      </c>
      <c r="U281" s="902"/>
      <c r="V281" s="498">
        <f t="shared" si="10"/>
        <v>0.3499988304093567</v>
      </c>
      <c r="W281" s="369"/>
      <c r="X281" s="369"/>
      <c r="Y281" s="397"/>
    </row>
    <row r="282" spans="1:25" s="364" customFormat="1" x14ac:dyDescent="0.3">
      <c r="A282" s="378"/>
      <c r="B282" s="135" t="s">
        <v>803</v>
      </c>
      <c r="C282" s="378" t="s">
        <v>887</v>
      </c>
      <c r="D282" s="378" t="s">
        <v>435</v>
      </c>
      <c r="E282" s="902"/>
      <c r="F282" s="378" t="s">
        <v>485</v>
      </c>
      <c r="G282" s="902"/>
      <c r="H282" s="378" t="s">
        <v>674</v>
      </c>
      <c r="I282" s="924" t="s">
        <v>919</v>
      </c>
      <c r="J282" s="496">
        <v>137.32</v>
      </c>
      <c r="K282" s="409" t="s">
        <v>14</v>
      </c>
      <c r="L282" s="410" t="s">
        <v>14</v>
      </c>
      <c r="M282" s="924" t="s">
        <v>919</v>
      </c>
      <c r="N282" s="697">
        <v>0.5</v>
      </c>
      <c r="O282" s="924" t="s">
        <v>919</v>
      </c>
      <c r="P282" s="496">
        <v>1.2734000000000001</v>
      </c>
      <c r="Q282" s="409" t="s">
        <v>14</v>
      </c>
      <c r="R282" s="851" t="s">
        <v>14</v>
      </c>
      <c r="S282" s="924" t="s">
        <v>919</v>
      </c>
      <c r="T282" s="853">
        <v>0.85499999999999998</v>
      </c>
      <c r="U282" s="902"/>
      <c r="V282" s="498">
        <f t="shared" si="10"/>
        <v>0.3499988304093567</v>
      </c>
      <c r="W282" s="369"/>
      <c r="X282" s="369"/>
      <c r="Y282" s="397"/>
    </row>
    <row r="283" spans="1:25" s="364" customFormat="1" x14ac:dyDescent="0.3">
      <c r="A283" s="378"/>
      <c r="B283" s="135" t="s">
        <v>803</v>
      </c>
      <c r="C283" s="378" t="s">
        <v>888</v>
      </c>
      <c r="D283" s="378" t="s">
        <v>435</v>
      </c>
      <c r="E283" s="902"/>
      <c r="F283" s="378" t="s">
        <v>485</v>
      </c>
      <c r="G283" s="902"/>
      <c r="H283" s="378" t="s">
        <v>674</v>
      </c>
      <c r="I283" s="924" t="s">
        <v>919</v>
      </c>
      <c r="J283" s="496">
        <v>134.697</v>
      </c>
      <c r="K283" s="409" t="s">
        <v>14</v>
      </c>
      <c r="L283" s="410" t="s">
        <v>14</v>
      </c>
      <c r="M283" s="924" t="s">
        <v>919</v>
      </c>
      <c r="N283" s="697">
        <v>0.5</v>
      </c>
      <c r="O283" s="924" t="s">
        <v>919</v>
      </c>
      <c r="P283" s="496">
        <v>1.2734000000000001</v>
      </c>
      <c r="Q283" s="409" t="s">
        <v>14</v>
      </c>
      <c r="R283" s="851" t="s">
        <v>14</v>
      </c>
      <c r="S283" s="924" t="s">
        <v>919</v>
      </c>
      <c r="T283" s="853">
        <v>0.85499999999999998</v>
      </c>
      <c r="U283" s="902"/>
      <c r="V283" s="498">
        <f t="shared" si="10"/>
        <v>0.3499988304093567</v>
      </c>
      <c r="W283" s="369"/>
      <c r="X283" s="369"/>
      <c r="Y283" s="397"/>
    </row>
    <row r="284" spans="1:25" s="364" customFormat="1" x14ac:dyDescent="0.3">
      <c r="A284" s="378"/>
      <c r="B284" s="135" t="s">
        <v>803</v>
      </c>
      <c r="C284" s="378" t="s">
        <v>889</v>
      </c>
      <c r="D284" s="378" t="s">
        <v>435</v>
      </c>
      <c r="E284" s="902"/>
      <c r="F284" s="378" t="s">
        <v>485</v>
      </c>
      <c r="G284" s="902"/>
      <c r="H284" s="378" t="s">
        <v>674</v>
      </c>
      <c r="I284" s="924" t="s">
        <v>919</v>
      </c>
      <c r="J284" s="496">
        <v>136.36000000000001</v>
      </c>
      <c r="K284" s="409" t="s">
        <v>14</v>
      </c>
      <c r="L284" s="410" t="s">
        <v>14</v>
      </c>
      <c r="M284" s="924" t="s">
        <v>919</v>
      </c>
      <c r="N284" s="697">
        <v>0.5</v>
      </c>
      <c r="O284" s="924" t="s">
        <v>919</v>
      </c>
      <c r="P284" s="496">
        <v>1.2734000000000001</v>
      </c>
      <c r="Q284" s="409" t="s">
        <v>14</v>
      </c>
      <c r="R284" s="851" t="s">
        <v>14</v>
      </c>
      <c r="S284" s="924" t="s">
        <v>919</v>
      </c>
      <c r="T284" s="853">
        <v>0.85499999999999998</v>
      </c>
      <c r="U284" s="902"/>
      <c r="V284" s="498">
        <f t="shared" si="10"/>
        <v>0.3499988304093567</v>
      </c>
      <c r="W284" s="369"/>
      <c r="X284" s="369"/>
      <c r="Y284" s="397"/>
    </row>
    <row r="285" spans="1:25" s="364" customFormat="1" x14ac:dyDescent="0.3">
      <c r="A285" s="378"/>
      <c r="B285" s="135" t="s">
        <v>803</v>
      </c>
      <c r="C285" s="378" t="s">
        <v>890</v>
      </c>
      <c r="D285" s="378" t="s">
        <v>435</v>
      </c>
      <c r="E285" s="902"/>
      <c r="F285" s="378" t="s">
        <v>485</v>
      </c>
      <c r="G285" s="902"/>
      <c r="H285" s="378" t="s">
        <v>674</v>
      </c>
      <c r="I285" s="924" t="s">
        <v>919</v>
      </c>
      <c r="J285" s="496">
        <v>171.79</v>
      </c>
      <c r="K285" s="409" t="s">
        <v>14</v>
      </c>
      <c r="L285" s="410" t="s">
        <v>14</v>
      </c>
      <c r="M285" s="924" t="s">
        <v>919</v>
      </c>
      <c r="N285" s="697">
        <v>0.5</v>
      </c>
      <c r="O285" s="924" t="s">
        <v>919</v>
      </c>
      <c r="P285" s="496">
        <v>1.2734000000000001</v>
      </c>
      <c r="Q285" s="409" t="s">
        <v>14</v>
      </c>
      <c r="R285" s="851" t="s">
        <v>14</v>
      </c>
      <c r="S285" s="924" t="s">
        <v>919</v>
      </c>
      <c r="T285" s="853">
        <v>0.85499999999999998</v>
      </c>
      <c r="U285" s="902"/>
      <c r="V285" s="498">
        <f t="shared" si="10"/>
        <v>0.3499988304093567</v>
      </c>
      <c r="W285" s="369"/>
      <c r="X285" s="369"/>
      <c r="Y285" s="397"/>
    </row>
    <row r="286" spans="1:25" s="364" customFormat="1" x14ac:dyDescent="0.3">
      <c r="A286" s="378"/>
      <c r="B286" s="135" t="s">
        <v>803</v>
      </c>
      <c r="C286" s="378" t="s">
        <v>891</v>
      </c>
      <c r="D286" s="378" t="s">
        <v>435</v>
      </c>
      <c r="E286" s="902"/>
      <c r="F286" s="378" t="s">
        <v>485</v>
      </c>
      <c r="G286" s="902"/>
      <c r="H286" s="378" t="s">
        <v>674</v>
      </c>
      <c r="I286" s="924" t="s">
        <v>919</v>
      </c>
      <c r="J286" s="496">
        <v>143.18799999999999</v>
      </c>
      <c r="K286" s="409" t="s">
        <v>14</v>
      </c>
      <c r="L286" s="410" t="s">
        <v>14</v>
      </c>
      <c r="M286" s="924" t="s">
        <v>919</v>
      </c>
      <c r="N286" s="697">
        <v>0.5</v>
      </c>
      <c r="O286" s="924" t="s">
        <v>919</v>
      </c>
      <c r="P286" s="496">
        <v>1.2734000000000001</v>
      </c>
      <c r="Q286" s="409" t="s">
        <v>14</v>
      </c>
      <c r="R286" s="851" t="s">
        <v>14</v>
      </c>
      <c r="S286" s="924" t="s">
        <v>919</v>
      </c>
      <c r="T286" s="853">
        <v>0.85499999999999998</v>
      </c>
      <c r="U286" s="902"/>
      <c r="V286" s="498">
        <f t="shared" si="10"/>
        <v>0.3499988304093567</v>
      </c>
      <c r="W286" s="369"/>
      <c r="X286" s="369"/>
      <c r="Y286" s="397"/>
    </row>
    <row r="287" spans="1:25" s="364" customFormat="1" x14ac:dyDescent="0.3">
      <c r="A287" s="378"/>
      <c r="B287" s="135" t="s">
        <v>803</v>
      </c>
      <c r="C287" s="378" t="s">
        <v>892</v>
      </c>
      <c r="D287" s="378" t="s">
        <v>435</v>
      </c>
      <c r="E287" s="902"/>
      <c r="F287" s="378" t="s">
        <v>485</v>
      </c>
      <c r="G287" s="902"/>
      <c r="H287" s="378" t="s">
        <v>674</v>
      </c>
      <c r="I287" s="924" t="s">
        <v>919</v>
      </c>
      <c r="J287" s="496">
        <v>152.62</v>
      </c>
      <c r="K287" s="409" t="s">
        <v>14</v>
      </c>
      <c r="L287" s="410" t="s">
        <v>14</v>
      </c>
      <c r="M287" s="924" t="s">
        <v>919</v>
      </c>
      <c r="N287" s="697">
        <v>0.5</v>
      </c>
      <c r="O287" s="924" t="s">
        <v>919</v>
      </c>
      <c r="P287" s="496">
        <v>1.2734000000000001</v>
      </c>
      <c r="Q287" s="409" t="s">
        <v>14</v>
      </c>
      <c r="R287" s="851" t="s">
        <v>14</v>
      </c>
      <c r="S287" s="924" t="s">
        <v>919</v>
      </c>
      <c r="T287" s="853">
        <v>0.85499999999999998</v>
      </c>
      <c r="U287" s="902"/>
      <c r="V287" s="498">
        <f t="shared" si="10"/>
        <v>0.3499988304093567</v>
      </c>
      <c r="W287" s="369"/>
      <c r="X287" s="369"/>
      <c r="Y287" s="397"/>
    </row>
    <row r="288" spans="1:25" s="364" customFormat="1" x14ac:dyDescent="0.3">
      <c r="A288" s="378"/>
      <c r="B288" s="135" t="s">
        <v>803</v>
      </c>
      <c r="C288" s="378" t="s">
        <v>893</v>
      </c>
      <c r="D288" s="378" t="s">
        <v>435</v>
      </c>
      <c r="E288" s="902"/>
      <c r="F288" s="378" t="s">
        <v>485</v>
      </c>
      <c r="G288" s="902"/>
      <c r="H288" s="378" t="s">
        <v>674</v>
      </c>
      <c r="I288" s="924" t="s">
        <v>919</v>
      </c>
      <c r="J288" s="496">
        <v>141.12</v>
      </c>
      <c r="K288" s="409" t="s">
        <v>14</v>
      </c>
      <c r="L288" s="410" t="s">
        <v>14</v>
      </c>
      <c r="M288" s="924" t="s">
        <v>919</v>
      </c>
      <c r="N288" s="697">
        <v>0.5</v>
      </c>
      <c r="O288" s="924" t="s">
        <v>919</v>
      </c>
      <c r="P288" s="496">
        <v>1.2734000000000001</v>
      </c>
      <c r="Q288" s="409" t="s">
        <v>14</v>
      </c>
      <c r="R288" s="851" t="s">
        <v>14</v>
      </c>
      <c r="S288" s="924" t="s">
        <v>919</v>
      </c>
      <c r="T288" s="853">
        <v>0.85499999999999998</v>
      </c>
      <c r="U288" s="902"/>
      <c r="V288" s="498">
        <f t="shared" si="10"/>
        <v>0.3499988304093567</v>
      </c>
      <c r="W288" s="369"/>
      <c r="X288" s="369"/>
      <c r="Y288" s="397"/>
    </row>
    <row r="289" spans="1:25" s="364" customFormat="1" x14ac:dyDescent="0.3">
      <c r="A289" s="378"/>
      <c r="B289" s="135" t="s">
        <v>803</v>
      </c>
      <c r="C289" s="378" t="s">
        <v>894</v>
      </c>
      <c r="D289" s="378" t="s">
        <v>435</v>
      </c>
      <c r="E289" s="902"/>
      <c r="F289" s="378" t="s">
        <v>485</v>
      </c>
      <c r="G289" s="902"/>
      <c r="H289" s="378" t="s">
        <v>674</v>
      </c>
      <c r="I289" s="924" t="s">
        <v>919</v>
      </c>
      <c r="J289" s="496">
        <v>141.69</v>
      </c>
      <c r="K289" s="409" t="s">
        <v>14</v>
      </c>
      <c r="L289" s="410" t="s">
        <v>14</v>
      </c>
      <c r="M289" s="924" t="s">
        <v>919</v>
      </c>
      <c r="N289" s="697">
        <v>0.5</v>
      </c>
      <c r="O289" s="924" t="s">
        <v>919</v>
      </c>
      <c r="P289" s="496">
        <v>1.2734000000000001</v>
      </c>
      <c r="Q289" s="409" t="s">
        <v>14</v>
      </c>
      <c r="R289" s="851" t="s">
        <v>14</v>
      </c>
      <c r="S289" s="924" t="s">
        <v>919</v>
      </c>
      <c r="T289" s="853">
        <v>0.85499999999999998</v>
      </c>
      <c r="U289" s="902"/>
      <c r="V289" s="498">
        <f t="shared" si="10"/>
        <v>0.3499988304093567</v>
      </c>
      <c r="W289" s="369"/>
      <c r="X289" s="369"/>
      <c r="Y289" s="397"/>
    </row>
    <row r="290" spans="1:25" s="364" customFormat="1" x14ac:dyDescent="0.3">
      <c r="A290" s="378"/>
      <c r="B290" s="135" t="s">
        <v>803</v>
      </c>
      <c r="C290" s="378" t="s">
        <v>895</v>
      </c>
      <c r="D290" s="378" t="s">
        <v>435</v>
      </c>
      <c r="E290" s="902"/>
      <c r="F290" s="378" t="s">
        <v>485</v>
      </c>
      <c r="G290" s="902"/>
      <c r="H290" s="378" t="s">
        <v>674</v>
      </c>
      <c r="I290" s="924" t="s">
        <v>919</v>
      </c>
      <c r="J290" s="496">
        <v>138.77000000000001</v>
      </c>
      <c r="K290" s="409" t="s">
        <v>14</v>
      </c>
      <c r="L290" s="410" t="s">
        <v>14</v>
      </c>
      <c r="M290" s="924" t="s">
        <v>919</v>
      </c>
      <c r="N290" s="697">
        <v>0.5</v>
      </c>
      <c r="O290" s="924" t="s">
        <v>919</v>
      </c>
      <c r="P290" s="496">
        <v>1.2734000000000001</v>
      </c>
      <c r="Q290" s="409" t="s">
        <v>14</v>
      </c>
      <c r="R290" s="851" t="s">
        <v>14</v>
      </c>
      <c r="S290" s="924" t="s">
        <v>919</v>
      </c>
      <c r="T290" s="853">
        <v>0.85499999999999998</v>
      </c>
      <c r="U290" s="902"/>
      <c r="V290" s="498">
        <f t="shared" si="10"/>
        <v>0.3499988304093567</v>
      </c>
      <c r="W290" s="369"/>
      <c r="X290" s="369"/>
      <c r="Y290" s="397"/>
    </row>
    <row r="291" spans="1:25" s="364" customFormat="1" x14ac:dyDescent="0.3">
      <c r="A291" s="378"/>
      <c r="B291" s="135" t="s">
        <v>803</v>
      </c>
      <c r="C291" s="378" t="s">
        <v>896</v>
      </c>
      <c r="D291" s="378" t="s">
        <v>435</v>
      </c>
      <c r="E291" s="902"/>
      <c r="F291" s="378" t="s">
        <v>485</v>
      </c>
      <c r="G291" s="902"/>
      <c r="H291" s="378" t="s">
        <v>674</v>
      </c>
      <c r="I291" s="924" t="s">
        <v>919</v>
      </c>
      <c r="J291" s="496">
        <v>138.07</v>
      </c>
      <c r="K291" s="409" t="s">
        <v>14</v>
      </c>
      <c r="L291" s="410" t="s">
        <v>14</v>
      </c>
      <c r="M291" s="924" t="s">
        <v>919</v>
      </c>
      <c r="N291" s="697">
        <v>0.5</v>
      </c>
      <c r="O291" s="924" t="s">
        <v>919</v>
      </c>
      <c r="P291" s="496">
        <v>1.2734000000000001</v>
      </c>
      <c r="Q291" s="409" t="s">
        <v>14</v>
      </c>
      <c r="R291" s="851" t="s">
        <v>14</v>
      </c>
      <c r="S291" s="924" t="s">
        <v>919</v>
      </c>
      <c r="T291" s="853">
        <v>0.85499999999999998</v>
      </c>
      <c r="U291" s="902"/>
      <c r="V291" s="498">
        <f t="shared" si="10"/>
        <v>0.3499988304093567</v>
      </c>
      <c r="W291" s="369"/>
      <c r="X291" s="369"/>
      <c r="Y291" s="397"/>
    </row>
    <row r="292" spans="1:25" s="364" customFormat="1" x14ac:dyDescent="0.3">
      <c r="A292" s="378"/>
      <c r="B292" s="135" t="s">
        <v>803</v>
      </c>
      <c r="C292" s="378" t="s">
        <v>897</v>
      </c>
      <c r="D292" s="378" t="s">
        <v>435</v>
      </c>
      <c r="E292" s="902"/>
      <c r="F292" s="378" t="s">
        <v>485</v>
      </c>
      <c r="G292" s="902"/>
      <c r="H292" s="378" t="s">
        <v>674</v>
      </c>
      <c r="I292" s="924" t="s">
        <v>919</v>
      </c>
      <c r="J292" s="496">
        <v>136.97999999999999</v>
      </c>
      <c r="K292" s="409" t="s">
        <v>14</v>
      </c>
      <c r="L292" s="410" t="s">
        <v>14</v>
      </c>
      <c r="M292" s="924" t="s">
        <v>919</v>
      </c>
      <c r="N292" s="697">
        <v>0.5</v>
      </c>
      <c r="O292" s="924" t="s">
        <v>919</v>
      </c>
      <c r="P292" s="496">
        <v>1.2734000000000001</v>
      </c>
      <c r="Q292" s="409" t="s">
        <v>14</v>
      </c>
      <c r="R292" s="851" t="s">
        <v>14</v>
      </c>
      <c r="S292" s="924" t="s">
        <v>919</v>
      </c>
      <c r="T292" s="853">
        <v>0.85499999999999998</v>
      </c>
      <c r="U292" s="902"/>
      <c r="V292" s="498">
        <f t="shared" si="10"/>
        <v>0.3499988304093567</v>
      </c>
      <c r="W292" s="369"/>
      <c r="X292" s="369"/>
      <c r="Y292" s="397"/>
    </row>
    <row r="293" spans="1:25" s="364" customFormat="1" x14ac:dyDescent="0.3">
      <c r="A293" s="378"/>
      <c r="B293" s="135" t="s">
        <v>803</v>
      </c>
      <c r="C293" s="378" t="s">
        <v>898</v>
      </c>
      <c r="D293" s="378" t="s">
        <v>435</v>
      </c>
      <c r="E293" s="902"/>
      <c r="F293" s="378" t="s">
        <v>485</v>
      </c>
      <c r="G293" s="902"/>
      <c r="H293" s="378" t="s">
        <v>674</v>
      </c>
      <c r="I293" s="924" t="s">
        <v>919</v>
      </c>
      <c r="J293" s="496">
        <v>136.773</v>
      </c>
      <c r="K293" s="409" t="s">
        <v>14</v>
      </c>
      <c r="L293" s="410" t="s">
        <v>14</v>
      </c>
      <c r="M293" s="924" t="s">
        <v>919</v>
      </c>
      <c r="N293" s="697">
        <v>0.5</v>
      </c>
      <c r="O293" s="924" t="s">
        <v>919</v>
      </c>
      <c r="P293" s="496">
        <v>1.2734000000000001</v>
      </c>
      <c r="Q293" s="409" t="s">
        <v>14</v>
      </c>
      <c r="R293" s="851" t="s">
        <v>14</v>
      </c>
      <c r="S293" s="924" t="s">
        <v>919</v>
      </c>
      <c r="T293" s="853">
        <v>0.85499999999999998</v>
      </c>
      <c r="U293" s="902"/>
      <c r="V293" s="498">
        <f t="shared" si="10"/>
        <v>0.3499988304093567</v>
      </c>
      <c r="W293" s="369"/>
      <c r="X293" s="369"/>
      <c r="Y293" s="397"/>
    </row>
    <row r="294" spans="1:25" s="364" customFormat="1" x14ac:dyDescent="0.3">
      <c r="A294" s="378"/>
      <c r="B294" s="135" t="s">
        <v>803</v>
      </c>
      <c r="C294" s="378" t="s">
        <v>899</v>
      </c>
      <c r="D294" s="378" t="s">
        <v>435</v>
      </c>
      <c r="E294" s="902"/>
      <c r="F294" s="378" t="s">
        <v>485</v>
      </c>
      <c r="G294" s="902"/>
      <c r="H294" s="378" t="s">
        <v>674</v>
      </c>
      <c r="I294" s="924" t="s">
        <v>919</v>
      </c>
      <c r="J294" s="496">
        <v>135.62</v>
      </c>
      <c r="K294" s="409" t="s">
        <v>14</v>
      </c>
      <c r="L294" s="410" t="s">
        <v>14</v>
      </c>
      <c r="M294" s="924" t="s">
        <v>919</v>
      </c>
      <c r="N294" s="697">
        <v>0.5</v>
      </c>
      <c r="O294" s="924" t="s">
        <v>919</v>
      </c>
      <c r="P294" s="496">
        <v>1.2734000000000001</v>
      </c>
      <c r="Q294" s="409" t="s">
        <v>14</v>
      </c>
      <c r="R294" s="851" t="s">
        <v>14</v>
      </c>
      <c r="S294" s="924" t="s">
        <v>919</v>
      </c>
      <c r="T294" s="853">
        <v>0.85499999999999998</v>
      </c>
      <c r="U294" s="902"/>
      <c r="V294" s="498">
        <f t="shared" si="10"/>
        <v>0.3499988304093567</v>
      </c>
      <c r="W294" s="369"/>
      <c r="X294" s="369"/>
      <c r="Y294" s="397"/>
    </row>
    <row r="295" spans="1:25" s="364" customFormat="1" x14ac:dyDescent="0.3">
      <c r="A295" s="378"/>
      <c r="B295" s="135" t="s">
        <v>803</v>
      </c>
      <c r="C295" s="378" t="s">
        <v>900</v>
      </c>
      <c r="D295" s="378" t="s">
        <v>435</v>
      </c>
      <c r="E295" s="902"/>
      <c r="F295" s="378" t="s">
        <v>485</v>
      </c>
      <c r="G295" s="902"/>
      <c r="H295" s="378" t="s">
        <v>674</v>
      </c>
      <c r="I295" s="924" t="s">
        <v>919</v>
      </c>
      <c r="J295" s="496">
        <v>233.14</v>
      </c>
      <c r="K295" s="409" t="s">
        <v>14</v>
      </c>
      <c r="L295" s="410" t="s">
        <v>14</v>
      </c>
      <c r="M295" s="924" t="s">
        <v>919</v>
      </c>
      <c r="N295" s="697">
        <v>0.5</v>
      </c>
      <c r="O295" s="924" t="s">
        <v>919</v>
      </c>
      <c r="P295" s="496">
        <v>1.2734000000000001</v>
      </c>
      <c r="Q295" s="409" t="s">
        <v>14</v>
      </c>
      <c r="R295" s="851" t="s">
        <v>14</v>
      </c>
      <c r="S295" s="924" t="s">
        <v>919</v>
      </c>
      <c r="T295" s="853">
        <v>0.85499999999999998</v>
      </c>
      <c r="U295" s="902"/>
      <c r="V295" s="498">
        <f t="shared" si="10"/>
        <v>0.3499988304093567</v>
      </c>
      <c r="W295" s="369"/>
      <c r="X295" s="369"/>
      <c r="Y295" s="397"/>
    </row>
    <row r="296" spans="1:25" s="364" customFormat="1" x14ac:dyDescent="0.3">
      <c r="A296" s="378"/>
      <c r="B296" s="135" t="s">
        <v>803</v>
      </c>
      <c r="C296" s="378" t="s">
        <v>901</v>
      </c>
      <c r="D296" s="378" t="s">
        <v>435</v>
      </c>
      <c r="E296" s="902"/>
      <c r="F296" s="378" t="s">
        <v>485</v>
      </c>
      <c r="G296" s="902"/>
      <c r="H296" s="378" t="s">
        <v>674</v>
      </c>
      <c r="I296" s="924" t="s">
        <v>919</v>
      </c>
      <c r="J296" s="496">
        <v>199.148</v>
      </c>
      <c r="K296" s="409" t="s">
        <v>14</v>
      </c>
      <c r="L296" s="410" t="s">
        <v>14</v>
      </c>
      <c r="M296" s="924" t="s">
        <v>919</v>
      </c>
      <c r="N296" s="697">
        <v>0.5</v>
      </c>
      <c r="O296" s="924" t="s">
        <v>919</v>
      </c>
      <c r="P296" s="496">
        <v>1.2734000000000001</v>
      </c>
      <c r="Q296" s="409" t="s">
        <v>14</v>
      </c>
      <c r="R296" s="851" t="s">
        <v>14</v>
      </c>
      <c r="S296" s="924" t="s">
        <v>919</v>
      </c>
      <c r="T296" s="853">
        <v>0.85499999999999998</v>
      </c>
      <c r="U296" s="902"/>
      <c r="V296" s="498">
        <f t="shared" si="10"/>
        <v>0.3499988304093567</v>
      </c>
      <c r="W296" s="369"/>
      <c r="X296" s="369"/>
      <c r="Y296" s="397"/>
    </row>
    <row r="297" spans="1:25" s="364" customFormat="1" x14ac:dyDescent="0.3">
      <c r="A297" s="378"/>
      <c r="B297" s="135" t="s">
        <v>803</v>
      </c>
      <c r="C297" s="378" t="s">
        <v>902</v>
      </c>
      <c r="D297" s="378" t="s">
        <v>435</v>
      </c>
      <c r="E297" s="902"/>
      <c r="F297" s="378" t="s">
        <v>485</v>
      </c>
      <c r="G297" s="902"/>
      <c r="H297" s="378" t="s">
        <v>674</v>
      </c>
      <c r="I297" s="924" t="s">
        <v>919</v>
      </c>
      <c r="J297" s="496">
        <v>215.667</v>
      </c>
      <c r="K297" s="409" t="s">
        <v>14</v>
      </c>
      <c r="L297" s="410" t="s">
        <v>14</v>
      </c>
      <c r="M297" s="924" t="s">
        <v>919</v>
      </c>
      <c r="N297" s="697">
        <v>0.5</v>
      </c>
      <c r="O297" s="924" t="s">
        <v>919</v>
      </c>
      <c r="P297" s="496">
        <v>1.2734000000000001</v>
      </c>
      <c r="Q297" s="409" t="s">
        <v>14</v>
      </c>
      <c r="R297" s="851" t="s">
        <v>14</v>
      </c>
      <c r="S297" s="924" t="s">
        <v>919</v>
      </c>
      <c r="T297" s="853">
        <v>0.85499999999999998</v>
      </c>
      <c r="U297" s="902"/>
      <c r="V297" s="498">
        <f t="shared" si="10"/>
        <v>0.3499988304093567</v>
      </c>
      <c r="W297" s="369"/>
      <c r="X297" s="369"/>
      <c r="Y297" s="397"/>
    </row>
    <row r="298" spans="1:25" s="364" customFormat="1" x14ac:dyDescent="0.3">
      <c r="A298" s="378"/>
      <c r="B298" s="135" t="s">
        <v>803</v>
      </c>
      <c r="C298" s="378" t="s">
        <v>903</v>
      </c>
      <c r="D298" s="378" t="s">
        <v>435</v>
      </c>
      <c r="E298" s="902"/>
      <c r="F298" s="378" t="s">
        <v>485</v>
      </c>
      <c r="G298" s="902"/>
      <c r="H298" s="378" t="s">
        <v>674</v>
      </c>
      <c r="I298" s="924" t="s">
        <v>919</v>
      </c>
      <c r="J298" s="496">
        <v>198.405</v>
      </c>
      <c r="K298" s="409" t="s">
        <v>14</v>
      </c>
      <c r="L298" s="410" t="s">
        <v>14</v>
      </c>
      <c r="M298" s="924" t="s">
        <v>919</v>
      </c>
      <c r="N298" s="697">
        <v>0.5</v>
      </c>
      <c r="O298" s="924" t="s">
        <v>919</v>
      </c>
      <c r="P298" s="496">
        <v>1.2734000000000001</v>
      </c>
      <c r="Q298" s="409" t="s">
        <v>14</v>
      </c>
      <c r="R298" s="851" t="s">
        <v>14</v>
      </c>
      <c r="S298" s="924" t="s">
        <v>919</v>
      </c>
      <c r="T298" s="853">
        <v>0.85499999999999998</v>
      </c>
      <c r="U298" s="902"/>
      <c r="V298" s="498">
        <f t="shared" si="10"/>
        <v>0.3499988304093567</v>
      </c>
      <c r="W298" s="369"/>
      <c r="X298" s="369"/>
      <c r="Y298" s="397"/>
    </row>
    <row r="299" spans="1:25" s="364" customFormat="1" x14ac:dyDescent="0.3">
      <c r="A299" s="378"/>
      <c r="B299" s="135" t="s">
        <v>803</v>
      </c>
      <c r="C299" s="378" t="s">
        <v>904</v>
      </c>
      <c r="D299" s="378" t="s">
        <v>435</v>
      </c>
      <c r="E299" s="902"/>
      <c r="F299" s="378" t="s">
        <v>485</v>
      </c>
      <c r="G299" s="902"/>
      <c r="H299" s="378" t="s">
        <v>674</v>
      </c>
      <c r="I299" s="924" t="s">
        <v>919</v>
      </c>
      <c r="J299" s="496">
        <v>199.21</v>
      </c>
      <c r="K299" s="409" t="s">
        <v>14</v>
      </c>
      <c r="L299" s="410" t="s">
        <v>14</v>
      </c>
      <c r="M299" s="924" t="s">
        <v>919</v>
      </c>
      <c r="N299" s="697">
        <v>0.5</v>
      </c>
      <c r="O299" s="924" t="s">
        <v>919</v>
      </c>
      <c r="P299" s="496">
        <v>1.2734000000000001</v>
      </c>
      <c r="Q299" s="409" t="s">
        <v>14</v>
      </c>
      <c r="R299" s="851" t="s">
        <v>14</v>
      </c>
      <c r="S299" s="924" t="s">
        <v>919</v>
      </c>
      <c r="T299" s="853">
        <v>0.85499999999999998</v>
      </c>
      <c r="U299" s="902"/>
      <c r="V299" s="498">
        <f t="shared" si="10"/>
        <v>0.3499988304093567</v>
      </c>
      <c r="W299" s="369"/>
      <c r="X299" s="369"/>
      <c r="Y299" s="397"/>
    </row>
    <row r="300" spans="1:25" s="364" customFormat="1" x14ac:dyDescent="0.3">
      <c r="A300" s="378"/>
      <c r="B300" s="135" t="s">
        <v>803</v>
      </c>
      <c r="C300" s="378" t="s">
        <v>905</v>
      </c>
      <c r="D300" s="378" t="s">
        <v>435</v>
      </c>
      <c r="E300" s="902"/>
      <c r="F300" s="378" t="s">
        <v>485</v>
      </c>
      <c r="G300" s="902"/>
      <c r="H300" s="378" t="s">
        <v>674</v>
      </c>
      <c r="I300" s="924" t="s">
        <v>919</v>
      </c>
      <c r="J300" s="496">
        <v>195.4</v>
      </c>
      <c r="K300" s="409" t="s">
        <v>14</v>
      </c>
      <c r="L300" s="410" t="s">
        <v>14</v>
      </c>
      <c r="M300" s="924" t="s">
        <v>919</v>
      </c>
      <c r="N300" s="697">
        <v>0.5</v>
      </c>
      <c r="O300" s="924" t="s">
        <v>919</v>
      </c>
      <c r="P300" s="496">
        <v>1.2734000000000001</v>
      </c>
      <c r="Q300" s="409" t="s">
        <v>14</v>
      </c>
      <c r="R300" s="851" t="s">
        <v>14</v>
      </c>
      <c r="S300" s="924" t="s">
        <v>919</v>
      </c>
      <c r="T300" s="853">
        <v>0.85499999999999998</v>
      </c>
      <c r="U300" s="902"/>
      <c r="V300" s="498">
        <f t="shared" si="10"/>
        <v>0.3499988304093567</v>
      </c>
      <c r="W300" s="369"/>
      <c r="X300" s="369"/>
      <c r="Y300" s="397"/>
    </row>
    <row r="301" spans="1:25" s="364" customFormat="1" x14ac:dyDescent="0.3">
      <c r="A301" s="378"/>
      <c r="B301" s="135" t="s">
        <v>803</v>
      </c>
      <c r="C301" s="378" t="s">
        <v>906</v>
      </c>
      <c r="D301" s="378" t="s">
        <v>435</v>
      </c>
      <c r="E301" s="902"/>
      <c r="F301" s="378" t="s">
        <v>485</v>
      </c>
      <c r="G301" s="902"/>
      <c r="H301" s="378" t="s">
        <v>674</v>
      </c>
      <c r="I301" s="924" t="s">
        <v>919</v>
      </c>
      <c r="J301" s="496">
        <v>193.982</v>
      </c>
      <c r="K301" s="409" t="s">
        <v>14</v>
      </c>
      <c r="L301" s="410" t="s">
        <v>14</v>
      </c>
      <c r="M301" s="924" t="s">
        <v>919</v>
      </c>
      <c r="N301" s="697">
        <v>0.5</v>
      </c>
      <c r="O301" s="924" t="s">
        <v>919</v>
      </c>
      <c r="P301" s="496">
        <v>1.2734000000000001</v>
      </c>
      <c r="Q301" s="409" t="s">
        <v>14</v>
      </c>
      <c r="R301" s="851" t="s">
        <v>14</v>
      </c>
      <c r="S301" s="924" t="s">
        <v>919</v>
      </c>
      <c r="T301" s="853">
        <v>0.85499999999999998</v>
      </c>
      <c r="U301" s="902"/>
      <c r="V301" s="498">
        <f t="shared" si="10"/>
        <v>0.3499988304093567</v>
      </c>
      <c r="W301" s="369"/>
      <c r="X301" s="369"/>
      <c r="Y301" s="397"/>
    </row>
    <row r="302" spans="1:25" s="364" customFormat="1" x14ac:dyDescent="0.3">
      <c r="A302" s="378"/>
      <c r="B302" s="135" t="s">
        <v>803</v>
      </c>
      <c r="C302" s="378" t="s">
        <v>907</v>
      </c>
      <c r="D302" s="378" t="s">
        <v>435</v>
      </c>
      <c r="E302" s="902"/>
      <c r="F302" s="378" t="s">
        <v>485</v>
      </c>
      <c r="G302" s="902"/>
      <c r="H302" s="378" t="s">
        <v>674</v>
      </c>
      <c r="I302" s="924" t="s">
        <v>919</v>
      </c>
      <c r="J302" s="496">
        <v>193.55</v>
      </c>
      <c r="K302" s="409" t="s">
        <v>14</v>
      </c>
      <c r="L302" s="410" t="s">
        <v>14</v>
      </c>
      <c r="M302" s="924" t="s">
        <v>919</v>
      </c>
      <c r="N302" s="697">
        <v>0.5</v>
      </c>
      <c r="O302" s="924" t="s">
        <v>919</v>
      </c>
      <c r="P302" s="496">
        <v>1.2734000000000001</v>
      </c>
      <c r="Q302" s="409" t="s">
        <v>14</v>
      </c>
      <c r="R302" s="851" t="s">
        <v>14</v>
      </c>
      <c r="S302" s="924" t="s">
        <v>919</v>
      </c>
      <c r="T302" s="853">
        <v>0.85499999999999998</v>
      </c>
      <c r="U302" s="902"/>
      <c r="V302" s="498">
        <f t="shared" si="10"/>
        <v>0.3499988304093567</v>
      </c>
      <c r="W302" s="369"/>
      <c r="X302" s="369"/>
      <c r="Y302" s="397"/>
    </row>
    <row r="303" spans="1:25" s="364" customFormat="1" x14ac:dyDescent="0.3">
      <c r="A303" s="378"/>
      <c r="B303" s="135" t="s">
        <v>803</v>
      </c>
      <c r="C303" s="378" t="s">
        <v>908</v>
      </c>
      <c r="D303" s="378" t="s">
        <v>435</v>
      </c>
      <c r="E303" s="902"/>
      <c r="F303" s="378" t="s">
        <v>485</v>
      </c>
      <c r="G303" s="902"/>
      <c r="H303" s="378" t="s">
        <v>674</v>
      </c>
      <c r="I303" s="924" t="s">
        <v>919</v>
      </c>
      <c r="J303" s="496">
        <v>192.02500000000001</v>
      </c>
      <c r="K303" s="409" t="s">
        <v>14</v>
      </c>
      <c r="L303" s="410" t="s">
        <v>14</v>
      </c>
      <c r="M303" s="924" t="s">
        <v>919</v>
      </c>
      <c r="N303" s="697">
        <v>0.5</v>
      </c>
      <c r="O303" s="924" t="s">
        <v>919</v>
      </c>
      <c r="P303" s="496">
        <v>1.2734000000000001</v>
      </c>
      <c r="Q303" s="409" t="s">
        <v>14</v>
      </c>
      <c r="R303" s="851" t="s">
        <v>14</v>
      </c>
      <c r="S303" s="924" t="s">
        <v>919</v>
      </c>
      <c r="T303" s="853">
        <v>0.85499999999999998</v>
      </c>
      <c r="U303" s="902"/>
      <c r="V303" s="498">
        <f t="shared" si="10"/>
        <v>0.3499988304093567</v>
      </c>
      <c r="W303" s="369"/>
      <c r="X303" s="369"/>
      <c r="Y303" s="397"/>
    </row>
    <row r="304" spans="1:25" s="364" customFormat="1" x14ac:dyDescent="0.3">
      <c r="A304" s="378"/>
      <c r="B304" s="135" t="s">
        <v>803</v>
      </c>
      <c r="C304" s="378" t="s">
        <v>909</v>
      </c>
      <c r="D304" s="378" t="s">
        <v>435</v>
      </c>
      <c r="E304" s="902"/>
      <c r="F304" s="378" t="s">
        <v>485</v>
      </c>
      <c r="G304" s="902"/>
      <c r="H304" s="378" t="s">
        <v>674</v>
      </c>
      <c r="I304" s="924" t="s">
        <v>919</v>
      </c>
      <c r="J304" s="496">
        <v>191.57</v>
      </c>
      <c r="K304" s="409" t="s">
        <v>14</v>
      </c>
      <c r="L304" s="410" t="s">
        <v>14</v>
      </c>
      <c r="M304" s="924" t="s">
        <v>919</v>
      </c>
      <c r="N304" s="697">
        <v>0.5</v>
      </c>
      <c r="O304" s="924" t="s">
        <v>919</v>
      </c>
      <c r="P304" s="496">
        <v>1.2734000000000001</v>
      </c>
      <c r="Q304" s="409" t="s">
        <v>14</v>
      </c>
      <c r="R304" s="851" t="s">
        <v>14</v>
      </c>
      <c r="S304" s="924" t="s">
        <v>919</v>
      </c>
      <c r="T304" s="853">
        <v>0.85499999999999998</v>
      </c>
      <c r="U304" s="902"/>
      <c r="V304" s="498">
        <f t="shared" si="10"/>
        <v>0.3499988304093567</v>
      </c>
      <c r="W304" s="369"/>
      <c r="X304" s="369"/>
      <c r="Y304" s="397"/>
    </row>
    <row r="305" spans="1:26" s="364" customFormat="1" x14ac:dyDescent="0.3">
      <c r="A305" s="378"/>
      <c r="B305" s="135" t="s">
        <v>797</v>
      </c>
      <c r="C305" s="378" t="s">
        <v>791</v>
      </c>
      <c r="D305" s="378" t="s">
        <v>435</v>
      </c>
      <c r="E305" s="902"/>
      <c r="F305" s="378" t="s">
        <v>482</v>
      </c>
      <c r="G305" s="902"/>
      <c r="H305" s="378" t="s">
        <v>564</v>
      </c>
      <c r="I305" s="924" t="s">
        <v>919</v>
      </c>
      <c r="J305" s="496">
        <v>7846.58</v>
      </c>
      <c r="K305" s="924" t="s">
        <v>919</v>
      </c>
      <c r="L305" s="443">
        <f>J305*P305*(0.1175/745.6)/N305</f>
        <v>2.3185349466872309</v>
      </c>
      <c r="M305" s="902"/>
      <c r="N305" s="653">
        <f>IF(J305&lt;10000,0.4,0.5)</f>
        <v>0.4</v>
      </c>
      <c r="O305" s="902"/>
      <c r="P305" s="653">
        <f>IF(J305&lt;10000,0.75,1)</f>
        <v>0.75</v>
      </c>
      <c r="Q305" s="902"/>
      <c r="R305" s="854">
        <v>3</v>
      </c>
      <c r="S305" s="902"/>
      <c r="T305" s="806">
        <v>0.89500000000000002</v>
      </c>
      <c r="U305" s="409" t="s">
        <v>14</v>
      </c>
      <c r="V305" s="410" t="s">
        <v>14</v>
      </c>
      <c r="W305" s="369"/>
      <c r="X305" s="369"/>
      <c r="Y305" s="397"/>
    </row>
    <row r="306" spans="1:26" s="364" customFormat="1" x14ac:dyDescent="0.3">
      <c r="A306" s="378"/>
      <c r="B306" s="135" t="s">
        <v>798</v>
      </c>
      <c r="C306" s="378" t="s">
        <v>793</v>
      </c>
      <c r="D306" s="378" t="s">
        <v>435</v>
      </c>
      <c r="E306" s="902"/>
      <c r="F306" s="378" t="s">
        <v>482</v>
      </c>
      <c r="G306" s="902"/>
      <c r="H306" s="378" t="s">
        <v>564</v>
      </c>
      <c r="I306" s="924" t="s">
        <v>919</v>
      </c>
      <c r="J306" s="496">
        <v>1362.95</v>
      </c>
      <c r="K306" s="924" t="s">
        <v>919</v>
      </c>
      <c r="L306" s="443">
        <f>J306*P306*(0.1175/745.6)/N306</f>
        <v>0.40272924071217808</v>
      </c>
      <c r="M306" s="902"/>
      <c r="N306" s="653">
        <f t="shared" ref="N306:N308" si="11">IF(J306&lt;10000,0.4,0.5)</f>
        <v>0.4</v>
      </c>
      <c r="O306" s="902"/>
      <c r="P306" s="653">
        <f t="shared" ref="P306:P308" si="12">IF(J306&lt;10000,0.75,1)</f>
        <v>0.75</v>
      </c>
      <c r="Q306" s="902"/>
      <c r="R306" s="854">
        <v>0.5</v>
      </c>
      <c r="S306" s="902"/>
      <c r="T306" s="806">
        <v>0.85499999999999998</v>
      </c>
      <c r="U306" s="409" t="s">
        <v>14</v>
      </c>
      <c r="V306" s="410" t="s">
        <v>14</v>
      </c>
      <c r="W306" s="369"/>
      <c r="X306" s="369"/>
      <c r="Y306" s="397"/>
    </row>
    <row r="307" spans="1:26" s="364" customFormat="1" x14ac:dyDescent="0.3">
      <c r="A307" s="378"/>
      <c r="B307" s="135" t="s">
        <v>799</v>
      </c>
      <c r="C307" s="378" t="s">
        <v>794</v>
      </c>
      <c r="D307" s="378" t="s">
        <v>435</v>
      </c>
      <c r="E307" s="902"/>
      <c r="F307" s="378" t="s">
        <v>482</v>
      </c>
      <c r="G307" s="902"/>
      <c r="H307" s="378" t="s">
        <v>564</v>
      </c>
      <c r="I307" s="924" t="s">
        <v>919</v>
      </c>
      <c r="J307" s="496">
        <v>1371.25</v>
      </c>
      <c r="K307" s="924" t="s">
        <v>919</v>
      </c>
      <c r="L307" s="443">
        <f>J307*P307*(0.1175/745.6)/N307</f>
        <v>0.40518175378889476</v>
      </c>
      <c r="M307" s="902"/>
      <c r="N307" s="653">
        <f t="shared" si="11"/>
        <v>0.4</v>
      </c>
      <c r="O307" s="902"/>
      <c r="P307" s="653">
        <f t="shared" si="12"/>
        <v>0.75</v>
      </c>
      <c r="Q307" s="902"/>
      <c r="R307" s="854">
        <v>0.5</v>
      </c>
      <c r="S307" s="902"/>
      <c r="T307" s="806">
        <v>0.85499999999999998</v>
      </c>
      <c r="U307" s="409" t="s">
        <v>14</v>
      </c>
      <c r="V307" s="410" t="s">
        <v>14</v>
      </c>
      <c r="W307" s="369"/>
      <c r="X307" s="369"/>
      <c r="Y307" s="397"/>
    </row>
    <row r="308" spans="1:26" s="362" customFormat="1" x14ac:dyDescent="0.3">
      <c r="A308" s="82"/>
      <c r="B308" s="175" t="s">
        <v>800</v>
      </c>
      <c r="C308" s="150" t="s">
        <v>928</v>
      </c>
      <c r="D308" s="150" t="s">
        <v>435</v>
      </c>
      <c r="E308" s="895"/>
      <c r="F308" s="155" t="s">
        <v>482</v>
      </c>
      <c r="G308" s="895"/>
      <c r="H308" s="150" t="s">
        <v>564</v>
      </c>
      <c r="I308" s="906" t="s">
        <v>919</v>
      </c>
      <c r="J308" s="195">
        <v>1640.18</v>
      </c>
      <c r="K308" s="906" t="s">
        <v>919</v>
      </c>
      <c r="L308" s="703">
        <f>J308*P308*(0.1175/745.6)/N308</f>
        <v>0.48464613230954928</v>
      </c>
      <c r="M308" s="895"/>
      <c r="N308" s="675">
        <f t="shared" si="11"/>
        <v>0.4</v>
      </c>
      <c r="O308" s="895"/>
      <c r="P308" s="675">
        <f t="shared" si="12"/>
        <v>0.75</v>
      </c>
      <c r="Q308" s="895"/>
      <c r="R308" s="855">
        <v>0.5</v>
      </c>
      <c r="S308" s="895"/>
      <c r="T308" s="843">
        <v>0.85499999999999998</v>
      </c>
      <c r="U308" s="411" t="s">
        <v>14</v>
      </c>
      <c r="V308" s="412" t="s">
        <v>14</v>
      </c>
      <c r="W308" s="369"/>
      <c r="X308" s="369"/>
      <c r="Y308" s="397"/>
      <c r="Z308" s="364"/>
    </row>
    <row r="309" spans="1:26" x14ac:dyDescent="0.3">
      <c r="A309" s="82"/>
      <c r="B309" s="82"/>
      <c r="C309" s="384"/>
      <c r="D309" s="82"/>
      <c r="E309" s="82"/>
      <c r="F309" s="82"/>
      <c r="G309" s="82"/>
      <c r="H309" s="82"/>
      <c r="I309" s="82"/>
      <c r="J309" s="82"/>
      <c r="K309" s="82"/>
      <c r="L309" s="436"/>
      <c r="M309" s="82"/>
      <c r="N309" s="82"/>
      <c r="O309" s="82"/>
      <c r="P309" s="82"/>
      <c r="Q309" s="82"/>
      <c r="R309" s="82"/>
      <c r="S309" s="82"/>
      <c r="T309" s="82"/>
      <c r="U309" s="82"/>
      <c r="V309" s="82"/>
      <c r="X309" s="369"/>
      <c r="Z309" s="364"/>
    </row>
    <row r="310" spans="1:26" x14ac:dyDescent="0.3">
      <c r="A310" s="397"/>
      <c r="B310" s="397"/>
      <c r="C310" s="397"/>
      <c r="D310" s="397"/>
      <c r="E310" s="362"/>
      <c r="F310" s="397"/>
      <c r="G310" s="362"/>
      <c r="H310" s="397"/>
      <c r="I310" s="362"/>
      <c r="J310" s="397"/>
      <c r="K310" s="397"/>
      <c r="L310" s="397"/>
      <c r="M310" s="362"/>
      <c r="N310" s="397"/>
      <c r="O310" s="121"/>
      <c r="P310" s="111"/>
      <c r="Q310" s="82"/>
      <c r="R310" s="82"/>
      <c r="S310" s="82"/>
      <c r="T310" s="82"/>
      <c r="U310" s="82"/>
      <c r="V310" s="82"/>
      <c r="X310" s="369"/>
    </row>
    <row r="311" spans="1:26" x14ac:dyDescent="0.3">
      <c r="A311" s="397"/>
      <c r="B311" s="108" t="s">
        <v>501</v>
      </c>
      <c r="C311" s="113"/>
      <c r="D311" s="112" t="s">
        <v>433</v>
      </c>
      <c r="E311" s="207"/>
      <c r="F311" s="142" t="s">
        <v>538</v>
      </c>
      <c r="G311" s="125"/>
      <c r="H311" s="142" t="s">
        <v>295</v>
      </c>
      <c r="I311" s="362"/>
      <c r="J311" s="397"/>
      <c r="K311" s="397"/>
      <c r="L311" s="397"/>
      <c r="M311" s="362"/>
      <c r="N311" s="397"/>
      <c r="O311" s="121"/>
      <c r="P311" s="111"/>
      <c r="Q311" s="82"/>
      <c r="R311" s="82"/>
      <c r="S311" s="82"/>
      <c r="T311" s="82"/>
      <c r="U311" s="82"/>
      <c r="V311" s="82"/>
      <c r="X311" s="369"/>
    </row>
    <row r="312" spans="1:26" ht="15" thickBot="1" x14ac:dyDescent="0.35">
      <c r="A312" s="397"/>
      <c r="B312" s="173" t="s">
        <v>282</v>
      </c>
      <c r="C312" s="171"/>
      <c r="D312" s="174"/>
      <c r="E312" s="205"/>
      <c r="F312" s="174" t="s">
        <v>289</v>
      </c>
      <c r="G312" s="208"/>
      <c r="H312" s="174" t="s">
        <v>290</v>
      </c>
      <c r="I312" s="362"/>
      <c r="J312" s="397"/>
      <c r="K312" s="397"/>
      <c r="L312" s="397"/>
      <c r="M312" s="362"/>
      <c r="N312" s="397"/>
      <c r="O312" s="121"/>
      <c r="P312" s="111"/>
      <c r="Q312" s="82"/>
      <c r="R312" s="82"/>
      <c r="S312" s="82"/>
      <c r="T312" s="82"/>
      <c r="U312" s="82"/>
      <c r="V312" s="82"/>
      <c r="W312" s="82"/>
      <c r="X312" s="82"/>
    </row>
    <row r="313" spans="1:26" s="362" customFormat="1" ht="15" thickTop="1" x14ac:dyDescent="0.3">
      <c r="B313" s="135" t="s">
        <v>554</v>
      </c>
      <c r="C313" s="378" t="s">
        <v>625</v>
      </c>
      <c r="D313" s="378" t="s">
        <v>435</v>
      </c>
      <c r="E313" s="899"/>
      <c r="F313" s="378" t="s">
        <v>539</v>
      </c>
      <c r="G313" s="899"/>
      <c r="H313" s="263" t="s">
        <v>480</v>
      </c>
      <c r="L313" s="397"/>
      <c r="O313" s="121"/>
      <c r="P313" s="121"/>
      <c r="Q313" s="82"/>
      <c r="R313" s="82"/>
      <c r="S313" s="82"/>
      <c r="T313" s="82"/>
      <c r="U313" s="82"/>
      <c r="V313" s="82"/>
      <c r="W313" s="82"/>
      <c r="X313" s="82"/>
    </row>
    <row r="314" spans="1:26" x14ac:dyDescent="0.3">
      <c r="A314" s="397"/>
      <c r="B314" s="135" t="s">
        <v>565</v>
      </c>
      <c r="C314" s="378" t="s">
        <v>626</v>
      </c>
      <c r="D314" s="378" t="s">
        <v>435</v>
      </c>
      <c r="E314" s="899"/>
      <c r="F314" s="378" t="s">
        <v>539</v>
      </c>
      <c r="G314" s="899"/>
      <c r="H314" s="274" t="s">
        <v>480</v>
      </c>
      <c r="I314" s="362"/>
      <c r="J314" s="397"/>
      <c r="K314" s="397"/>
      <c r="L314" s="397"/>
      <c r="M314" s="362"/>
      <c r="N314" s="397"/>
      <c r="O314" s="121"/>
      <c r="P314" s="111"/>
      <c r="Q314" s="82"/>
      <c r="R314" s="82"/>
      <c r="S314" s="82"/>
      <c r="T314" s="82"/>
      <c r="U314" s="82"/>
      <c r="V314" s="82"/>
      <c r="W314" s="82"/>
      <c r="X314" s="82"/>
    </row>
    <row r="315" spans="1:26" s="369" customFormat="1" x14ac:dyDescent="0.3">
      <c r="A315" s="397"/>
      <c r="B315" s="135" t="s">
        <v>566</v>
      </c>
      <c r="C315" s="378" t="s">
        <v>627</v>
      </c>
      <c r="D315" s="378" t="s">
        <v>435</v>
      </c>
      <c r="E315" s="899"/>
      <c r="F315" s="378" t="s">
        <v>539</v>
      </c>
      <c r="G315" s="899"/>
      <c r="H315" s="274" t="s">
        <v>480</v>
      </c>
      <c r="I315" s="362"/>
      <c r="J315" s="397"/>
      <c r="K315" s="397"/>
      <c r="L315" s="397"/>
      <c r="M315" s="362"/>
      <c r="N315" s="397"/>
      <c r="O315" s="121"/>
      <c r="P315" s="111"/>
      <c r="Q315" s="82"/>
      <c r="R315" s="82"/>
      <c r="S315" s="82"/>
      <c r="T315" s="82"/>
      <c r="U315" s="82"/>
      <c r="V315" s="82"/>
      <c r="W315" s="82"/>
      <c r="X315" s="82"/>
    </row>
    <row r="316" spans="1:26" s="369" customFormat="1" x14ac:dyDescent="0.3">
      <c r="A316" s="397"/>
      <c r="B316" s="135" t="s">
        <v>795</v>
      </c>
      <c r="C316" s="378" t="s">
        <v>819</v>
      </c>
      <c r="D316" s="378" t="s">
        <v>435</v>
      </c>
      <c r="E316" s="899"/>
      <c r="F316" s="378" t="s">
        <v>539</v>
      </c>
      <c r="G316" s="899"/>
      <c r="H316" s="274" t="s">
        <v>480</v>
      </c>
      <c r="I316" s="362"/>
      <c r="J316" s="397"/>
      <c r="K316" s="397"/>
      <c r="L316" s="397"/>
      <c r="M316" s="362"/>
      <c r="N316" s="397"/>
      <c r="O316" s="121"/>
      <c r="P316" s="111"/>
      <c r="Q316" s="82"/>
      <c r="R316" s="82"/>
      <c r="S316" s="82"/>
      <c r="T316" s="82"/>
      <c r="U316" s="82"/>
      <c r="V316" s="82"/>
      <c r="W316" s="82"/>
      <c r="X316" s="82"/>
    </row>
    <row r="317" spans="1:26" s="369" customFormat="1" x14ac:dyDescent="0.3">
      <c r="A317" s="397"/>
      <c r="B317" s="135" t="s">
        <v>828</v>
      </c>
      <c r="C317" s="378" t="s">
        <v>835</v>
      </c>
      <c r="D317" s="378" t="s">
        <v>435</v>
      </c>
      <c r="E317" s="409" t="s">
        <v>14</v>
      </c>
      <c r="F317" s="410" t="s">
        <v>14</v>
      </c>
      <c r="G317" s="409" t="s">
        <v>14</v>
      </c>
      <c r="H317" s="410" t="s">
        <v>14</v>
      </c>
      <c r="I317" s="362"/>
      <c r="J317" s="397"/>
      <c r="K317" s="397"/>
      <c r="L317" s="397"/>
      <c r="M317" s="362"/>
      <c r="N317" s="397"/>
      <c r="O317" s="121"/>
      <c r="P317" s="111"/>
      <c r="Q317" s="82"/>
      <c r="R317" s="82"/>
      <c r="S317" s="82"/>
      <c r="T317" s="82"/>
      <c r="U317" s="82"/>
      <c r="V317" s="82"/>
      <c r="W317" s="82"/>
      <c r="X317" s="82"/>
    </row>
    <row r="318" spans="1:26" s="369" customFormat="1" x14ac:dyDescent="0.3">
      <c r="A318" s="397"/>
      <c r="B318" s="175" t="s">
        <v>834</v>
      </c>
      <c r="C318" s="495" t="s">
        <v>14</v>
      </c>
      <c r="D318" s="150" t="s">
        <v>435</v>
      </c>
      <c r="E318" s="411" t="s">
        <v>14</v>
      </c>
      <c r="F318" s="412" t="s">
        <v>14</v>
      </c>
      <c r="G318" s="411" t="s">
        <v>14</v>
      </c>
      <c r="H318" s="412" t="s">
        <v>14</v>
      </c>
      <c r="I318" s="362"/>
      <c r="J318" s="397"/>
      <c r="K318" s="397"/>
      <c r="L318" s="397"/>
      <c r="M318" s="362"/>
      <c r="N318" s="397"/>
      <c r="O318" s="121"/>
      <c r="P318" s="111"/>
      <c r="Q318" s="82"/>
      <c r="R318" s="82"/>
      <c r="S318" s="82"/>
      <c r="T318" s="82"/>
      <c r="U318" s="82"/>
      <c r="V318" s="82"/>
      <c r="W318" s="82"/>
      <c r="X318" s="82"/>
    </row>
    <row r="319" spans="1:26" s="369" customFormat="1" x14ac:dyDescent="0.3">
      <c r="A319" s="397"/>
      <c r="B319" s="85"/>
      <c r="C319" s="85"/>
      <c r="D319" s="85"/>
      <c r="E319" s="85"/>
      <c r="F319" s="85"/>
      <c r="G319" s="85"/>
      <c r="H319" s="85"/>
      <c r="I319" s="85"/>
      <c r="J319" s="397"/>
      <c r="K319" s="397"/>
      <c r="L319" s="397"/>
      <c r="M319" s="362"/>
      <c r="N319" s="397"/>
      <c r="O319" s="121"/>
      <c r="P319" s="111"/>
      <c r="Q319" s="82"/>
      <c r="R319" s="82"/>
      <c r="S319" s="82"/>
      <c r="T319" s="82"/>
      <c r="U319" s="82"/>
      <c r="V319" s="82"/>
      <c r="W319" s="82"/>
      <c r="X319" s="82"/>
    </row>
    <row r="320" spans="1:26" s="369" customFormat="1" x14ac:dyDescent="0.3">
      <c r="A320" s="82"/>
      <c r="B320" s="85"/>
      <c r="C320" s="83"/>
      <c r="D320" s="397"/>
      <c r="E320" s="82"/>
      <c r="F320" s="82"/>
      <c r="G320" s="82"/>
      <c r="H320" s="82"/>
      <c r="I320" s="82"/>
      <c r="J320" s="82"/>
      <c r="K320" s="82"/>
      <c r="L320" s="82"/>
      <c r="M320" s="82"/>
      <c r="N320" s="82"/>
      <c r="O320" s="82"/>
      <c r="P320" s="82"/>
      <c r="Q320" s="82"/>
      <c r="R320" s="82"/>
      <c r="S320" s="82"/>
      <c r="T320" s="82"/>
      <c r="U320" s="82"/>
      <c r="V320" s="82"/>
      <c r="W320" s="82"/>
      <c r="X320" s="82"/>
    </row>
    <row r="321" spans="1:44" x14ac:dyDescent="0.3">
      <c r="A321" s="24"/>
      <c r="B321" s="24" t="s">
        <v>1358</v>
      </c>
      <c r="C321" s="24"/>
      <c r="D321" s="397"/>
      <c r="E321" s="362"/>
      <c r="F321" s="397"/>
      <c r="G321" s="362"/>
      <c r="H321" s="397"/>
      <c r="I321" s="362"/>
      <c r="J321" s="397"/>
      <c r="K321" s="362"/>
      <c r="L321" s="397"/>
      <c r="M321" s="362"/>
      <c r="N321" s="397"/>
      <c r="O321" s="121"/>
      <c r="P321" s="111"/>
      <c r="Q321" s="82"/>
      <c r="R321" s="82"/>
      <c r="S321" s="82"/>
      <c r="T321" s="82"/>
      <c r="U321" s="363"/>
      <c r="V321" s="363"/>
      <c r="W321" s="363"/>
      <c r="X321" s="363"/>
    </row>
    <row r="322" spans="1:44" s="378" customFormat="1" ht="41.4" x14ac:dyDescent="0.3">
      <c r="A322" s="363"/>
      <c r="B322" s="125" t="s">
        <v>505</v>
      </c>
      <c r="C322" s="113" t="s">
        <v>291</v>
      </c>
      <c r="D322" s="113" t="s">
        <v>433</v>
      </c>
      <c r="E322" s="108"/>
      <c r="F322" s="538" t="s">
        <v>601</v>
      </c>
      <c r="G322" s="108"/>
      <c r="H322" s="538" t="s">
        <v>1210</v>
      </c>
      <c r="I322" s="751"/>
      <c r="J322" s="538" t="s">
        <v>1347</v>
      </c>
      <c r="K322" s="751"/>
      <c r="L322" s="538" t="s">
        <v>988</v>
      </c>
      <c r="M322" s="280"/>
      <c r="N322" s="324" t="s">
        <v>591</v>
      </c>
      <c r="O322" s="538"/>
      <c r="P322" s="324" t="s">
        <v>977</v>
      </c>
      <c r="Q322" s="280"/>
      <c r="R322" s="110" t="s">
        <v>1029</v>
      </c>
      <c r="S322" s="280"/>
      <c r="T322" s="168" t="s">
        <v>1021</v>
      </c>
      <c r="U322" s="647"/>
      <c r="V322" s="168" t="s">
        <v>1345</v>
      </c>
      <c r="W322" s="189"/>
      <c r="X322" s="168" t="s">
        <v>1211</v>
      </c>
      <c r="Y322" s="298"/>
      <c r="Z322" s="142" t="s">
        <v>292</v>
      </c>
      <c r="AA322" s="125"/>
      <c r="AB322" s="142" t="s">
        <v>293</v>
      </c>
      <c r="AC322" s="364"/>
      <c r="AD322" s="363"/>
      <c r="AF322" s="363"/>
      <c r="AG322" s="364"/>
      <c r="AH322" s="363"/>
      <c r="AI322" s="645"/>
      <c r="AJ322" s="642"/>
      <c r="AO322" s="363"/>
      <c r="AP322" s="363"/>
      <c r="AQ322" s="363"/>
      <c r="AR322" s="363"/>
    </row>
    <row r="323" spans="1:44" s="82" customFormat="1" ht="28.2" thickBot="1" x14ac:dyDescent="0.35">
      <c r="B323" s="173" t="s">
        <v>285</v>
      </c>
      <c r="C323" s="171" t="s">
        <v>286</v>
      </c>
      <c r="D323" s="648"/>
      <c r="E323" s="650"/>
      <c r="F323" s="171"/>
      <c r="G323" s="650"/>
      <c r="H323" s="171" t="s">
        <v>1212</v>
      </c>
      <c r="I323" s="173"/>
      <c r="J323" s="343" t="s">
        <v>1351</v>
      </c>
      <c r="K323" s="173"/>
      <c r="L323" s="343" t="s">
        <v>1352</v>
      </c>
      <c r="M323" s="320"/>
      <c r="N323" s="117" t="s">
        <v>145</v>
      </c>
      <c r="O323" s="126"/>
      <c r="P323" s="117"/>
      <c r="Q323" s="320"/>
      <c r="R323" s="117" t="s">
        <v>998</v>
      </c>
      <c r="S323" s="320"/>
      <c r="T323" s="117" t="s">
        <v>999</v>
      </c>
      <c r="U323" s="651"/>
      <c r="V323" s="117"/>
      <c r="W323" s="126"/>
      <c r="X323" s="117" t="s">
        <v>999</v>
      </c>
      <c r="Y323" s="643"/>
      <c r="Z323" s="344" t="s">
        <v>287</v>
      </c>
      <c r="AA323" s="643"/>
      <c r="AB323" s="344" t="s">
        <v>288</v>
      </c>
      <c r="AC323" s="635"/>
      <c r="AD323" s="635"/>
      <c r="AE323" s="635"/>
      <c r="AF323" s="635"/>
      <c r="AI323" s="635"/>
      <c r="AJ323" s="635"/>
      <c r="AK323" s="635"/>
      <c r="AL323" s="635"/>
      <c r="AM323" s="635"/>
      <c r="AN323" s="635"/>
      <c r="AO323" s="635"/>
      <c r="AP323" s="635"/>
      <c r="AQ323" s="635"/>
      <c r="AR323" s="635"/>
    </row>
    <row r="324" spans="1:44" s="364" customFormat="1" thickTop="1" x14ac:dyDescent="0.3">
      <c r="A324" s="378"/>
      <c r="B324" s="434" t="s">
        <v>1213</v>
      </c>
      <c r="C324" s="264" t="s">
        <v>297</v>
      </c>
      <c r="D324" s="652" t="s">
        <v>435</v>
      </c>
      <c r="E324" s="907"/>
      <c r="F324" s="740">
        <v>1620</v>
      </c>
      <c r="G324" s="907"/>
      <c r="H324" s="781" t="s">
        <v>1214</v>
      </c>
      <c r="I324" s="907"/>
      <c r="J324" s="781" t="s">
        <v>1356</v>
      </c>
      <c r="K324" s="907"/>
      <c r="L324" s="781" t="s">
        <v>1357</v>
      </c>
      <c r="M324" s="896"/>
      <c r="N324" s="809">
        <v>10</v>
      </c>
      <c r="O324" s="908"/>
      <c r="P324" s="746">
        <f t="shared" ref="P324:P350" si="13">ROUND(F324/1000*N324*0.5,1)</f>
        <v>8.1</v>
      </c>
      <c r="Q324" s="896"/>
      <c r="R324" s="197">
        <v>0</v>
      </c>
      <c r="S324" s="896"/>
      <c r="T324" s="197">
        <v>0.15</v>
      </c>
      <c r="U324" s="896"/>
      <c r="V324" s="653">
        <f t="shared" ref="V324:V351" si="14">IF(LEFT(B324,9)="GuestRoom",ROUNDUP(P324,0)*30,ROUND(MAX(P324*R324,T324*F324),0))</f>
        <v>243</v>
      </c>
      <c r="W324" s="332" t="s">
        <v>14</v>
      </c>
      <c r="X324" s="266" t="s">
        <v>14</v>
      </c>
      <c r="Y324" s="896"/>
      <c r="Z324" s="264" t="s">
        <v>413</v>
      </c>
      <c r="AA324" s="896"/>
      <c r="AB324" s="263" t="s">
        <v>414</v>
      </c>
      <c r="AG324" s="378"/>
      <c r="AH324" s="378"/>
    </row>
    <row r="325" spans="1:44" s="364" customFormat="1" ht="13.8" x14ac:dyDescent="0.3">
      <c r="A325" s="378"/>
      <c r="B325" s="135" t="s">
        <v>1215</v>
      </c>
      <c r="C325" s="378" t="s">
        <v>297</v>
      </c>
      <c r="D325" s="57" t="s">
        <v>435</v>
      </c>
      <c r="E325" s="907"/>
      <c r="F325" s="744">
        <v>1350</v>
      </c>
      <c r="G325" s="907"/>
      <c r="H325" s="755" t="s">
        <v>1214</v>
      </c>
      <c r="I325" s="907"/>
      <c r="J325" s="755" t="s">
        <v>1356</v>
      </c>
      <c r="K325" s="907"/>
      <c r="L325" s="755" t="s">
        <v>1357</v>
      </c>
      <c r="M325" s="902"/>
      <c r="N325" s="489">
        <v>10</v>
      </c>
      <c r="O325" s="909"/>
      <c r="P325" s="746">
        <f t="shared" si="13"/>
        <v>6.8</v>
      </c>
      <c r="Q325" s="902"/>
      <c r="R325" s="197">
        <v>0</v>
      </c>
      <c r="S325" s="902"/>
      <c r="T325" s="197">
        <v>0.15</v>
      </c>
      <c r="U325" s="902"/>
      <c r="V325" s="653">
        <f t="shared" si="14"/>
        <v>203</v>
      </c>
      <c r="W325" s="332" t="s">
        <v>14</v>
      </c>
      <c r="X325" s="266" t="s">
        <v>14</v>
      </c>
      <c r="Y325" s="902"/>
      <c r="Z325" s="378" t="s">
        <v>413</v>
      </c>
      <c r="AA325" s="902"/>
      <c r="AB325" s="274" t="s">
        <v>414</v>
      </c>
      <c r="AG325" s="378"/>
      <c r="AH325" s="378"/>
    </row>
    <row r="326" spans="1:44" s="364" customFormat="1" ht="13.8" x14ac:dyDescent="0.3">
      <c r="A326" s="378"/>
      <c r="B326" s="135" t="s">
        <v>1216</v>
      </c>
      <c r="C326" s="378" t="s">
        <v>297</v>
      </c>
      <c r="D326" s="57" t="s">
        <v>435</v>
      </c>
      <c r="E326" s="907"/>
      <c r="F326" s="744">
        <v>1350</v>
      </c>
      <c r="G326" s="907"/>
      <c r="H326" s="755" t="s">
        <v>1214</v>
      </c>
      <c r="I326" s="907"/>
      <c r="J326" s="755" t="s">
        <v>1356</v>
      </c>
      <c r="K326" s="907"/>
      <c r="L326" s="755" t="s">
        <v>1357</v>
      </c>
      <c r="M326" s="902"/>
      <c r="N326" s="489">
        <v>10</v>
      </c>
      <c r="O326" s="909"/>
      <c r="P326" s="746">
        <f t="shared" si="13"/>
        <v>6.8</v>
      </c>
      <c r="Q326" s="902"/>
      <c r="R326" s="197">
        <v>0</v>
      </c>
      <c r="S326" s="902"/>
      <c r="T326" s="197">
        <v>0.15</v>
      </c>
      <c r="U326" s="902"/>
      <c r="V326" s="653">
        <f t="shared" si="14"/>
        <v>203</v>
      </c>
      <c r="W326" s="332" t="s">
        <v>14</v>
      </c>
      <c r="X326" s="266" t="s">
        <v>14</v>
      </c>
      <c r="Y326" s="902"/>
      <c r="Z326" s="378" t="s">
        <v>413</v>
      </c>
      <c r="AA326" s="902"/>
      <c r="AB326" s="274" t="s">
        <v>414</v>
      </c>
      <c r="AG326" s="378"/>
      <c r="AH326" s="378"/>
    </row>
    <row r="327" spans="1:44" s="364" customFormat="1" ht="13.8" x14ac:dyDescent="0.3">
      <c r="A327" s="378"/>
      <c r="B327" s="135" t="s">
        <v>1217</v>
      </c>
      <c r="C327" s="378" t="s">
        <v>297</v>
      </c>
      <c r="D327" s="57" t="s">
        <v>435</v>
      </c>
      <c r="E327" s="907"/>
      <c r="F327" s="744">
        <v>1350</v>
      </c>
      <c r="G327" s="907"/>
      <c r="H327" s="755" t="s">
        <v>1214</v>
      </c>
      <c r="I327" s="907"/>
      <c r="J327" s="755" t="s">
        <v>1356</v>
      </c>
      <c r="K327" s="907"/>
      <c r="L327" s="755" t="s">
        <v>1357</v>
      </c>
      <c r="M327" s="902"/>
      <c r="N327" s="489">
        <v>10</v>
      </c>
      <c r="O327" s="909"/>
      <c r="P327" s="746">
        <f t="shared" si="13"/>
        <v>6.8</v>
      </c>
      <c r="Q327" s="902"/>
      <c r="R327" s="197">
        <v>0</v>
      </c>
      <c r="S327" s="902"/>
      <c r="T327" s="197">
        <v>0.15</v>
      </c>
      <c r="U327" s="902"/>
      <c r="V327" s="653">
        <f t="shared" si="14"/>
        <v>203</v>
      </c>
      <c r="W327" s="332" t="s">
        <v>14</v>
      </c>
      <c r="X327" s="266" t="s">
        <v>14</v>
      </c>
      <c r="Y327" s="902"/>
      <c r="Z327" s="378" t="s">
        <v>413</v>
      </c>
      <c r="AA327" s="902"/>
      <c r="AB327" s="274" t="s">
        <v>414</v>
      </c>
      <c r="AG327" s="378"/>
      <c r="AH327" s="378"/>
    </row>
    <row r="328" spans="1:44" s="364" customFormat="1" ht="13.8" x14ac:dyDescent="0.3">
      <c r="A328" s="378"/>
      <c r="B328" s="135" t="s">
        <v>1218</v>
      </c>
      <c r="C328" s="378" t="s">
        <v>297</v>
      </c>
      <c r="D328" s="57" t="s">
        <v>435</v>
      </c>
      <c r="E328" s="907"/>
      <c r="F328" s="744">
        <v>351</v>
      </c>
      <c r="G328" s="907"/>
      <c r="H328" s="755" t="s">
        <v>1214</v>
      </c>
      <c r="I328" s="907"/>
      <c r="J328" s="755" t="s">
        <v>1356</v>
      </c>
      <c r="K328" s="907"/>
      <c r="L328" s="755" t="s">
        <v>1357</v>
      </c>
      <c r="M328" s="902"/>
      <c r="N328" s="489">
        <v>10</v>
      </c>
      <c r="O328" s="909"/>
      <c r="P328" s="746">
        <f t="shared" si="13"/>
        <v>1.8</v>
      </c>
      <c r="Q328" s="902"/>
      <c r="R328" s="197">
        <v>0</v>
      </c>
      <c r="S328" s="902"/>
      <c r="T328" s="197">
        <v>0.15</v>
      </c>
      <c r="U328" s="902"/>
      <c r="V328" s="653">
        <f t="shared" si="14"/>
        <v>53</v>
      </c>
      <c r="W328" s="332" t="s">
        <v>14</v>
      </c>
      <c r="X328" s="266" t="s">
        <v>14</v>
      </c>
      <c r="Y328" s="902"/>
      <c r="Z328" s="378" t="s">
        <v>413</v>
      </c>
      <c r="AA328" s="902"/>
      <c r="AB328" s="274" t="s">
        <v>414</v>
      </c>
      <c r="AG328" s="378"/>
      <c r="AH328" s="378"/>
    </row>
    <row r="329" spans="1:44" s="364" customFormat="1" ht="13.8" x14ac:dyDescent="0.3">
      <c r="A329" s="378"/>
      <c r="B329" s="135" t="s">
        <v>1219</v>
      </c>
      <c r="C329" s="378" t="s">
        <v>297</v>
      </c>
      <c r="D329" s="57" t="s">
        <v>435</v>
      </c>
      <c r="E329" s="907"/>
      <c r="F329" s="744">
        <v>351</v>
      </c>
      <c r="G329" s="907"/>
      <c r="H329" s="755" t="s">
        <v>1214</v>
      </c>
      <c r="I329" s="907"/>
      <c r="J329" s="755" t="s">
        <v>1356</v>
      </c>
      <c r="K329" s="907"/>
      <c r="L329" s="755" t="s">
        <v>1357</v>
      </c>
      <c r="M329" s="902"/>
      <c r="N329" s="489">
        <v>10</v>
      </c>
      <c r="O329" s="909"/>
      <c r="P329" s="746">
        <f t="shared" si="13"/>
        <v>1.8</v>
      </c>
      <c r="Q329" s="902"/>
      <c r="R329" s="197">
        <v>0</v>
      </c>
      <c r="S329" s="902"/>
      <c r="T329" s="197">
        <v>0.15</v>
      </c>
      <c r="U329" s="902"/>
      <c r="V329" s="653">
        <f t="shared" si="14"/>
        <v>53</v>
      </c>
      <c r="W329" s="332" t="s">
        <v>14</v>
      </c>
      <c r="X329" s="266" t="s">
        <v>14</v>
      </c>
      <c r="Y329" s="902"/>
      <c r="Z329" s="378" t="s">
        <v>413</v>
      </c>
      <c r="AA329" s="902"/>
      <c r="AB329" s="274" t="s">
        <v>414</v>
      </c>
      <c r="AG329" s="378"/>
      <c r="AH329" s="378"/>
    </row>
    <row r="330" spans="1:44" s="364" customFormat="1" ht="13.8" x14ac:dyDescent="0.3">
      <c r="A330" s="378"/>
      <c r="B330" s="135" t="s">
        <v>1220</v>
      </c>
      <c r="C330" s="378" t="s">
        <v>297</v>
      </c>
      <c r="D330" s="57" t="s">
        <v>435</v>
      </c>
      <c r="E330" s="907"/>
      <c r="F330" s="744">
        <v>1755.1</v>
      </c>
      <c r="G330" s="907"/>
      <c r="H330" s="755" t="s">
        <v>1214</v>
      </c>
      <c r="I330" s="907"/>
      <c r="J330" s="755" t="s">
        <v>1356</v>
      </c>
      <c r="K330" s="907"/>
      <c r="L330" s="755" t="s">
        <v>1382</v>
      </c>
      <c r="M330" s="902"/>
      <c r="N330" s="489">
        <v>142.9</v>
      </c>
      <c r="O330" s="909"/>
      <c r="P330" s="746">
        <f t="shared" si="13"/>
        <v>125.4</v>
      </c>
      <c r="Q330" s="902"/>
      <c r="R330" s="197">
        <v>15</v>
      </c>
      <c r="S330" s="902"/>
      <c r="T330" s="197">
        <v>0.15</v>
      </c>
      <c r="U330" s="902"/>
      <c r="V330" s="653">
        <f t="shared" si="14"/>
        <v>1881</v>
      </c>
      <c r="W330" s="332" t="s">
        <v>14</v>
      </c>
      <c r="X330" s="266" t="s">
        <v>14</v>
      </c>
      <c r="Y330" s="902"/>
      <c r="Z330" s="378" t="s">
        <v>413</v>
      </c>
      <c r="AA330" s="902"/>
      <c r="AB330" s="274" t="s">
        <v>414</v>
      </c>
      <c r="AG330" s="378"/>
      <c r="AH330" s="378"/>
    </row>
    <row r="331" spans="1:44" s="364" customFormat="1" ht="13.8" x14ac:dyDescent="0.3">
      <c r="A331" s="378"/>
      <c r="B331" s="135" t="s">
        <v>1221</v>
      </c>
      <c r="C331" s="378" t="s">
        <v>297</v>
      </c>
      <c r="D331" s="57" t="s">
        <v>435</v>
      </c>
      <c r="E331" s="907"/>
      <c r="F331" s="744">
        <v>1404</v>
      </c>
      <c r="G331" s="907"/>
      <c r="H331" s="755" t="s">
        <v>1214</v>
      </c>
      <c r="I331" s="907"/>
      <c r="J331" s="755" t="s">
        <v>1356</v>
      </c>
      <c r="K331" s="907"/>
      <c r="L331" s="755" t="s">
        <v>1357</v>
      </c>
      <c r="M331" s="902"/>
      <c r="N331" s="489">
        <v>10</v>
      </c>
      <c r="O331" s="909"/>
      <c r="P331" s="746">
        <f t="shared" si="13"/>
        <v>7</v>
      </c>
      <c r="Q331" s="902"/>
      <c r="R331" s="197">
        <v>0</v>
      </c>
      <c r="S331" s="902"/>
      <c r="T331" s="197">
        <v>0.15</v>
      </c>
      <c r="U331" s="902"/>
      <c r="V331" s="653">
        <f t="shared" si="14"/>
        <v>211</v>
      </c>
      <c r="W331" s="332" t="s">
        <v>14</v>
      </c>
      <c r="X331" s="266" t="s">
        <v>14</v>
      </c>
      <c r="Y331" s="902"/>
      <c r="Z331" s="378" t="s">
        <v>413</v>
      </c>
      <c r="AA331" s="902"/>
      <c r="AB331" s="274" t="s">
        <v>414</v>
      </c>
      <c r="AG331" s="378"/>
      <c r="AH331" s="378"/>
    </row>
    <row r="332" spans="1:44" s="364" customFormat="1" ht="13.8" x14ac:dyDescent="0.3">
      <c r="A332" s="378"/>
      <c r="B332" s="135" t="s">
        <v>1222</v>
      </c>
      <c r="C332" s="378" t="s">
        <v>297</v>
      </c>
      <c r="D332" s="57" t="s">
        <v>435</v>
      </c>
      <c r="E332" s="907"/>
      <c r="F332" s="744">
        <v>1053</v>
      </c>
      <c r="G332" s="907"/>
      <c r="H332" s="755" t="s">
        <v>1214</v>
      </c>
      <c r="I332" s="907"/>
      <c r="J332" s="755" t="s">
        <v>1356</v>
      </c>
      <c r="K332" s="907"/>
      <c r="L332" s="755" t="s">
        <v>1357</v>
      </c>
      <c r="M332" s="902"/>
      <c r="N332" s="489">
        <v>10</v>
      </c>
      <c r="O332" s="909"/>
      <c r="P332" s="746">
        <f t="shared" si="13"/>
        <v>5.3</v>
      </c>
      <c r="Q332" s="902"/>
      <c r="R332" s="197">
        <v>0</v>
      </c>
      <c r="S332" s="902"/>
      <c r="T332" s="197">
        <v>0.15</v>
      </c>
      <c r="U332" s="902"/>
      <c r="V332" s="653">
        <f t="shared" si="14"/>
        <v>158</v>
      </c>
      <c r="W332" s="332" t="s">
        <v>14</v>
      </c>
      <c r="X332" s="266" t="s">
        <v>14</v>
      </c>
      <c r="Y332" s="902"/>
      <c r="Z332" s="378" t="s">
        <v>413</v>
      </c>
      <c r="AA332" s="902"/>
      <c r="AB332" s="274" t="s">
        <v>414</v>
      </c>
      <c r="AG332" s="378"/>
      <c r="AH332" s="378"/>
    </row>
    <row r="333" spans="1:44" s="364" customFormat="1" ht="13.8" x14ac:dyDescent="0.3">
      <c r="A333" s="378"/>
      <c r="B333" s="135" t="s">
        <v>1223</v>
      </c>
      <c r="C333" s="378" t="s">
        <v>297</v>
      </c>
      <c r="D333" s="57" t="s">
        <v>435</v>
      </c>
      <c r="E333" s="907"/>
      <c r="F333" s="744">
        <v>351</v>
      </c>
      <c r="G333" s="907"/>
      <c r="H333" s="755" t="s">
        <v>1214</v>
      </c>
      <c r="I333" s="907"/>
      <c r="J333" s="755" t="s">
        <v>1356</v>
      </c>
      <c r="K333" s="907"/>
      <c r="L333" s="755" t="s">
        <v>1357</v>
      </c>
      <c r="M333" s="902"/>
      <c r="N333" s="489">
        <v>3</v>
      </c>
      <c r="O333" s="909"/>
      <c r="P333" s="746">
        <f t="shared" si="13"/>
        <v>0.5</v>
      </c>
      <c r="Q333" s="902"/>
      <c r="R333" s="197">
        <v>0</v>
      </c>
      <c r="S333" s="902"/>
      <c r="T333" s="197">
        <v>0.15</v>
      </c>
      <c r="U333" s="902"/>
      <c r="V333" s="653">
        <f t="shared" si="14"/>
        <v>53</v>
      </c>
      <c r="W333" s="332" t="s">
        <v>14</v>
      </c>
      <c r="X333" s="266" t="s">
        <v>14</v>
      </c>
      <c r="Y333" s="902"/>
      <c r="Z333" s="378" t="s">
        <v>413</v>
      </c>
      <c r="AA333" s="902"/>
      <c r="AB333" s="274" t="s">
        <v>414</v>
      </c>
      <c r="AG333" s="378"/>
      <c r="AH333" s="378"/>
    </row>
    <row r="334" spans="1:44" s="364" customFormat="1" ht="13.8" x14ac:dyDescent="0.3">
      <c r="A334" s="378"/>
      <c r="B334" s="135" t="s">
        <v>1383</v>
      </c>
      <c r="C334" s="378" t="s">
        <v>297</v>
      </c>
      <c r="D334" s="57" t="s">
        <v>435</v>
      </c>
      <c r="E334" s="907"/>
      <c r="F334" s="744">
        <v>864.1</v>
      </c>
      <c r="G334" s="907"/>
      <c r="H334" s="755" t="s">
        <v>1214</v>
      </c>
      <c r="I334" s="907"/>
      <c r="J334" s="755" t="s">
        <v>1356</v>
      </c>
      <c r="K334" s="907"/>
      <c r="L334" s="755" t="s">
        <v>1357</v>
      </c>
      <c r="M334" s="902"/>
      <c r="N334" s="489">
        <v>5</v>
      </c>
      <c r="O334" s="909"/>
      <c r="P334" s="746">
        <f t="shared" si="13"/>
        <v>2.2000000000000002</v>
      </c>
      <c r="Q334" s="902"/>
      <c r="R334" s="197">
        <v>0</v>
      </c>
      <c r="S334" s="902"/>
      <c r="T334" s="197">
        <v>0.15</v>
      </c>
      <c r="U334" s="902"/>
      <c r="V334" s="653">
        <f t="shared" si="14"/>
        <v>130</v>
      </c>
      <c r="W334" s="888"/>
      <c r="X334" s="639">
        <v>1050</v>
      </c>
      <c r="Y334" s="902"/>
      <c r="Z334" s="378" t="s">
        <v>413</v>
      </c>
      <c r="AA334" s="902"/>
      <c r="AB334" s="274" t="s">
        <v>414</v>
      </c>
      <c r="AE334" s="82"/>
      <c r="AG334" s="378"/>
      <c r="AH334" s="378"/>
    </row>
    <row r="335" spans="1:44" s="364" customFormat="1" ht="13.8" x14ac:dyDescent="0.3">
      <c r="A335" s="378"/>
      <c r="B335" s="135" t="s">
        <v>1225</v>
      </c>
      <c r="C335" s="378" t="s">
        <v>297</v>
      </c>
      <c r="D335" s="57" t="s">
        <v>435</v>
      </c>
      <c r="E335" s="907"/>
      <c r="F335" s="744">
        <v>216</v>
      </c>
      <c r="G335" s="907"/>
      <c r="H335" s="755" t="s">
        <v>1214</v>
      </c>
      <c r="I335" s="907"/>
      <c r="J335" s="755" t="s">
        <v>1356</v>
      </c>
      <c r="K335" s="907"/>
      <c r="L335" s="755" t="s">
        <v>1357</v>
      </c>
      <c r="M335" s="902"/>
      <c r="N335" s="489">
        <v>10</v>
      </c>
      <c r="O335" s="909"/>
      <c r="P335" s="746">
        <f t="shared" si="13"/>
        <v>1.1000000000000001</v>
      </c>
      <c r="Q335" s="902"/>
      <c r="R335" s="197">
        <v>0</v>
      </c>
      <c r="S335" s="902"/>
      <c r="T335" s="197">
        <v>0.15</v>
      </c>
      <c r="U335" s="902"/>
      <c r="V335" s="653">
        <f t="shared" si="14"/>
        <v>32</v>
      </c>
      <c r="W335" s="332" t="s">
        <v>14</v>
      </c>
      <c r="X335" s="266" t="s">
        <v>14</v>
      </c>
      <c r="Y335" s="902"/>
      <c r="Z335" s="378" t="s">
        <v>413</v>
      </c>
      <c r="AA335" s="902"/>
      <c r="AB335" s="274" t="s">
        <v>414</v>
      </c>
      <c r="AE335" s="782"/>
      <c r="AG335" s="378"/>
      <c r="AH335" s="378"/>
    </row>
    <row r="336" spans="1:44" s="364" customFormat="1" ht="13.8" x14ac:dyDescent="0.3">
      <c r="A336" s="378"/>
      <c r="B336" s="135" t="s">
        <v>1226</v>
      </c>
      <c r="C336" s="378" t="s">
        <v>297</v>
      </c>
      <c r="D336" s="57" t="s">
        <v>435</v>
      </c>
      <c r="E336" s="907"/>
      <c r="F336" s="744">
        <v>216</v>
      </c>
      <c r="G336" s="907"/>
      <c r="H336" s="755" t="s">
        <v>1214</v>
      </c>
      <c r="I336" s="907"/>
      <c r="J336" s="755" t="s">
        <v>1356</v>
      </c>
      <c r="K336" s="907"/>
      <c r="L336" s="755" t="s">
        <v>1357</v>
      </c>
      <c r="M336" s="902"/>
      <c r="N336" s="489">
        <v>10</v>
      </c>
      <c r="O336" s="909"/>
      <c r="P336" s="746">
        <f t="shared" si="13"/>
        <v>1.1000000000000001</v>
      </c>
      <c r="Q336" s="902"/>
      <c r="R336" s="197">
        <v>0</v>
      </c>
      <c r="S336" s="902"/>
      <c r="T336" s="197">
        <v>0.15</v>
      </c>
      <c r="U336" s="902"/>
      <c r="V336" s="653">
        <f t="shared" si="14"/>
        <v>32</v>
      </c>
      <c r="W336" s="332" t="s">
        <v>14</v>
      </c>
      <c r="X336" s="266" t="s">
        <v>14</v>
      </c>
      <c r="Y336" s="902"/>
      <c r="Z336" s="378" t="s">
        <v>413</v>
      </c>
      <c r="AA336" s="902"/>
      <c r="AB336" s="274" t="s">
        <v>414</v>
      </c>
      <c r="AG336" s="378"/>
      <c r="AH336" s="378"/>
    </row>
    <row r="337" spans="1:37" s="364" customFormat="1" ht="13.8" x14ac:dyDescent="0.3">
      <c r="A337" s="378"/>
      <c r="B337" s="135" t="s">
        <v>1227</v>
      </c>
      <c r="C337" s="378" t="s">
        <v>297</v>
      </c>
      <c r="D337" s="57" t="s">
        <v>435</v>
      </c>
      <c r="E337" s="907"/>
      <c r="F337" s="744">
        <v>216</v>
      </c>
      <c r="G337" s="907"/>
      <c r="H337" s="755" t="s">
        <v>1214</v>
      </c>
      <c r="I337" s="907"/>
      <c r="J337" s="755" t="s">
        <v>1356</v>
      </c>
      <c r="K337" s="907"/>
      <c r="L337" s="755" t="s">
        <v>1357</v>
      </c>
      <c r="M337" s="902"/>
      <c r="N337" s="489">
        <v>10</v>
      </c>
      <c r="O337" s="909"/>
      <c r="P337" s="746">
        <f t="shared" si="13"/>
        <v>1.1000000000000001</v>
      </c>
      <c r="Q337" s="902"/>
      <c r="R337" s="197">
        <v>0</v>
      </c>
      <c r="S337" s="902"/>
      <c r="T337" s="197">
        <v>0.15</v>
      </c>
      <c r="U337" s="902"/>
      <c r="V337" s="653">
        <f t="shared" si="14"/>
        <v>32</v>
      </c>
      <c r="W337" s="332" t="s">
        <v>14</v>
      </c>
      <c r="X337" s="266" t="s">
        <v>14</v>
      </c>
      <c r="Y337" s="902"/>
      <c r="Z337" s="378" t="s">
        <v>413</v>
      </c>
      <c r="AA337" s="902"/>
      <c r="AB337" s="274" t="s">
        <v>414</v>
      </c>
      <c r="AG337" s="378"/>
      <c r="AH337" s="378"/>
    </row>
    <row r="338" spans="1:37" s="364" customFormat="1" ht="13.8" x14ac:dyDescent="0.3">
      <c r="A338" s="378"/>
      <c r="B338" s="135" t="s">
        <v>1228</v>
      </c>
      <c r="C338" s="378" t="s">
        <v>297</v>
      </c>
      <c r="D338" s="57" t="s">
        <v>435</v>
      </c>
      <c r="E338" s="907"/>
      <c r="F338" s="744">
        <v>216</v>
      </c>
      <c r="G338" s="907"/>
      <c r="H338" s="755" t="s">
        <v>1214</v>
      </c>
      <c r="I338" s="907"/>
      <c r="J338" s="755" t="s">
        <v>1356</v>
      </c>
      <c r="K338" s="907"/>
      <c r="L338" s="755" t="s">
        <v>1357</v>
      </c>
      <c r="M338" s="902"/>
      <c r="N338" s="489">
        <v>10</v>
      </c>
      <c r="O338" s="909"/>
      <c r="P338" s="746">
        <f t="shared" si="13"/>
        <v>1.1000000000000001</v>
      </c>
      <c r="Q338" s="902"/>
      <c r="R338" s="197">
        <v>0</v>
      </c>
      <c r="S338" s="902"/>
      <c r="T338" s="197">
        <v>0.15</v>
      </c>
      <c r="U338" s="902"/>
      <c r="V338" s="653">
        <f t="shared" si="14"/>
        <v>32</v>
      </c>
      <c r="W338" s="332" t="s">
        <v>14</v>
      </c>
      <c r="X338" s="266" t="s">
        <v>14</v>
      </c>
      <c r="Y338" s="902"/>
      <c r="Z338" s="378" t="s">
        <v>413</v>
      </c>
      <c r="AA338" s="902"/>
      <c r="AB338" s="274" t="s">
        <v>414</v>
      </c>
      <c r="AG338" s="378"/>
      <c r="AH338" s="378"/>
    </row>
    <row r="339" spans="1:37" s="364" customFormat="1" ht="13.8" x14ac:dyDescent="0.3">
      <c r="A339" s="378"/>
      <c r="B339" s="135" t="s">
        <v>1229</v>
      </c>
      <c r="C339" s="378" t="s">
        <v>297</v>
      </c>
      <c r="D339" s="57" t="s">
        <v>435</v>
      </c>
      <c r="E339" s="907"/>
      <c r="F339" s="744">
        <v>135</v>
      </c>
      <c r="G339" s="907"/>
      <c r="H339" s="755" t="s">
        <v>1214</v>
      </c>
      <c r="I339" s="907"/>
      <c r="J339" s="755" t="s">
        <v>1356</v>
      </c>
      <c r="K339" s="907"/>
      <c r="L339" s="755" t="s">
        <v>1357</v>
      </c>
      <c r="M339" s="902"/>
      <c r="N339" s="489">
        <v>10</v>
      </c>
      <c r="O339" s="909"/>
      <c r="P339" s="746">
        <f t="shared" si="13"/>
        <v>0.7</v>
      </c>
      <c r="Q339" s="902"/>
      <c r="R339" s="197">
        <v>0</v>
      </c>
      <c r="S339" s="902"/>
      <c r="T339" s="197">
        <v>0.15</v>
      </c>
      <c r="U339" s="902"/>
      <c r="V339" s="653">
        <f t="shared" si="14"/>
        <v>20</v>
      </c>
      <c r="W339" s="332" t="s">
        <v>14</v>
      </c>
      <c r="X339" s="266" t="s">
        <v>14</v>
      </c>
      <c r="Y339" s="902"/>
      <c r="Z339" s="378" t="s">
        <v>413</v>
      </c>
      <c r="AA339" s="902"/>
      <c r="AB339" s="274" t="s">
        <v>414</v>
      </c>
      <c r="AG339" s="378"/>
      <c r="AH339" s="378"/>
    </row>
    <row r="340" spans="1:37" s="364" customFormat="1" x14ac:dyDescent="0.3">
      <c r="A340" s="378"/>
      <c r="B340" s="135" t="s">
        <v>1230</v>
      </c>
      <c r="C340" s="378" t="s">
        <v>297</v>
      </c>
      <c r="D340" s="57" t="s">
        <v>435</v>
      </c>
      <c r="E340" s="907"/>
      <c r="F340" s="744">
        <v>135</v>
      </c>
      <c r="G340" s="907"/>
      <c r="H340" s="755" t="s">
        <v>1214</v>
      </c>
      <c r="I340" s="907"/>
      <c r="J340" s="755" t="s">
        <v>1356</v>
      </c>
      <c r="K340" s="907"/>
      <c r="L340" s="755" t="s">
        <v>1357</v>
      </c>
      <c r="M340" s="902"/>
      <c r="N340" s="489">
        <v>10</v>
      </c>
      <c r="O340" s="909"/>
      <c r="P340" s="746">
        <f t="shared" si="13"/>
        <v>0.7</v>
      </c>
      <c r="Q340" s="902"/>
      <c r="R340" s="197">
        <v>0</v>
      </c>
      <c r="S340" s="902"/>
      <c r="T340" s="197">
        <v>0.15</v>
      </c>
      <c r="U340" s="902"/>
      <c r="V340" s="653">
        <f t="shared" si="14"/>
        <v>20</v>
      </c>
      <c r="W340" s="332" t="s">
        <v>14</v>
      </c>
      <c r="X340" s="266" t="s">
        <v>14</v>
      </c>
      <c r="Y340" s="902"/>
      <c r="Z340" s="378" t="s">
        <v>413</v>
      </c>
      <c r="AA340" s="902"/>
      <c r="AB340" s="274" t="s">
        <v>414</v>
      </c>
      <c r="AG340" s="86"/>
      <c r="AH340" s="86"/>
      <c r="AI340" s="86"/>
      <c r="AJ340" s="635"/>
      <c r="AK340" s="635"/>
    </row>
    <row r="341" spans="1:37" s="364" customFormat="1" x14ac:dyDescent="0.3">
      <c r="A341" s="378"/>
      <c r="B341" s="135" t="s">
        <v>1231</v>
      </c>
      <c r="C341" s="378" t="s">
        <v>297</v>
      </c>
      <c r="D341" s="57" t="s">
        <v>435</v>
      </c>
      <c r="E341" s="907"/>
      <c r="F341" s="744">
        <v>135</v>
      </c>
      <c r="G341" s="907"/>
      <c r="H341" s="755" t="s">
        <v>1214</v>
      </c>
      <c r="I341" s="907"/>
      <c r="J341" s="755" t="s">
        <v>1356</v>
      </c>
      <c r="K341" s="907"/>
      <c r="L341" s="755" t="s">
        <v>1357</v>
      </c>
      <c r="M341" s="902"/>
      <c r="N341" s="489">
        <v>10</v>
      </c>
      <c r="O341" s="909"/>
      <c r="P341" s="746">
        <f t="shared" si="13"/>
        <v>0.7</v>
      </c>
      <c r="Q341" s="902"/>
      <c r="R341" s="197">
        <v>0</v>
      </c>
      <c r="S341" s="902"/>
      <c r="T341" s="197">
        <v>0.15</v>
      </c>
      <c r="U341" s="902"/>
      <c r="V341" s="653">
        <f t="shared" si="14"/>
        <v>20</v>
      </c>
      <c r="W341" s="332" t="s">
        <v>14</v>
      </c>
      <c r="X341" s="266" t="s">
        <v>14</v>
      </c>
      <c r="Y341" s="902"/>
      <c r="Z341" s="378" t="s">
        <v>413</v>
      </c>
      <c r="AA341" s="902"/>
      <c r="AB341" s="274" t="s">
        <v>414</v>
      </c>
      <c r="AG341" s="86"/>
      <c r="AH341" s="86"/>
      <c r="AI341" s="86"/>
      <c r="AJ341" s="635"/>
      <c r="AK341" s="635"/>
    </row>
    <row r="342" spans="1:37" s="364" customFormat="1" x14ac:dyDescent="0.3">
      <c r="A342" s="378"/>
      <c r="B342" s="135" t="s">
        <v>1232</v>
      </c>
      <c r="C342" s="378" t="s">
        <v>297</v>
      </c>
      <c r="D342" s="57" t="s">
        <v>435</v>
      </c>
      <c r="E342" s="907"/>
      <c r="F342" s="744">
        <v>135</v>
      </c>
      <c r="G342" s="907"/>
      <c r="H342" s="755" t="s">
        <v>1214</v>
      </c>
      <c r="I342" s="907"/>
      <c r="J342" s="755" t="s">
        <v>1356</v>
      </c>
      <c r="K342" s="907"/>
      <c r="L342" s="755" t="s">
        <v>1357</v>
      </c>
      <c r="M342" s="902"/>
      <c r="N342" s="489">
        <v>10</v>
      </c>
      <c r="O342" s="909"/>
      <c r="P342" s="746">
        <f t="shared" si="13"/>
        <v>0.7</v>
      </c>
      <c r="Q342" s="902"/>
      <c r="R342" s="197">
        <v>0</v>
      </c>
      <c r="S342" s="902"/>
      <c r="T342" s="197">
        <v>0.15</v>
      </c>
      <c r="U342" s="902"/>
      <c r="V342" s="653">
        <f t="shared" si="14"/>
        <v>20</v>
      </c>
      <c r="W342" s="332" t="s">
        <v>14</v>
      </c>
      <c r="X342" s="266" t="s">
        <v>14</v>
      </c>
      <c r="Y342" s="902"/>
      <c r="Z342" s="378" t="s">
        <v>413</v>
      </c>
      <c r="AA342" s="902"/>
      <c r="AB342" s="274" t="s">
        <v>414</v>
      </c>
      <c r="AG342" s="783"/>
      <c r="AH342" s="86"/>
      <c r="AI342" s="86"/>
      <c r="AJ342" s="635"/>
      <c r="AK342" s="635"/>
    </row>
    <row r="343" spans="1:37" s="364" customFormat="1" x14ac:dyDescent="0.3">
      <c r="A343" s="378"/>
      <c r="B343" s="135" t="s">
        <v>1233</v>
      </c>
      <c r="C343" s="378" t="s">
        <v>297</v>
      </c>
      <c r="D343" s="57" t="s">
        <v>435</v>
      </c>
      <c r="E343" s="907"/>
      <c r="F343" s="744">
        <v>216.1</v>
      </c>
      <c r="G343" s="907"/>
      <c r="H343" s="755" t="s">
        <v>1214</v>
      </c>
      <c r="I343" s="907"/>
      <c r="J343" s="755" t="s">
        <v>1356</v>
      </c>
      <c r="K343" s="907"/>
      <c r="L343" s="755" t="s">
        <v>1357</v>
      </c>
      <c r="M343" s="902"/>
      <c r="N343" s="489">
        <v>10</v>
      </c>
      <c r="O343" s="909"/>
      <c r="P343" s="746">
        <f t="shared" si="13"/>
        <v>1.1000000000000001</v>
      </c>
      <c r="Q343" s="902"/>
      <c r="R343" s="197">
        <v>0</v>
      </c>
      <c r="S343" s="902"/>
      <c r="T343" s="197">
        <v>0.15</v>
      </c>
      <c r="U343" s="902"/>
      <c r="V343" s="653">
        <f t="shared" si="14"/>
        <v>32</v>
      </c>
      <c r="W343" s="332" t="s">
        <v>14</v>
      </c>
      <c r="X343" s="266" t="s">
        <v>14</v>
      </c>
      <c r="Y343" s="902"/>
      <c r="Z343" s="378" t="s">
        <v>413</v>
      </c>
      <c r="AA343" s="902"/>
      <c r="AB343" s="274" t="s">
        <v>414</v>
      </c>
      <c r="AG343" s="86"/>
      <c r="AH343" s="86"/>
      <c r="AI343" s="86"/>
      <c r="AJ343" s="635"/>
      <c r="AK343" s="635"/>
    </row>
    <row r="344" spans="1:37" s="364" customFormat="1" x14ac:dyDescent="0.3">
      <c r="A344" s="378"/>
      <c r="B344" s="135" t="s">
        <v>1234</v>
      </c>
      <c r="C344" s="378" t="s">
        <v>297</v>
      </c>
      <c r="D344" s="57" t="s">
        <v>435</v>
      </c>
      <c r="E344" s="907"/>
      <c r="F344" s="744">
        <v>216.1</v>
      </c>
      <c r="G344" s="907"/>
      <c r="H344" s="755" t="s">
        <v>1214</v>
      </c>
      <c r="I344" s="907"/>
      <c r="J344" s="755" t="s">
        <v>1356</v>
      </c>
      <c r="K344" s="907"/>
      <c r="L344" s="755" t="s">
        <v>1357</v>
      </c>
      <c r="M344" s="902"/>
      <c r="N344" s="489">
        <v>10</v>
      </c>
      <c r="O344" s="909"/>
      <c r="P344" s="746">
        <f t="shared" si="13"/>
        <v>1.1000000000000001</v>
      </c>
      <c r="Q344" s="902"/>
      <c r="R344" s="197">
        <v>0</v>
      </c>
      <c r="S344" s="902"/>
      <c r="T344" s="197">
        <v>0.15</v>
      </c>
      <c r="U344" s="902"/>
      <c r="V344" s="653">
        <f t="shared" si="14"/>
        <v>32</v>
      </c>
      <c r="W344" s="332" t="s">
        <v>14</v>
      </c>
      <c r="X344" s="266" t="s">
        <v>14</v>
      </c>
      <c r="Y344" s="902"/>
      <c r="Z344" s="378" t="s">
        <v>413</v>
      </c>
      <c r="AA344" s="902"/>
      <c r="AB344" s="274" t="s">
        <v>414</v>
      </c>
      <c r="AG344" s="86"/>
      <c r="AH344" s="86"/>
      <c r="AI344" s="86"/>
      <c r="AJ344" s="635"/>
      <c r="AK344" s="635"/>
    </row>
    <row r="345" spans="1:37" s="364" customFormat="1" x14ac:dyDescent="0.3">
      <c r="A345" s="378"/>
      <c r="B345" s="135" t="s">
        <v>1235</v>
      </c>
      <c r="C345" s="378" t="s">
        <v>297</v>
      </c>
      <c r="D345" s="57" t="s">
        <v>435</v>
      </c>
      <c r="E345" s="907"/>
      <c r="F345" s="744">
        <v>216.1</v>
      </c>
      <c r="G345" s="907"/>
      <c r="H345" s="755" t="s">
        <v>1214</v>
      </c>
      <c r="I345" s="907"/>
      <c r="J345" s="755" t="s">
        <v>1356</v>
      </c>
      <c r="K345" s="907"/>
      <c r="L345" s="755" t="s">
        <v>1357</v>
      </c>
      <c r="M345" s="902"/>
      <c r="N345" s="489">
        <v>10</v>
      </c>
      <c r="O345" s="909"/>
      <c r="P345" s="746">
        <f t="shared" si="13"/>
        <v>1.1000000000000001</v>
      </c>
      <c r="Q345" s="902"/>
      <c r="R345" s="197">
        <v>0</v>
      </c>
      <c r="S345" s="902"/>
      <c r="T345" s="197">
        <v>0.15</v>
      </c>
      <c r="U345" s="902"/>
      <c r="V345" s="653">
        <f t="shared" si="14"/>
        <v>32</v>
      </c>
      <c r="W345" s="332" t="s">
        <v>14</v>
      </c>
      <c r="X345" s="266" t="s">
        <v>14</v>
      </c>
      <c r="Y345" s="902"/>
      <c r="Z345" s="378" t="s">
        <v>413</v>
      </c>
      <c r="AA345" s="902"/>
      <c r="AB345" s="274" t="s">
        <v>414</v>
      </c>
      <c r="AG345" s="86"/>
      <c r="AH345" s="86"/>
      <c r="AI345" s="86"/>
      <c r="AJ345" s="635"/>
      <c r="AK345" s="635"/>
    </row>
    <row r="346" spans="1:37" s="364" customFormat="1" x14ac:dyDescent="0.3">
      <c r="A346" s="378"/>
      <c r="B346" s="135" t="s">
        <v>1236</v>
      </c>
      <c r="C346" s="378" t="s">
        <v>297</v>
      </c>
      <c r="D346" s="57" t="s">
        <v>435</v>
      </c>
      <c r="E346" s="907"/>
      <c r="F346" s="744">
        <v>216.1</v>
      </c>
      <c r="G346" s="907"/>
      <c r="H346" s="755" t="s">
        <v>1214</v>
      </c>
      <c r="I346" s="907"/>
      <c r="J346" s="755" t="s">
        <v>1356</v>
      </c>
      <c r="K346" s="907"/>
      <c r="L346" s="755" t="s">
        <v>1357</v>
      </c>
      <c r="M346" s="902"/>
      <c r="N346" s="489">
        <v>10</v>
      </c>
      <c r="O346" s="909"/>
      <c r="P346" s="746">
        <f t="shared" si="13"/>
        <v>1.1000000000000001</v>
      </c>
      <c r="Q346" s="902"/>
      <c r="R346" s="197">
        <v>0</v>
      </c>
      <c r="S346" s="902"/>
      <c r="T346" s="197">
        <v>0.15</v>
      </c>
      <c r="U346" s="902"/>
      <c r="V346" s="653">
        <f t="shared" si="14"/>
        <v>32</v>
      </c>
      <c r="W346" s="332" t="s">
        <v>14</v>
      </c>
      <c r="X346" s="266" t="s">
        <v>14</v>
      </c>
      <c r="Y346" s="902"/>
      <c r="Z346" s="378" t="s">
        <v>413</v>
      </c>
      <c r="AA346" s="902"/>
      <c r="AB346" s="274" t="s">
        <v>414</v>
      </c>
      <c r="AH346" s="86"/>
      <c r="AI346" s="86"/>
      <c r="AJ346" s="635"/>
      <c r="AK346" s="635"/>
    </row>
    <row r="347" spans="1:37" s="364" customFormat="1" x14ac:dyDescent="0.3">
      <c r="A347" s="378"/>
      <c r="B347" s="135" t="s">
        <v>1237</v>
      </c>
      <c r="C347" s="378" t="s">
        <v>297</v>
      </c>
      <c r="D347" s="57" t="s">
        <v>435</v>
      </c>
      <c r="E347" s="907"/>
      <c r="F347" s="744">
        <v>216.1</v>
      </c>
      <c r="G347" s="907"/>
      <c r="H347" s="755" t="s">
        <v>1214</v>
      </c>
      <c r="I347" s="907"/>
      <c r="J347" s="755" t="s">
        <v>1356</v>
      </c>
      <c r="K347" s="907"/>
      <c r="L347" s="755" t="s">
        <v>1357</v>
      </c>
      <c r="M347" s="902"/>
      <c r="N347" s="489">
        <v>10</v>
      </c>
      <c r="O347" s="909"/>
      <c r="P347" s="746">
        <f t="shared" si="13"/>
        <v>1.1000000000000001</v>
      </c>
      <c r="Q347" s="902"/>
      <c r="R347" s="197">
        <v>0</v>
      </c>
      <c r="S347" s="902"/>
      <c r="T347" s="197">
        <v>0.15</v>
      </c>
      <c r="U347" s="902"/>
      <c r="V347" s="653">
        <f t="shared" si="14"/>
        <v>32</v>
      </c>
      <c r="W347" s="332" t="s">
        <v>14</v>
      </c>
      <c r="X347" s="266" t="s">
        <v>14</v>
      </c>
      <c r="Y347" s="902"/>
      <c r="Z347" s="378" t="s">
        <v>413</v>
      </c>
      <c r="AA347" s="902"/>
      <c r="AB347" s="274" t="s">
        <v>414</v>
      </c>
      <c r="AG347" s="86"/>
      <c r="AH347" s="86"/>
      <c r="AI347" s="82"/>
      <c r="AJ347" s="784"/>
      <c r="AK347" s="635"/>
    </row>
    <row r="348" spans="1:37" s="364" customFormat="1" x14ac:dyDescent="0.3">
      <c r="A348" s="378"/>
      <c r="B348" s="135" t="s">
        <v>1238</v>
      </c>
      <c r="C348" s="378" t="s">
        <v>297</v>
      </c>
      <c r="D348" s="57" t="s">
        <v>435</v>
      </c>
      <c r="E348" s="907"/>
      <c r="F348" s="744">
        <v>216.1</v>
      </c>
      <c r="G348" s="907"/>
      <c r="H348" s="755" t="s">
        <v>1214</v>
      </c>
      <c r="I348" s="907"/>
      <c r="J348" s="755" t="s">
        <v>1356</v>
      </c>
      <c r="K348" s="907"/>
      <c r="L348" s="755" t="s">
        <v>1357</v>
      </c>
      <c r="M348" s="902"/>
      <c r="N348" s="489">
        <v>10</v>
      </c>
      <c r="O348" s="909"/>
      <c r="P348" s="746">
        <f t="shared" si="13"/>
        <v>1.1000000000000001</v>
      </c>
      <c r="Q348" s="902"/>
      <c r="R348" s="197">
        <v>0</v>
      </c>
      <c r="S348" s="902"/>
      <c r="T348" s="197">
        <v>0.15</v>
      </c>
      <c r="U348" s="902"/>
      <c r="V348" s="653">
        <f t="shared" si="14"/>
        <v>32</v>
      </c>
      <c r="W348" s="332" t="s">
        <v>14</v>
      </c>
      <c r="X348" s="266" t="s">
        <v>14</v>
      </c>
      <c r="Y348" s="902"/>
      <c r="Z348" s="378" t="s">
        <v>413</v>
      </c>
      <c r="AA348" s="902"/>
      <c r="AB348" s="274" t="s">
        <v>414</v>
      </c>
      <c r="AG348" s="86"/>
      <c r="AH348" s="86"/>
      <c r="AJ348" s="635"/>
      <c r="AK348" s="635"/>
    </row>
    <row r="349" spans="1:37" s="364" customFormat="1" x14ac:dyDescent="0.3">
      <c r="A349" s="378"/>
      <c r="B349" s="135" t="s">
        <v>1239</v>
      </c>
      <c r="C349" s="378" t="s">
        <v>297</v>
      </c>
      <c r="D349" s="57" t="s">
        <v>435</v>
      </c>
      <c r="E349" s="907"/>
      <c r="F349" s="744">
        <v>216.1</v>
      </c>
      <c r="G349" s="907"/>
      <c r="H349" s="755" t="s">
        <v>1214</v>
      </c>
      <c r="I349" s="907"/>
      <c r="J349" s="755" t="s">
        <v>1356</v>
      </c>
      <c r="K349" s="907"/>
      <c r="L349" s="755" t="s">
        <v>1357</v>
      </c>
      <c r="M349" s="902"/>
      <c r="N349" s="489">
        <v>10</v>
      </c>
      <c r="O349" s="909"/>
      <c r="P349" s="746">
        <f t="shared" si="13"/>
        <v>1.1000000000000001</v>
      </c>
      <c r="Q349" s="902"/>
      <c r="R349" s="197">
        <v>0</v>
      </c>
      <c r="S349" s="902"/>
      <c r="T349" s="197">
        <v>0.15</v>
      </c>
      <c r="U349" s="902"/>
      <c r="V349" s="653">
        <f t="shared" si="14"/>
        <v>32</v>
      </c>
      <c r="W349" s="332" t="s">
        <v>14</v>
      </c>
      <c r="X349" s="266" t="s">
        <v>14</v>
      </c>
      <c r="Y349" s="902"/>
      <c r="Z349" s="378" t="s">
        <v>413</v>
      </c>
      <c r="AA349" s="902"/>
      <c r="AB349" s="274" t="s">
        <v>414</v>
      </c>
      <c r="AG349" s="86"/>
      <c r="AH349" s="86"/>
      <c r="AI349" s="86"/>
      <c r="AJ349" s="635"/>
      <c r="AK349" s="635"/>
    </row>
    <row r="350" spans="1:37" s="364" customFormat="1" x14ac:dyDescent="0.3">
      <c r="A350" s="378"/>
      <c r="B350" s="135" t="s">
        <v>1240</v>
      </c>
      <c r="C350" s="378" t="s">
        <v>297</v>
      </c>
      <c r="D350" s="57" t="s">
        <v>435</v>
      </c>
      <c r="E350" s="907"/>
      <c r="F350" s="744">
        <v>216.1</v>
      </c>
      <c r="G350" s="907"/>
      <c r="H350" s="755" t="s">
        <v>1214</v>
      </c>
      <c r="I350" s="907"/>
      <c r="J350" s="755" t="s">
        <v>1356</v>
      </c>
      <c r="K350" s="907"/>
      <c r="L350" s="755" t="s">
        <v>1357</v>
      </c>
      <c r="M350" s="902"/>
      <c r="N350" s="489">
        <v>10</v>
      </c>
      <c r="O350" s="909"/>
      <c r="P350" s="746">
        <f t="shared" si="13"/>
        <v>1.1000000000000001</v>
      </c>
      <c r="Q350" s="902"/>
      <c r="R350" s="197">
        <v>0</v>
      </c>
      <c r="S350" s="902"/>
      <c r="T350" s="197">
        <v>0.15</v>
      </c>
      <c r="U350" s="902"/>
      <c r="V350" s="653">
        <f t="shared" si="14"/>
        <v>32</v>
      </c>
      <c r="W350" s="332" t="s">
        <v>14</v>
      </c>
      <c r="X350" s="266" t="s">
        <v>14</v>
      </c>
      <c r="Y350" s="902"/>
      <c r="Z350" s="378" t="s">
        <v>413</v>
      </c>
      <c r="AA350" s="902"/>
      <c r="AB350" s="274" t="s">
        <v>414</v>
      </c>
      <c r="AG350" s="86"/>
      <c r="AH350" s="86"/>
      <c r="AI350" s="86"/>
      <c r="AJ350" s="635"/>
      <c r="AK350" s="635"/>
    </row>
    <row r="351" spans="1:37" s="364" customFormat="1" x14ac:dyDescent="0.3">
      <c r="A351" s="378"/>
      <c r="B351" s="316" t="s">
        <v>1241</v>
      </c>
      <c r="C351" s="158" t="s">
        <v>297</v>
      </c>
      <c r="D351" s="476" t="s">
        <v>435</v>
      </c>
      <c r="E351" s="910"/>
      <c r="F351" s="748">
        <v>351</v>
      </c>
      <c r="G351" s="910"/>
      <c r="H351" s="757" t="s">
        <v>1214</v>
      </c>
      <c r="I351" s="911"/>
      <c r="J351" s="757" t="s">
        <v>1356</v>
      </c>
      <c r="K351" s="911"/>
      <c r="L351" s="757" t="s">
        <v>1357</v>
      </c>
      <c r="M351" s="895"/>
      <c r="N351" s="446">
        <v>10</v>
      </c>
      <c r="O351" s="911"/>
      <c r="P351" s="750">
        <f>ROUND(F351/1000*N351*0.5,1)</f>
        <v>1.8</v>
      </c>
      <c r="Q351" s="895"/>
      <c r="R351" s="199">
        <v>0</v>
      </c>
      <c r="S351" s="895"/>
      <c r="T351" s="199">
        <v>0.15</v>
      </c>
      <c r="U351" s="895"/>
      <c r="V351" s="675">
        <f t="shared" si="14"/>
        <v>53</v>
      </c>
      <c r="W351" s="333" t="s">
        <v>14</v>
      </c>
      <c r="X351" s="273" t="s">
        <v>14</v>
      </c>
      <c r="Y351" s="895"/>
      <c r="Z351" s="158" t="s">
        <v>413</v>
      </c>
      <c r="AA351" s="895"/>
      <c r="AB351" s="252" t="s">
        <v>414</v>
      </c>
      <c r="AG351" s="86"/>
      <c r="AH351" s="86"/>
      <c r="AI351" s="86"/>
      <c r="AJ351" s="635"/>
      <c r="AK351" s="635"/>
    </row>
    <row r="352" spans="1:37" s="86" customFormat="1" x14ac:dyDescent="0.3">
      <c r="A352" s="82"/>
      <c r="B352" s="85"/>
      <c r="C352" s="83"/>
      <c r="E352" s="362"/>
      <c r="G352" s="25"/>
      <c r="I352" s="87"/>
      <c r="K352" s="87"/>
      <c r="M352" s="87"/>
      <c r="O352" s="87"/>
      <c r="Q352" s="82"/>
      <c r="R352" s="82"/>
      <c r="S352" s="82"/>
      <c r="T352" s="82"/>
      <c r="U352" s="363"/>
      <c r="V352" s="363"/>
      <c r="W352" s="363"/>
      <c r="X352" s="363"/>
      <c r="AJ352" s="635"/>
      <c r="AK352" s="635"/>
    </row>
    <row r="353" spans="1:52" s="18" customFormat="1" x14ac:dyDescent="0.3">
      <c r="A353" s="403"/>
      <c r="B353" s="407"/>
      <c r="C353" s="67"/>
      <c r="E353" s="627"/>
      <c r="G353" s="655"/>
      <c r="I353" s="655"/>
      <c r="K353" s="655"/>
      <c r="M353" s="655"/>
      <c r="O353" s="655"/>
      <c r="Q353" s="403"/>
      <c r="R353" s="403"/>
      <c r="S353" s="403"/>
      <c r="T353" s="403"/>
      <c r="U353" s="621"/>
      <c r="V353" s="621"/>
      <c r="W353" s="621"/>
      <c r="X353" s="621"/>
      <c r="AF353" s="592"/>
      <c r="AG353" s="86"/>
      <c r="AH353" s="86"/>
      <c r="AI353" s="86"/>
      <c r="AJ353" s="635"/>
      <c r="AK353" s="635"/>
    </row>
    <row r="354" spans="1:52" s="378" customFormat="1" ht="41.4" x14ac:dyDescent="0.3">
      <c r="A354" s="363"/>
      <c r="B354" s="108" t="s">
        <v>138</v>
      </c>
      <c r="C354" s="113" t="s">
        <v>291</v>
      </c>
      <c r="D354" s="113" t="s">
        <v>433</v>
      </c>
      <c r="E354" s="108"/>
      <c r="F354" s="538" t="s">
        <v>505</v>
      </c>
      <c r="G354" s="751"/>
      <c r="H354" s="116" t="s">
        <v>190</v>
      </c>
      <c r="I354" s="751"/>
      <c r="J354" s="324" t="s">
        <v>601</v>
      </c>
      <c r="K354" s="751"/>
      <c r="L354" s="538" t="s">
        <v>1346</v>
      </c>
      <c r="M354" s="751"/>
      <c r="N354" s="324" t="s">
        <v>1210</v>
      </c>
      <c r="O354" s="751"/>
      <c r="P354" s="538" t="s">
        <v>1347</v>
      </c>
      <c r="Q354" s="751"/>
      <c r="R354" s="538" t="s">
        <v>988</v>
      </c>
      <c r="S354" s="280"/>
      <c r="T354" s="324" t="s">
        <v>591</v>
      </c>
      <c r="U354" s="538"/>
      <c r="V354" s="538" t="s">
        <v>977</v>
      </c>
      <c r="W354" s="280"/>
      <c r="X354" s="168" t="s">
        <v>1266</v>
      </c>
      <c r="Y354" s="647"/>
      <c r="Z354" s="168" t="s">
        <v>1306</v>
      </c>
      <c r="AA354" s="647"/>
      <c r="AB354" s="110" t="s">
        <v>1267</v>
      </c>
      <c r="AC354" s="189"/>
      <c r="AD354" s="168" t="s">
        <v>1211</v>
      </c>
      <c r="AE354" s="298"/>
      <c r="AF354" s="142" t="s">
        <v>292</v>
      </c>
      <c r="AG354" s="125"/>
      <c r="AH354" s="142" t="s">
        <v>293</v>
      </c>
      <c r="AI354" s="18"/>
      <c r="AJ354" s="86"/>
      <c r="AK354" s="86"/>
      <c r="AL354" s="86"/>
      <c r="AN354" s="363"/>
      <c r="AO354" s="364"/>
      <c r="AP354" s="363"/>
      <c r="AQ354" s="645"/>
      <c r="AR354" s="642"/>
      <c r="AW354" s="363"/>
      <c r="AX354" s="363"/>
      <c r="AY354" s="363"/>
      <c r="AZ354" s="363"/>
    </row>
    <row r="355" spans="1:52" s="82" customFormat="1" ht="28.2" thickBot="1" x14ac:dyDescent="0.35">
      <c r="B355" s="320" t="s">
        <v>1348</v>
      </c>
      <c r="C355" s="171" t="s">
        <v>286</v>
      </c>
      <c r="D355" s="648"/>
      <c r="E355" s="650"/>
      <c r="F355" s="171" t="s">
        <v>1349</v>
      </c>
      <c r="G355" s="173"/>
      <c r="H355" s="215" t="s">
        <v>247</v>
      </c>
      <c r="I355" s="173"/>
      <c r="J355" s="171"/>
      <c r="K355" s="173"/>
      <c r="L355" s="171" t="s">
        <v>1350</v>
      </c>
      <c r="M355" s="173"/>
      <c r="N355" s="171" t="s">
        <v>1212</v>
      </c>
      <c r="O355" s="173"/>
      <c r="P355" s="343" t="s">
        <v>1351</v>
      </c>
      <c r="Q355" s="173"/>
      <c r="R355" s="343" t="s">
        <v>1352</v>
      </c>
      <c r="S355" s="320"/>
      <c r="T355" s="117" t="s">
        <v>145</v>
      </c>
      <c r="U355" s="126"/>
      <c r="V355" s="117"/>
      <c r="W355" s="320"/>
      <c r="X355" s="117" t="s">
        <v>1353</v>
      </c>
      <c r="Y355" s="651"/>
      <c r="Z355" s="117" t="s">
        <v>1268</v>
      </c>
      <c r="AA355" s="651"/>
      <c r="AB355" s="143" t="s">
        <v>1354</v>
      </c>
      <c r="AC355" s="126"/>
      <c r="AD355" s="117" t="s">
        <v>1386</v>
      </c>
      <c r="AE355" s="643"/>
      <c r="AF355" s="344" t="s">
        <v>287</v>
      </c>
      <c r="AG355" s="643"/>
      <c r="AH355" s="344" t="s">
        <v>288</v>
      </c>
      <c r="AI355" s="18"/>
      <c r="AJ355" s="86"/>
      <c r="AK355" s="86"/>
      <c r="AL355" s="86"/>
      <c r="AM355" s="635"/>
      <c r="AN355" s="635"/>
      <c r="AQ355" s="635"/>
      <c r="AR355" s="635"/>
      <c r="AS355" s="635"/>
      <c r="AT355" s="635"/>
      <c r="AU355" s="635"/>
      <c r="AV355" s="635"/>
      <c r="AW355" s="635"/>
      <c r="AX355" s="635"/>
      <c r="AY355" s="635"/>
      <c r="AZ355" s="635"/>
    </row>
    <row r="356" spans="1:52" s="82" customFormat="1" ht="28.2" thickTop="1" x14ac:dyDescent="0.3">
      <c r="B356" s="122" t="s">
        <v>1307</v>
      </c>
      <c r="C356" s="378" t="s">
        <v>297</v>
      </c>
      <c r="D356" s="57" t="s">
        <v>435</v>
      </c>
      <c r="E356" s="225"/>
      <c r="F356" s="378" t="s">
        <v>1242</v>
      </c>
      <c r="G356" s="912"/>
      <c r="H356" s="744" t="s">
        <v>1355</v>
      </c>
      <c r="I356" s="912"/>
      <c r="J356" s="744">
        <v>351</v>
      </c>
      <c r="K356" s="912"/>
      <c r="L356" s="799">
        <v>1</v>
      </c>
      <c r="M356" s="912"/>
      <c r="N356" s="744" t="s">
        <v>1214</v>
      </c>
      <c r="O356" s="912"/>
      <c r="P356" s="744" t="s">
        <v>1356</v>
      </c>
      <c r="Q356" s="912"/>
      <c r="R356" s="744" t="s">
        <v>1357</v>
      </c>
      <c r="S356" s="912"/>
      <c r="T356" s="785">
        <v>5</v>
      </c>
      <c r="U356" s="902"/>
      <c r="V356" s="786">
        <f t="shared" ref="V356:V380" si="15">ROUND(J356/1000*T356*0.5,2)</f>
        <v>0.88</v>
      </c>
      <c r="W356" s="902"/>
      <c r="X356" s="378" t="s">
        <v>1272</v>
      </c>
      <c r="Y356" s="902"/>
      <c r="Z356" s="791">
        <f t="shared" ref="Z356:Z390" si="16">IF(AND(H356="High-Rise Residential Living Spaces"),((0.06*J356)+(5*V356)),IF(AND(LEFT(B356,9)="GuestRoom",H356="Hotel/Motel Guest Room",J356/L356&lt;500),L356*30))</f>
        <v>30</v>
      </c>
      <c r="AA356" s="902"/>
      <c r="AB356" s="197" t="s">
        <v>342</v>
      </c>
      <c r="AC356" s="332" t="s">
        <v>14</v>
      </c>
      <c r="AD356" s="266" t="s">
        <v>14</v>
      </c>
      <c r="AE356" s="902"/>
      <c r="AF356" s="367" t="s">
        <v>822</v>
      </c>
      <c r="AG356" s="902"/>
      <c r="AH356" s="367" t="s">
        <v>823</v>
      </c>
      <c r="AI356" s="18"/>
      <c r="AJ356" s="925"/>
      <c r="AK356" s="86"/>
      <c r="AL356" s="86"/>
      <c r="AM356" s="635"/>
      <c r="AN356" s="635"/>
      <c r="AQ356" s="635"/>
      <c r="AR356" s="635"/>
      <c r="AS356" s="635"/>
      <c r="AT356" s="635"/>
      <c r="AU356" s="635"/>
      <c r="AV356" s="635"/>
      <c r="AW356" s="635"/>
      <c r="AX356" s="635"/>
      <c r="AY356" s="635"/>
      <c r="AZ356" s="635"/>
    </row>
    <row r="357" spans="1:52" s="82" customFormat="1" ht="27.6" x14ac:dyDescent="0.3">
      <c r="B357" s="122" t="s">
        <v>1308</v>
      </c>
      <c r="C357" s="378" t="s">
        <v>297</v>
      </c>
      <c r="D357" s="57" t="s">
        <v>435</v>
      </c>
      <c r="E357" s="225"/>
      <c r="F357" s="378" t="s">
        <v>1243</v>
      </c>
      <c r="G357" s="907"/>
      <c r="H357" s="744" t="s">
        <v>1355</v>
      </c>
      <c r="I357" s="907"/>
      <c r="J357" s="744">
        <v>351</v>
      </c>
      <c r="K357" s="907"/>
      <c r="L357" s="799">
        <v>1</v>
      </c>
      <c r="M357" s="907"/>
      <c r="N357" s="744" t="s">
        <v>1214</v>
      </c>
      <c r="O357" s="907"/>
      <c r="P357" s="744" t="s">
        <v>1356</v>
      </c>
      <c r="Q357" s="907"/>
      <c r="R357" s="744" t="s">
        <v>1357</v>
      </c>
      <c r="S357" s="907"/>
      <c r="T357" s="785">
        <v>5</v>
      </c>
      <c r="U357" s="902"/>
      <c r="V357" s="786">
        <f t="shared" si="15"/>
        <v>0.88</v>
      </c>
      <c r="W357" s="902"/>
      <c r="X357" s="378" t="s">
        <v>1272</v>
      </c>
      <c r="Y357" s="902"/>
      <c r="Z357" s="791">
        <f t="shared" si="16"/>
        <v>30</v>
      </c>
      <c r="AA357" s="902"/>
      <c r="AB357" s="197" t="s">
        <v>342</v>
      </c>
      <c r="AC357" s="332" t="s">
        <v>14</v>
      </c>
      <c r="AD357" s="266" t="s">
        <v>14</v>
      </c>
      <c r="AE357" s="902"/>
      <c r="AF357" s="367" t="s">
        <v>822</v>
      </c>
      <c r="AG357" s="902"/>
      <c r="AH357" s="367" t="s">
        <v>823</v>
      </c>
      <c r="AI357" s="18"/>
      <c r="AJ357" s="925"/>
      <c r="AQ357" s="635"/>
      <c r="AR357" s="635"/>
      <c r="AS357" s="635"/>
      <c r="AT357" s="635"/>
      <c r="AU357" s="635"/>
      <c r="AV357" s="635"/>
      <c r="AW357" s="635"/>
      <c r="AX357" s="635"/>
      <c r="AY357" s="635"/>
      <c r="AZ357" s="635"/>
    </row>
    <row r="358" spans="1:52" s="82" customFormat="1" ht="27.6" x14ac:dyDescent="0.3">
      <c r="B358" s="122" t="s">
        <v>1309</v>
      </c>
      <c r="C358" s="378" t="s">
        <v>297</v>
      </c>
      <c r="D358" s="57" t="s">
        <v>435</v>
      </c>
      <c r="E358" s="225"/>
      <c r="F358" s="378" t="s">
        <v>1244</v>
      </c>
      <c r="G358" s="907"/>
      <c r="H358" s="744" t="s">
        <v>1355</v>
      </c>
      <c r="I358" s="907"/>
      <c r="J358" s="744">
        <v>351</v>
      </c>
      <c r="K358" s="907"/>
      <c r="L358" s="799">
        <v>1</v>
      </c>
      <c r="M358" s="907"/>
      <c r="N358" s="744" t="s">
        <v>1214</v>
      </c>
      <c r="O358" s="907"/>
      <c r="P358" s="744" t="s">
        <v>1356</v>
      </c>
      <c r="Q358" s="907"/>
      <c r="R358" s="744" t="s">
        <v>1357</v>
      </c>
      <c r="S358" s="907"/>
      <c r="T358" s="785">
        <v>5</v>
      </c>
      <c r="U358" s="902"/>
      <c r="V358" s="786">
        <f t="shared" si="15"/>
        <v>0.88</v>
      </c>
      <c r="W358" s="902"/>
      <c r="X358" s="378" t="s">
        <v>1272</v>
      </c>
      <c r="Y358" s="902"/>
      <c r="Z358" s="791">
        <f t="shared" si="16"/>
        <v>30</v>
      </c>
      <c r="AA358" s="902"/>
      <c r="AB358" s="197" t="s">
        <v>342</v>
      </c>
      <c r="AC358" s="332" t="s">
        <v>14</v>
      </c>
      <c r="AD358" s="266" t="s">
        <v>14</v>
      </c>
      <c r="AE358" s="902"/>
      <c r="AF358" s="367" t="s">
        <v>822</v>
      </c>
      <c r="AG358" s="902"/>
      <c r="AH358" s="367" t="s">
        <v>823</v>
      </c>
      <c r="AI358" s="18"/>
      <c r="AJ358" s="925"/>
      <c r="AQ358" s="635"/>
      <c r="AR358" s="635"/>
      <c r="AS358" s="635"/>
      <c r="AT358" s="635"/>
      <c r="AU358" s="635"/>
      <c r="AV358" s="635"/>
      <c r="AW358" s="635"/>
      <c r="AX358" s="635"/>
      <c r="AY358" s="635"/>
      <c r="AZ358" s="635"/>
    </row>
    <row r="359" spans="1:52" s="82" customFormat="1" ht="27.6" x14ac:dyDescent="0.3">
      <c r="B359" s="122" t="s">
        <v>1310</v>
      </c>
      <c r="C359" s="378" t="s">
        <v>297</v>
      </c>
      <c r="D359" s="57" t="s">
        <v>435</v>
      </c>
      <c r="E359" s="225"/>
      <c r="F359" s="378" t="s">
        <v>1245</v>
      </c>
      <c r="G359" s="907"/>
      <c r="H359" s="744" t="s">
        <v>1355</v>
      </c>
      <c r="I359" s="907"/>
      <c r="J359" s="744">
        <v>351</v>
      </c>
      <c r="K359" s="907"/>
      <c r="L359" s="799">
        <v>1</v>
      </c>
      <c r="M359" s="907"/>
      <c r="N359" s="744" t="s">
        <v>1214</v>
      </c>
      <c r="O359" s="907"/>
      <c r="P359" s="744" t="s">
        <v>1356</v>
      </c>
      <c r="Q359" s="907"/>
      <c r="R359" s="744" t="s">
        <v>1357</v>
      </c>
      <c r="S359" s="907"/>
      <c r="T359" s="785">
        <v>5</v>
      </c>
      <c r="U359" s="902"/>
      <c r="V359" s="786">
        <f t="shared" si="15"/>
        <v>0.88</v>
      </c>
      <c r="W359" s="902"/>
      <c r="X359" s="378" t="s">
        <v>1272</v>
      </c>
      <c r="Y359" s="902"/>
      <c r="Z359" s="791">
        <f t="shared" si="16"/>
        <v>30</v>
      </c>
      <c r="AA359" s="902"/>
      <c r="AB359" s="197" t="s">
        <v>342</v>
      </c>
      <c r="AC359" s="332" t="s">
        <v>14</v>
      </c>
      <c r="AD359" s="266" t="s">
        <v>14</v>
      </c>
      <c r="AE359" s="902"/>
      <c r="AF359" s="367" t="s">
        <v>822</v>
      </c>
      <c r="AG359" s="902"/>
      <c r="AH359" s="367" t="s">
        <v>823</v>
      </c>
      <c r="AI359" s="18"/>
      <c r="AJ359" s="925"/>
      <c r="AQ359" s="635"/>
      <c r="AR359" s="635"/>
      <c r="AS359" s="635"/>
      <c r="AT359" s="635"/>
      <c r="AU359" s="635"/>
      <c r="AV359" s="635"/>
      <c r="AW359" s="635"/>
      <c r="AX359" s="635"/>
      <c r="AY359" s="635"/>
      <c r="AZ359" s="635"/>
    </row>
    <row r="360" spans="1:52" s="82" customFormat="1" ht="27.6" x14ac:dyDescent="0.3">
      <c r="B360" s="122" t="s">
        <v>1311</v>
      </c>
      <c r="C360" s="378" t="s">
        <v>297</v>
      </c>
      <c r="D360" s="57" t="s">
        <v>435</v>
      </c>
      <c r="E360" s="225"/>
      <c r="F360" s="378" t="s">
        <v>1246</v>
      </c>
      <c r="G360" s="907"/>
      <c r="H360" s="744" t="s">
        <v>1355</v>
      </c>
      <c r="I360" s="907"/>
      <c r="J360" s="744">
        <v>351</v>
      </c>
      <c r="K360" s="907"/>
      <c r="L360" s="799">
        <v>1</v>
      </c>
      <c r="M360" s="907"/>
      <c r="N360" s="744" t="s">
        <v>1214</v>
      </c>
      <c r="O360" s="907"/>
      <c r="P360" s="744" t="s">
        <v>1356</v>
      </c>
      <c r="Q360" s="907"/>
      <c r="R360" s="744" t="s">
        <v>1357</v>
      </c>
      <c r="S360" s="907"/>
      <c r="T360" s="785">
        <v>5</v>
      </c>
      <c r="U360" s="902"/>
      <c r="V360" s="786">
        <f t="shared" si="15"/>
        <v>0.88</v>
      </c>
      <c r="W360" s="902"/>
      <c r="X360" s="378" t="s">
        <v>1272</v>
      </c>
      <c r="Y360" s="902"/>
      <c r="Z360" s="791">
        <f t="shared" si="16"/>
        <v>30</v>
      </c>
      <c r="AA360" s="902"/>
      <c r="AB360" s="197" t="s">
        <v>342</v>
      </c>
      <c r="AC360" s="332" t="s">
        <v>14</v>
      </c>
      <c r="AD360" s="266" t="s">
        <v>14</v>
      </c>
      <c r="AE360" s="902"/>
      <c r="AF360" s="367" t="s">
        <v>822</v>
      </c>
      <c r="AG360" s="902"/>
      <c r="AH360" s="367" t="s">
        <v>823</v>
      </c>
      <c r="AI360" s="18"/>
      <c r="AJ360" s="925"/>
      <c r="AQ360" s="635"/>
      <c r="AR360" s="635"/>
      <c r="AS360" s="635"/>
      <c r="AT360" s="635"/>
      <c r="AU360" s="635"/>
      <c r="AV360" s="635"/>
      <c r="AW360" s="635"/>
      <c r="AX360" s="635"/>
      <c r="AY360" s="635"/>
      <c r="AZ360" s="635"/>
    </row>
    <row r="361" spans="1:52" s="82" customFormat="1" ht="27.6" x14ac:dyDescent="0.3">
      <c r="B361" s="122" t="s">
        <v>1312</v>
      </c>
      <c r="C361" s="378" t="s">
        <v>297</v>
      </c>
      <c r="D361" s="57" t="s">
        <v>435</v>
      </c>
      <c r="E361" s="225"/>
      <c r="F361" s="378" t="s">
        <v>1247</v>
      </c>
      <c r="G361" s="907"/>
      <c r="H361" s="744" t="s">
        <v>1355</v>
      </c>
      <c r="I361" s="907"/>
      <c r="J361" s="744">
        <v>351</v>
      </c>
      <c r="K361" s="907"/>
      <c r="L361" s="799">
        <v>1</v>
      </c>
      <c r="M361" s="907"/>
      <c r="N361" s="744" t="s">
        <v>1214</v>
      </c>
      <c r="O361" s="907"/>
      <c r="P361" s="744" t="s">
        <v>1356</v>
      </c>
      <c r="Q361" s="907"/>
      <c r="R361" s="744" t="s">
        <v>1357</v>
      </c>
      <c r="S361" s="907"/>
      <c r="T361" s="785">
        <v>5</v>
      </c>
      <c r="U361" s="902"/>
      <c r="V361" s="786">
        <f t="shared" si="15"/>
        <v>0.88</v>
      </c>
      <c r="W361" s="902"/>
      <c r="X361" s="378" t="s">
        <v>1272</v>
      </c>
      <c r="Y361" s="902"/>
      <c r="Z361" s="791">
        <f t="shared" si="16"/>
        <v>30</v>
      </c>
      <c r="AA361" s="902"/>
      <c r="AB361" s="197" t="s">
        <v>342</v>
      </c>
      <c r="AC361" s="332" t="s">
        <v>14</v>
      </c>
      <c r="AD361" s="266" t="s">
        <v>14</v>
      </c>
      <c r="AE361" s="902"/>
      <c r="AF361" s="367" t="s">
        <v>822</v>
      </c>
      <c r="AG361" s="902"/>
      <c r="AH361" s="367" t="s">
        <v>823</v>
      </c>
      <c r="AI361" s="18"/>
      <c r="AJ361" s="925"/>
      <c r="AQ361" s="635"/>
      <c r="AR361" s="635"/>
      <c r="AS361" s="635"/>
      <c r="AT361" s="635"/>
      <c r="AU361" s="635"/>
      <c r="AV361" s="635"/>
      <c r="AW361" s="635"/>
      <c r="AX361" s="635"/>
      <c r="AY361" s="635"/>
      <c r="AZ361" s="635"/>
    </row>
    <row r="362" spans="1:52" s="82" customFormat="1" ht="27.6" x14ac:dyDescent="0.3">
      <c r="B362" s="122" t="s">
        <v>1313</v>
      </c>
      <c r="C362" s="378" t="s">
        <v>297</v>
      </c>
      <c r="D362" s="57" t="s">
        <v>435</v>
      </c>
      <c r="E362" s="225"/>
      <c r="F362" s="378" t="s">
        <v>1187</v>
      </c>
      <c r="G362" s="907"/>
      <c r="H362" s="744" t="s">
        <v>1355</v>
      </c>
      <c r="I362" s="907"/>
      <c r="J362" s="744">
        <v>1404.1</v>
      </c>
      <c r="K362" s="907"/>
      <c r="L362" s="799">
        <v>4</v>
      </c>
      <c r="M362" s="907"/>
      <c r="N362" s="744" t="s">
        <v>1214</v>
      </c>
      <c r="O362" s="907"/>
      <c r="P362" s="744" t="s">
        <v>1356</v>
      </c>
      <c r="Q362" s="907"/>
      <c r="R362" s="744" t="s">
        <v>1357</v>
      </c>
      <c r="S362" s="907"/>
      <c r="T362" s="785">
        <v>5</v>
      </c>
      <c r="U362" s="902"/>
      <c r="V362" s="786">
        <f t="shared" si="15"/>
        <v>3.51</v>
      </c>
      <c r="W362" s="902"/>
      <c r="X362" s="378" t="s">
        <v>1272</v>
      </c>
      <c r="Y362" s="902"/>
      <c r="Z362" s="791">
        <f t="shared" si="16"/>
        <v>120</v>
      </c>
      <c r="AA362" s="902"/>
      <c r="AB362" s="197" t="s">
        <v>342</v>
      </c>
      <c r="AC362" s="332" t="s">
        <v>14</v>
      </c>
      <c r="AD362" s="266" t="s">
        <v>14</v>
      </c>
      <c r="AE362" s="902"/>
      <c r="AF362" s="367" t="s">
        <v>822</v>
      </c>
      <c r="AG362" s="902"/>
      <c r="AH362" s="367" t="s">
        <v>823</v>
      </c>
      <c r="AI362" s="18"/>
      <c r="AJ362" s="925"/>
      <c r="AQ362" s="635"/>
      <c r="AR362" s="635"/>
      <c r="AS362" s="635"/>
      <c r="AT362" s="635"/>
      <c r="AU362" s="635"/>
      <c r="AV362" s="635"/>
      <c r="AW362" s="635"/>
      <c r="AX362" s="635"/>
      <c r="AY362" s="635"/>
      <c r="AZ362" s="635"/>
    </row>
    <row r="363" spans="1:52" s="82" customFormat="1" ht="27.6" x14ac:dyDescent="0.3">
      <c r="B363" s="122" t="s">
        <v>1314</v>
      </c>
      <c r="C363" s="378" t="s">
        <v>297</v>
      </c>
      <c r="D363" s="57" t="s">
        <v>435</v>
      </c>
      <c r="E363" s="225"/>
      <c r="F363" s="378" t="s">
        <v>1248</v>
      </c>
      <c r="G363" s="907"/>
      <c r="H363" s="744" t="s">
        <v>1355</v>
      </c>
      <c r="I363" s="907"/>
      <c r="J363" s="744">
        <v>1134.0999999999999</v>
      </c>
      <c r="K363" s="907"/>
      <c r="L363" s="799">
        <v>3</v>
      </c>
      <c r="M363" s="907"/>
      <c r="N363" s="744" t="s">
        <v>1214</v>
      </c>
      <c r="O363" s="907"/>
      <c r="P363" s="744" t="s">
        <v>1356</v>
      </c>
      <c r="Q363" s="907"/>
      <c r="R363" s="744" t="s">
        <v>1357</v>
      </c>
      <c r="S363" s="907"/>
      <c r="T363" s="785">
        <v>5</v>
      </c>
      <c r="U363" s="902"/>
      <c r="V363" s="786">
        <f t="shared" si="15"/>
        <v>2.84</v>
      </c>
      <c r="W363" s="902"/>
      <c r="X363" s="378" t="s">
        <v>1272</v>
      </c>
      <c r="Y363" s="902"/>
      <c r="Z363" s="791">
        <f t="shared" si="16"/>
        <v>90</v>
      </c>
      <c r="AA363" s="902"/>
      <c r="AB363" s="197" t="s">
        <v>342</v>
      </c>
      <c r="AC363" s="332" t="s">
        <v>14</v>
      </c>
      <c r="AD363" s="266" t="s">
        <v>14</v>
      </c>
      <c r="AE363" s="902"/>
      <c r="AF363" s="367" t="s">
        <v>822</v>
      </c>
      <c r="AG363" s="902"/>
      <c r="AH363" s="367" t="s">
        <v>823</v>
      </c>
      <c r="AI363" s="18"/>
      <c r="AJ363" s="925"/>
      <c r="AQ363" s="635"/>
      <c r="AR363" s="635"/>
      <c r="AS363" s="635"/>
      <c r="AT363" s="635"/>
      <c r="AU363" s="635"/>
      <c r="AV363" s="635"/>
      <c r="AW363" s="635"/>
      <c r="AX363" s="635"/>
      <c r="AY363" s="635"/>
      <c r="AZ363" s="635"/>
    </row>
    <row r="364" spans="1:52" s="82" customFormat="1" ht="27.6" x14ac:dyDescent="0.3">
      <c r="B364" s="122" t="s">
        <v>1315</v>
      </c>
      <c r="C364" s="378" t="s">
        <v>297</v>
      </c>
      <c r="D364" s="57" t="s">
        <v>435</v>
      </c>
      <c r="E364" s="225"/>
      <c r="F364" s="378" t="s">
        <v>1249</v>
      </c>
      <c r="G364" s="907"/>
      <c r="H364" s="744" t="s">
        <v>1355</v>
      </c>
      <c r="I364" s="907"/>
      <c r="J364" s="744">
        <v>1404.1</v>
      </c>
      <c r="K364" s="907"/>
      <c r="L364" s="799">
        <v>4</v>
      </c>
      <c r="M364" s="907"/>
      <c r="N364" s="744" t="s">
        <v>1214</v>
      </c>
      <c r="O364" s="907"/>
      <c r="P364" s="744" t="s">
        <v>1356</v>
      </c>
      <c r="Q364" s="907"/>
      <c r="R364" s="744" t="s">
        <v>1357</v>
      </c>
      <c r="S364" s="907"/>
      <c r="T364" s="785">
        <v>5</v>
      </c>
      <c r="U364" s="902"/>
      <c r="V364" s="786">
        <f t="shared" si="15"/>
        <v>3.51</v>
      </c>
      <c r="W364" s="902"/>
      <c r="X364" s="378" t="s">
        <v>1272</v>
      </c>
      <c r="Y364" s="902"/>
      <c r="Z364" s="791">
        <f t="shared" si="16"/>
        <v>120</v>
      </c>
      <c r="AA364" s="902"/>
      <c r="AB364" s="197" t="s">
        <v>342</v>
      </c>
      <c r="AC364" s="332" t="s">
        <v>14</v>
      </c>
      <c r="AD364" s="266" t="s">
        <v>14</v>
      </c>
      <c r="AE364" s="902"/>
      <c r="AF364" s="367" t="s">
        <v>822</v>
      </c>
      <c r="AG364" s="902"/>
      <c r="AH364" s="367" t="s">
        <v>823</v>
      </c>
      <c r="AI364" s="18"/>
      <c r="AJ364" s="925"/>
      <c r="AQ364" s="635"/>
      <c r="AR364" s="635"/>
      <c r="AS364" s="635"/>
      <c r="AT364" s="635"/>
      <c r="AU364" s="635"/>
      <c r="AV364" s="635"/>
      <c r="AW364" s="635"/>
      <c r="AX364" s="635"/>
      <c r="AY364" s="635"/>
      <c r="AZ364" s="635"/>
    </row>
    <row r="365" spans="1:52" s="82" customFormat="1" ht="27.6" x14ac:dyDescent="0.3">
      <c r="B365" s="122" t="s">
        <v>1316</v>
      </c>
      <c r="C365" s="378" t="s">
        <v>297</v>
      </c>
      <c r="D365" s="57" t="s">
        <v>435</v>
      </c>
      <c r="E365" s="225"/>
      <c r="F365" s="378" t="s">
        <v>1250</v>
      </c>
      <c r="G365" s="907"/>
      <c r="H365" s="744" t="s">
        <v>1355</v>
      </c>
      <c r="I365" s="907"/>
      <c r="J365" s="744">
        <v>351</v>
      </c>
      <c r="K365" s="907"/>
      <c r="L365" s="799">
        <v>1</v>
      </c>
      <c r="M365" s="907"/>
      <c r="N365" s="744" t="s">
        <v>1214</v>
      </c>
      <c r="O365" s="907"/>
      <c r="P365" s="744" t="s">
        <v>1356</v>
      </c>
      <c r="Q365" s="907"/>
      <c r="R365" s="744" t="s">
        <v>1357</v>
      </c>
      <c r="S365" s="907"/>
      <c r="T365" s="785">
        <v>5</v>
      </c>
      <c r="U365" s="902"/>
      <c r="V365" s="786">
        <f t="shared" si="15"/>
        <v>0.88</v>
      </c>
      <c r="W365" s="902"/>
      <c r="X365" s="378" t="s">
        <v>1272</v>
      </c>
      <c r="Y365" s="902"/>
      <c r="Z365" s="791">
        <f t="shared" si="16"/>
        <v>30</v>
      </c>
      <c r="AA365" s="902"/>
      <c r="AB365" s="197" t="s">
        <v>342</v>
      </c>
      <c r="AC365" s="332" t="s">
        <v>14</v>
      </c>
      <c r="AD365" s="266" t="s">
        <v>14</v>
      </c>
      <c r="AE365" s="902"/>
      <c r="AF365" s="367" t="s">
        <v>822</v>
      </c>
      <c r="AG365" s="902"/>
      <c r="AH365" s="367" t="s">
        <v>823</v>
      </c>
      <c r="AI365" s="18"/>
      <c r="AJ365" s="925"/>
      <c r="AQ365" s="635"/>
      <c r="AR365" s="635"/>
      <c r="AS365" s="635"/>
      <c r="AT365" s="635"/>
      <c r="AU365" s="635"/>
      <c r="AV365" s="635"/>
      <c r="AW365" s="635"/>
      <c r="AX365" s="635"/>
      <c r="AY365" s="635"/>
      <c r="AZ365" s="635"/>
    </row>
    <row r="366" spans="1:52" s="82" customFormat="1" ht="27.6" x14ac:dyDescent="0.3">
      <c r="B366" s="122" t="s">
        <v>1317</v>
      </c>
      <c r="C366" s="378" t="s">
        <v>297</v>
      </c>
      <c r="D366" s="57" t="s">
        <v>435</v>
      </c>
      <c r="E366" s="225"/>
      <c r="F366" s="378" t="s">
        <v>1251</v>
      </c>
      <c r="G366" s="907"/>
      <c r="H366" s="744" t="s">
        <v>1355</v>
      </c>
      <c r="I366" s="907"/>
      <c r="J366" s="744">
        <v>351</v>
      </c>
      <c r="K366" s="907"/>
      <c r="L366" s="799">
        <v>1</v>
      </c>
      <c r="M366" s="907"/>
      <c r="N366" s="744" t="s">
        <v>1214</v>
      </c>
      <c r="O366" s="907"/>
      <c r="P366" s="744" t="s">
        <v>1356</v>
      </c>
      <c r="Q366" s="907"/>
      <c r="R366" s="744" t="s">
        <v>1357</v>
      </c>
      <c r="S366" s="907"/>
      <c r="T366" s="785">
        <v>5</v>
      </c>
      <c r="U366" s="902"/>
      <c r="V366" s="786">
        <f t="shared" si="15"/>
        <v>0.88</v>
      </c>
      <c r="W366" s="902"/>
      <c r="X366" s="378" t="s">
        <v>1272</v>
      </c>
      <c r="Y366" s="902"/>
      <c r="Z366" s="791">
        <f t="shared" si="16"/>
        <v>30</v>
      </c>
      <c r="AA366" s="902"/>
      <c r="AB366" s="197" t="s">
        <v>342</v>
      </c>
      <c r="AC366" s="332" t="s">
        <v>14</v>
      </c>
      <c r="AD366" s="266" t="s">
        <v>14</v>
      </c>
      <c r="AE366" s="902"/>
      <c r="AF366" s="367" t="s">
        <v>822</v>
      </c>
      <c r="AG366" s="902"/>
      <c r="AH366" s="367" t="s">
        <v>823</v>
      </c>
      <c r="AI366" s="18"/>
      <c r="AJ366" s="925"/>
      <c r="AQ366" s="635"/>
      <c r="AR366" s="635"/>
      <c r="AS366" s="635"/>
      <c r="AT366" s="635"/>
      <c r="AU366" s="635"/>
      <c r="AV366" s="635"/>
      <c r="AW366" s="635"/>
      <c r="AX366" s="635"/>
      <c r="AY366" s="635"/>
      <c r="AZ366" s="635"/>
    </row>
    <row r="367" spans="1:52" s="82" customFormat="1" ht="27.6" x14ac:dyDescent="0.3">
      <c r="B367" s="122" t="s">
        <v>1318</v>
      </c>
      <c r="C367" s="378" t="s">
        <v>297</v>
      </c>
      <c r="D367" s="57" t="s">
        <v>435</v>
      </c>
      <c r="E367" s="225"/>
      <c r="F367" s="378" t="s">
        <v>1252</v>
      </c>
      <c r="G367" s="907"/>
      <c r="H367" s="744" t="s">
        <v>1355</v>
      </c>
      <c r="I367" s="907"/>
      <c r="J367" s="744">
        <v>1404</v>
      </c>
      <c r="K367" s="907"/>
      <c r="L367" s="799">
        <v>4</v>
      </c>
      <c r="M367" s="907"/>
      <c r="N367" s="744" t="s">
        <v>1214</v>
      </c>
      <c r="O367" s="907"/>
      <c r="P367" s="744" t="s">
        <v>1356</v>
      </c>
      <c r="Q367" s="907"/>
      <c r="R367" s="744" t="s">
        <v>1357</v>
      </c>
      <c r="S367" s="907"/>
      <c r="T367" s="785">
        <v>5</v>
      </c>
      <c r="U367" s="902"/>
      <c r="V367" s="786">
        <f t="shared" si="15"/>
        <v>3.51</v>
      </c>
      <c r="W367" s="902"/>
      <c r="X367" s="378" t="s">
        <v>1272</v>
      </c>
      <c r="Y367" s="902"/>
      <c r="Z367" s="791">
        <f t="shared" si="16"/>
        <v>120</v>
      </c>
      <c r="AA367" s="902"/>
      <c r="AB367" s="197" t="s">
        <v>342</v>
      </c>
      <c r="AC367" s="332" t="s">
        <v>14</v>
      </c>
      <c r="AD367" s="266" t="s">
        <v>14</v>
      </c>
      <c r="AE367" s="902"/>
      <c r="AF367" s="367" t="s">
        <v>822</v>
      </c>
      <c r="AG367" s="902"/>
      <c r="AH367" s="367" t="s">
        <v>823</v>
      </c>
      <c r="AI367" s="18"/>
      <c r="AJ367" s="925"/>
      <c r="AQ367" s="635"/>
      <c r="AR367" s="635"/>
      <c r="AS367" s="635"/>
      <c r="AT367" s="635"/>
      <c r="AU367" s="635"/>
      <c r="AV367" s="635"/>
      <c r="AW367" s="635"/>
      <c r="AX367" s="635"/>
      <c r="AY367" s="635"/>
      <c r="AZ367" s="635"/>
    </row>
    <row r="368" spans="1:52" s="82" customFormat="1" ht="27.6" x14ac:dyDescent="0.3">
      <c r="B368" s="122" t="s">
        <v>1319</v>
      </c>
      <c r="C368" s="378" t="s">
        <v>297</v>
      </c>
      <c r="D368" s="57" t="s">
        <v>435</v>
      </c>
      <c r="E368" s="225"/>
      <c r="F368" s="378" t="s">
        <v>1253</v>
      </c>
      <c r="G368" s="907"/>
      <c r="H368" s="744" t="s">
        <v>1355</v>
      </c>
      <c r="I368" s="907"/>
      <c r="J368" s="744">
        <v>351</v>
      </c>
      <c r="K368" s="907"/>
      <c r="L368" s="799">
        <v>1</v>
      </c>
      <c r="M368" s="907"/>
      <c r="N368" s="744" t="s">
        <v>1214</v>
      </c>
      <c r="O368" s="907"/>
      <c r="P368" s="744" t="s">
        <v>1356</v>
      </c>
      <c r="Q368" s="907"/>
      <c r="R368" s="744" t="s">
        <v>1357</v>
      </c>
      <c r="S368" s="907"/>
      <c r="T368" s="785">
        <v>5</v>
      </c>
      <c r="U368" s="902"/>
      <c r="V368" s="786">
        <f t="shared" si="15"/>
        <v>0.88</v>
      </c>
      <c r="W368" s="902"/>
      <c r="X368" s="378" t="s">
        <v>1272</v>
      </c>
      <c r="Y368" s="902"/>
      <c r="Z368" s="791">
        <f t="shared" si="16"/>
        <v>30</v>
      </c>
      <c r="AA368" s="902"/>
      <c r="AB368" s="197" t="s">
        <v>342</v>
      </c>
      <c r="AC368" s="332" t="s">
        <v>14</v>
      </c>
      <c r="AD368" s="266" t="s">
        <v>14</v>
      </c>
      <c r="AE368" s="902"/>
      <c r="AF368" s="367" t="s">
        <v>822</v>
      </c>
      <c r="AG368" s="902"/>
      <c r="AH368" s="367" t="s">
        <v>823</v>
      </c>
      <c r="AI368" s="18"/>
      <c r="AJ368" s="925"/>
      <c r="AQ368" s="635"/>
      <c r="AR368" s="635"/>
      <c r="AS368" s="635"/>
      <c r="AT368" s="635"/>
      <c r="AU368" s="635"/>
      <c r="AV368" s="635"/>
      <c r="AW368" s="635"/>
      <c r="AX368" s="635"/>
      <c r="AY368" s="635"/>
      <c r="AZ368" s="635"/>
    </row>
    <row r="369" spans="1:52" s="82" customFormat="1" ht="27.6" x14ac:dyDescent="0.3">
      <c r="B369" s="122" t="s">
        <v>1320</v>
      </c>
      <c r="C369" s="378" t="s">
        <v>297</v>
      </c>
      <c r="D369" s="57" t="s">
        <v>435</v>
      </c>
      <c r="E369" s="225"/>
      <c r="F369" s="378" t="s">
        <v>1254</v>
      </c>
      <c r="G369" s="907"/>
      <c r="H369" s="744" t="s">
        <v>1355</v>
      </c>
      <c r="I369" s="907"/>
      <c r="J369" s="744">
        <v>1404</v>
      </c>
      <c r="K369" s="907"/>
      <c r="L369" s="799">
        <v>4</v>
      </c>
      <c r="M369" s="907"/>
      <c r="N369" s="744" t="s">
        <v>1214</v>
      </c>
      <c r="O369" s="907"/>
      <c r="P369" s="744" t="s">
        <v>1356</v>
      </c>
      <c r="Q369" s="907"/>
      <c r="R369" s="744" t="s">
        <v>1357</v>
      </c>
      <c r="S369" s="907"/>
      <c r="T369" s="785">
        <v>5</v>
      </c>
      <c r="U369" s="902"/>
      <c r="V369" s="786">
        <f t="shared" si="15"/>
        <v>3.51</v>
      </c>
      <c r="W369" s="902"/>
      <c r="X369" s="378" t="s">
        <v>1272</v>
      </c>
      <c r="Y369" s="902"/>
      <c r="Z369" s="791">
        <f t="shared" si="16"/>
        <v>120</v>
      </c>
      <c r="AA369" s="902"/>
      <c r="AB369" s="197" t="s">
        <v>342</v>
      </c>
      <c r="AC369" s="332" t="s">
        <v>14</v>
      </c>
      <c r="AD369" s="266" t="s">
        <v>14</v>
      </c>
      <c r="AE369" s="902"/>
      <c r="AF369" s="367" t="s">
        <v>822</v>
      </c>
      <c r="AG369" s="902"/>
      <c r="AH369" s="367" t="s">
        <v>823</v>
      </c>
      <c r="AI369" s="18"/>
      <c r="AJ369" s="925"/>
      <c r="AQ369" s="635"/>
      <c r="AR369" s="635"/>
      <c r="AS369" s="635"/>
      <c r="AT369" s="635"/>
      <c r="AU369" s="635"/>
      <c r="AV369" s="635"/>
      <c r="AW369" s="635"/>
      <c r="AX369" s="635"/>
      <c r="AY369" s="635"/>
      <c r="AZ369" s="635"/>
    </row>
    <row r="370" spans="1:52" s="82" customFormat="1" ht="27.6" x14ac:dyDescent="0.3">
      <c r="B370" s="122" t="s">
        <v>1321</v>
      </c>
      <c r="C370" s="378" t="s">
        <v>297</v>
      </c>
      <c r="D370" s="57" t="s">
        <v>435</v>
      </c>
      <c r="E370" s="225"/>
      <c r="F370" s="378" t="s">
        <v>1255</v>
      </c>
      <c r="G370" s="907"/>
      <c r="H370" s="744" t="s">
        <v>1355</v>
      </c>
      <c r="I370" s="907"/>
      <c r="J370" s="744">
        <v>351</v>
      </c>
      <c r="K370" s="907"/>
      <c r="L370" s="799">
        <v>1</v>
      </c>
      <c r="M370" s="907"/>
      <c r="N370" s="744" t="s">
        <v>1214</v>
      </c>
      <c r="O370" s="907"/>
      <c r="P370" s="744" t="s">
        <v>1356</v>
      </c>
      <c r="Q370" s="907"/>
      <c r="R370" s="744" t="s">
        <v>1357</v>
      </c>
      <c r="S370" s="907"/>
      <c r="T370" s="785">
        <v>5</v>
      </c>
      <c r="U370" s="902"/>
      <c r="V370" s="786">
        <f t="shared" si="15"/>
        <v>0.88</v>
      </c>
      <c r="W370" s="902"/>
      <c r="X370" s="378" t="s">
        <v>1272</v>
      </c>
      <c r="Y370" s="902"/>
      <c r="Z370" s="791">
        <f t="shared" si="16"/>
        <v>30</v>
      </c>
      <c r="AA370" s="902"/>
      <c r="AB370" s="197" t="s">
        <v>342</v>
      </c>
      <c r="AC370" s="332" t="s">
        <v>14</v>
      </c>
      <c r="AD370" s="266" t="s">
        <v>14</v>
      </c>
      <c r="AE370" s="902"/>
      <c r="AF370" s="367" t="s">
        <v>822</v>
      </c>
      <c r="AG370" s="902"/>
      <c r="AH370" s="367" t="s">
        <v>823</v>
      </c>
      <c r="AI370" s="18"/>
      <c r="AJ370" s="925"/>
      <c r="AQ370" s="635"/>
      <c r="AR370" s="635"/>
      <c r="AS370" s="635"/>
      <c r="AT370" s="635"/>
      <c r="AU370" s="635"/>
      <c r="AV370" s="635"/>
      <c r="AW370" s="635"/>
      <c r="AX370" s="635"/>
      <c r="AY370" s="635"/>
      <c r="AZ370" s="635"/>
    </row>
    <row r="371" spans="1:52" s="18" customFormat="1" ht="27.6" x14ac:dyDescent="0.3">
      <c r="A371" s="403"/>
      <c r="B371" s="135" t="s">
        <v>1271</v>
      </c>
      <c r="C371" s="378" t="s">
        <v>297</v>
      </c>
      <c r="D371" s="57" t="s">
        <v>435</v>
      </c>
      <c r="E371" s="225"/>
      <c r="F371" s="370" t="s">
        <v>1269</v>
      </c>
      <c r="G371" s="907"/>
      <c r="H371" s="744" t="s">
        <v>1355</v>
      </c>
      <c r="I371" s="907"/>
      <c r="J371" s="744">
        <v>351</v>
      </c>
      <c r="K371" s="907"/>
      <c r="L371" s="799">
        <v>1</v>
      </c>
      <c r="M371" s="907"/>
      <c r="N371" s="744" t="s">
        <v>1214</v>
      </c>
      <c r="O371" s="907"/>
      <c r="P371" s="744" t="s">
        <v>1356</v>
      </c>
      <c r="Q371" s="907"/>
      <c r="R371" s="744" t="s">
        <v>1357</v>
      </c>
      <c r="S371" s="907"/>
      <c r="T371" s="785">
        <v>5</v>
      </c>
      <c r="U371" s="902"/>
      <c r="V371" s="786">
        <f t="shared" si="15"/>
        <v>0.88</v>
      </c>
      <c r="W371" s="902"/>
      <c r="X371" s="378" t="s">
        <v>1272</v>
      </c>
      <c r="Y371" s="902"/>
      <c r="Z371" s="791">
        <f t="shared" si="16"/>
        <v>30</v>
      </c>
      <c r="AA371" s="902"/>
      <c r="AB371" s="197" t="s">
        <v>342</v>
      </c>
      <c r="AC371" s="332" t="s">
        <v>14</v>
      </c>
      <c r="AD371" s="266" t="s">
        <v>14</v>
      </c>
      <c r="AE371" s="902"/>
      <c r="AF371" s="367" t="s">
        <v>822</v>
      </c>
      <c r="AG371" s="902"/>
      <c r="AH371" s="367" t="s">
        <v>823</v>
      </c>
      <c r="AJ371" s="925"/>
      <c r="AK371" s="82"/>
      <c r="AL371" s="86"/>
    </row>
    <row r="372" spans="1:52" s="18" customFormat="1" ht="27.6" x14ac:dyDescent="0.3">
      <c r="A372" s="403"/>
      <c r="B372" s="135" t="s">
        <v>1274</v>
      </c>
      <c r="C372" s="378" t="s">
        <v>297</v>
      </c>
      <c r="D372" s="57" t="s">
        <v>435</v>
      </c>
      <c r="E372" s="225"/>
      <c r="F372" s="370" t="s">
        <v>1273</v>
      </c>
      <c r="G372" s="907"/>
      <c r="H372" s="744" t="s">
        <v>1355</v>
      </c>
      <c r="I372" s="907"/>
      <c r="J372" s="744">
        <v>1404.1</v>
      </c>
      <c r="K372" s="907"/>
      <c r="L372" s="799">
        <v>4</v>
      </c>
      <c r="M372" s="907"/>
      <c r="N372" s="744" t="s">
        <v>1214</v>
      </c>
      <c r="O372" s="907"/>
      <c r="P372" s="744" t="s">
        <v>1356</v>
      </c>
      <c r="Q372" s="907"/>
      <c r="R372" s="744" t="s">
        <v>1357</v>
      </c>
      <c r="S372" s="907"/>
      <c r="T372" s="785">
        <v>5</v>
      </c>
      <c r="U372" s="902"/>
      <c r="V372" s="786">
        <f t="shared" si="15"/>
        <v>3.51</v>
      </c>
      <c r="W372" s="902"/>
      <c r="X372" s="378" t="s">
        <v>1272</v>
      </c>
      <c r="Y372" s="902"/>
      <c r="Z372" s="791">
        <f t="shared" si="16"/>
        <v>120</v>
      </c>
      <c r="AA372" s="902"/>
      <c r="AB372" s="197" t="s">
        <v>342</v>
      </c>
      <c r="AC372" s="332" t="s">
        <v>14</v>
      </c>
      <c r="AD372" s="266" t="s">
        <v>14</v>
      </c>
      <c r="AE372" s="902"/>
      <c r="AF372" s="371" t="s">
        <v>822</v>
      </c>
      <c r="AG372" s="902"/>
      <c r="AH372" s="360" t="s">
        <v>823</v>
      </c>
      <c r="AJ372" s="925"/>
      <c r="AK372" s="82"/>
      <c r="AL372" s="86"/>
    </row>
    <row r="373" spans="1:52" s="18" customFormat="1" ht="27.6" x14ac:dyDescent="0.3">
      <c r="A373" s="403"/>
      <c r="B373" s="135" t="s">
        <v>1276</v>
      </c>
      <c r="C373" s="378" t="s">
        <v>297</v>
      </c>
      <c r="D373" s="57" t="s">
        <v>435</v>
      </c>
      <c r="E373" s="225"/>
      <c r="F373" s="370" t="s">
        <v>1275</v>
      </c>
      <c r="G373" s="907"/>
      <c r="H373" s="744" t="s">
        <v>1355</v>
      </c>
      <c r="I373" s="907"/>
      <c r="J373" s="744">
        <v>1134.0999999999999</v>
      </c>
      <c r="K373" s="907"/>
      <c r="L373" s="799">
        <v>3</v>
      </c>
      <c r="M373" s="907"/>
      <c r="N373" s="744" t="s">
        <v>1214</v>
      </c>
      <c r="O373" s="907"/>
      <c r="P373" s="744" t="s">
        <v>1356</v>
      </c>
      <c r="Q373" s="907"/>
      <c r="R373" s="744" t="s">
        <v>1357</v>
      </c>
      <c r="S373" s="907"/>
      <c r="T373" s="785">
        <v>5</v>
      </c>
      <c r="U373" s="902"/>
      <c r="V373" s="786">
        <f t="shared" si="15"/>
        <v>2.84</v>
      </c>
      <c r="W373" s="902"/>
      <c r="X373" s="378" t="s">
        <v>1272</v>
      </c>
      <c r="Y373" s="902"/>
      <c r="Z373" s="791">
        <f t="shared" si="16"/>
        <v>90</v>
      </c>
      <c r="AA373" s="902"/>
      <c r="AB373" s="197" t="s">
        <v>342</v>
      </c>
      <c r="AC373" s="332" t="s">
        <v>14</v>
      </c>
      <c r="AD373" s="266" t="s">
        <v>14</v>
      </c>
      <c r="AE373" s="902"/>
      <c r="AF373" s="371" t="s">
        <v>822</v>
      </c>
      <c r="AG373" s="902"/>
      <c r="AH373" s="360" t="s">
        <v>823</v>
      </c>
      <c r="AJ373" s="925"/>
      <c r="AK373" s="82"/>
      <c r="AL373" s="86"/>
    </row>
    <row r="374" spans="1:52" s="18" customFormat="1" ht="27.6" x14ac:dyDescent="0.3">
      <c r="A374" s="403"/>
      <c r="B374" s="135" t="s">
        <v>1278</v>
      </c>
      <c r="C374" s="378" t="s">
        <v>297</v>
      </c>
      <c r="D374" s="57" t="s">
        <v>435</v>
      </c>
      <c r="E374" s="225"/>
      <c r="F374" s="370" t="s">
        <v>1277</v>
      </c>
      <c r="G374" s="907"/>
      <c r="H374" s="744" t="s">
        <v>1355</v>
      </c>
      <c r="I374" s="907"/>
      <c r="J374" s="744">
        <v>1404.1</v>
      </c>
      <c r="K374" s="907"/>
      <c r="L374" s="799">
        <v>4</v>
      </c>
      <c r="M374" s="907"/>
      <c r="N374" s="744" t="s">
        <v>1214</v>
      </c>
      <c r="O374" s="907"/>
      <c r="P374" s="744" t="s">
        <v>1356</v>
      </c>
      <c r="Q374" s="907"/>
      <c r="R374" s="744" t="s">
        <v>1357</v>
      </c>
      <c r="S374" s="907"/>
      <c r="T374" s="785">
        <v>5</v>
      </c>
      <c r="U374" s="902"/>
      <c r="V374" s="786">
        <f t="shared" si="15"/>
        <v>3.51</v>
      </c>
      <c r="W374" s="902"/>
      <c r="X374" s="378" t="s">
        <v>1272</v>
      </c>
      <c r="Y374" s="902"/>
      <c r="Z374" s="791">
        <f t="shared" si="16"/>
        <v>120</v>
      </c>
      <c r="AA374" s="902"/>
      <c r="AB374" s="197" t="s">
        <v>342</v>
      </c>
      <c r="AC374" s="332" t="s">
        <v>14</v>
      </c>
      <c r="AD374" s="266" t="s">
        <v>14</v>
      </c>
      <c r="AE374" s="902"/>
      <c r="AF374" s="371" t="s">
        <v>822</v>
      </c>
      <c r="AG374" s="902"/>
      <c r="AH374" s="360" t="s">
        <v>823</v>
      </c>
      <c r="AJ374" s="925"/>
      <c r="AK374" s="82"/>
      <c r="AL374" s="86"/>
    </row>
    <row r="375" spans="1:52" s="18" customFormat="1" ht="27.6" x14ac:dyDescent="0.3">
      <c r="A375" s="403"/>
      <c r="B375" s="135" t="s">
        <v>1280</v>
      </c>
      <c r="C375" s="378" t="s">
        <v>297</v>
      </c>
      <c r="D375" s="57" t="s">
        <v>435</v>
      </c>
      <c r="E375" s="225"/>
      <c r="F375" s="370" t="s">
        <v>1279</v>
      </c>
      <c r="G375" s="907"/>
      <c r="H375" s="744" t="s">
        <v>1355</v>
      </c>
      <c r="I375" s="907"/>
      <c r="J375" s="744">
        <v>351</v>
      </c>
      <c r="K375" s="907"/>
      <c r="L375" s="799">
        <v>1</v>
      </c>
      <c r="M375" s="907"/>
      <c r="N375" s="744" t="s">
        <v>1214</v>
      </c>
      <c r="O375" s="907"/>
      <c r="P375" s="744" t="s">
        <v>1356</v>
      </c>
      <c r="Q375" s="907"/>
      <c r="R375" s="744" t="s">
        <v>1357</v>
      </c>
      <c r="S375" s="907"/>
      <c r="T375" s="785">
        <v>5</v>
      </c>
      <c r="U375" s="902"/>
      <c r="V375" s="786">
        <f t="shared" si="15"/>
        <v>0.88</v>
      </c>
      <c r="W375" s="902"/>
      <c r="X375" s="378" t="s">
        <v>1272</v>
      </c>
      <c r="Y375" s="902"/>
      <c r="Z375" s="791">
        <f t="shared" si="16"/>
        <v>30</v>
      </c>
      <c r="AA375" s="902"/>
      <c r="AB375" s="197" t="s">
        <v>342</v>
      </c>
      <c r="AC375" s="332" t="s">
        <v>14</v>
      </c>
      <c r="AD375" s="266" t="s">
        <v>14</v>
      </c>
      <c r="AE375" s="902"/>
      <c r="AF375" s="371" t="s">
        <v>822</v>
      </c>
      <c r="AG375" s="902"/>
      <c r="AH375" s="360" t="s">
        <v>823</v>
      </c>
      <c r="AJ375" s="925"/>
      <c r="AK375" s="82"/>
      <c r="AL375" s="86"/>
    </row>
    <row r="376" spans="1:52" s="18" customFormat="1" ht="27.6" x14ac:dyDescent="0.3">
      <c r="A376" s="403"/>
      <c r="B376" s="135" t="s">
        <v>1282</v>
      </c>
      <c r="C376" s="378" t="s">
        <v>297</v>
      </c>
      <c r="D376" s="57" t="s">
        <v>435</v>
      </c>
      <c r="E376" s="225"/>
      <c r="F376" s="370" t="s">
        <v>1281</v>
      </c>
      <c r="G376" s="907"/>
      <c r="H376" s="744" t="s">
        <v>1355</v>
      </c>
      <c r="I376" s="907"/>
      <c r="J376" s="744">
        <v>351</v>
      </c>
      <c r="K376" s="907"/>
      <c r="L376" s="799">
        <v>1</v>
      </c>
      <c r="M376" s="907"/>
      <c r="N376" s="744" t="s">
        <v>1214</v>
      </c>
      <c r="O376" s="907"/>
      <c r="P376" s="744" t="s">
        <v>1356</v>
      </c>
      <c r="Q376" s="907"/>
      <c r="R376" s="744" t="s">
        <v>1357</v>
      </c>
      <c r="S376" s="907"/>
      <c r="T376" s="785">
        <v>5</v>
      </c>
      <c r="U376" s="902"/>
      <c r="V376" s="786">
        <f t="shared" si="15"/>
        <v>0.88</v>
      </c>
      <c r="W376" s="902"/>
      <c r="X376" s="378" t="s">
        <v>1272</v>
      </c>
      <c r="Y376" s="902"/>
      <c r="Z376" s="791">
        <f t="shared" si="16"/>
        <v>30</v>
      </c>
      <c r="AA376" s="902"/>
      <c r="AB376" s="197" t="s">
        <v>342</v>
      </c>
      <c r="AC376" s="332" t="s">
        <v>14</v>
      </c>
      <c r="AD376" s="266" t="s">
        <v>14</v>
      </c>
      <c r="AE376" s="902"/>
      <c r="AF376" s="371" t="s">
        <v>822</v>
      </c>
      <c r="AG376" s="902"/>
      <c r="AH376" s="360" t="s">
        <v>823</v>
      </c>
      <c r="AJ376" s="925"/>
      <c r="AK376" s="82"/>
      <c r="AL376" s="86"/>
    </row>
    <row r="377" spans="1:52" s="18" customFormat="1" ht="27.6" x14ac:dyDescent="0.3">
      <c r="A377" s="403"/>
      <c r="B377" s="135" t="s">
        <v>1284</v>
      </c>
      <c r="C377" s="378" t="s">
        <v>297</v>
      </c>
      <c r="D377" s="57" t="s">
        <v>435</v>
      </c>
      <c r="E377" s="225"/>
      <c r="F377" s="370" t="s">
        <v>1283</v>
      </c>
      <c r="G377" s="907"/>
      <c r="H377" s="744" t="s">
        <v>1355</v>
      </c>
      <c r="I377" s="907"/>
      <c r="J377" s="744">
        <v>1404</v>
      </c>
      <c r="K377" s="907"/>
      <c r="L377" s="799">
        <v>4</v>
      </c>
      <c r="M377" s="907"/>
      <c r="N377" s="744" t="s">
        <v>1214</v>
      </c>
      <c r="O377" s="907"/>
      <c r="P377" s="744" t="s">
        <v>1356</v>
      </c>
      <c r="Q377" s="907"/>
      <c r="R377" s="744" t="s">
        <v>1357</v>
      </c>
      <c r="S377" s="907"/>
      <c r="T377" s="785">
        <v>5</v>
      </c>
      <c r="U377" s="902"/>
      <c r="V377" s="786">
        <f t="shared" si="15"/>
        <v>3.51</v>
      </c>
      <c r="W377" s="902"/>
      <c r="X377" s="378" t="s">
        <v>1272</v>
      </c>
      <c r="Y377" s="902"/>
      <c r="Z377" s="791">
        <f t="shared" si="16"/>
        <v>120</v>
      </c>
      <c r="AA377" s="902"/>
      <c r="AB377" s="197" t="s">
        <v>342</v>
      </c>
      <c r="AC377" s="332" t="s">
        <v>14</v>
      </c>
      <c r="AD377" s="266" t="s">
        <v>14</v>
      </c>
      <c r="AE377" s="902"/>
      <c r="AF377" s="371" t="s">
        <v>822</v>
      </c>
      <c r="AG377" s="902"/>
      <c r="AH377" s="360" t="s">
        <v>823</v>
      </c>
      <c r="AJ377" s="925"/>
      <c r="AK377" s="82"/>
      <c r="AL377" s="86"/>
    </row>
    <row r="378" spans="1:52" s="18" customFormat="1" ht="27.6" x14ac:dyDescent="0.3">
      <c r="A378" s="403"/>
      <c r="B378" s="135" t="s">
        <v>1286</v>
      </c>
      <c r="C378" s="378" t="s">
        <v>297</v>
      </c>
      <c r="D378" s="57" t="s">
        <v>435</v>
      </c>
      <c r="E378" s="225"/>
      <c r="F378" s="370" t="s">
        <v>1285</v>
      </c>
      <c r="G378" s="907"/>
      <c r="H378" s="744" t="s">
        <v>1355</v>
      </c>
      <c r="I378" s="907"/>
      <c r="J378" s="744">
        <v>351</v>
      </c>
      <c r="K378" s="907"/>
      <c r="L378" s="799">
        <v>1</v>
      </c>
      <c r="M378" s="907"/>
      <c r="N378" s="744" t="s">
        <v>1214</v>
      </c>
      <c r="O378" s="907"/>
      <c r="P378" s="744" t="s">
        <v>1356</v>
      </c>
      <c r="Q378" s="907"/>
      <c r="R378" s="744" t="s">
        <v>1357</v>
      </c>
      <c r="S378" s="907"/>
      <c r="T378" s="785">
        <v>5</v>
      </c>
      <c r="U378" s="902"/>
      <c r="V378" s="786">
        <f t="shared" si="15"/>
        <v>0.88</v>
      </c>
      <c r="W378" s="902"/>
      <c r="X378" s="378" t="s">
        <v>1272</v>
      </c>
      <c r="Y378" s="902"/>
      <c r="Z378" s="791">
        <f t="shared" si="16"/>
        <v>30</v>
      </c>
      <c r="AA378" s="902"/>
      <c r="AB378" s="197" t="s">
        <v>342</v>
      </c>
      <c r="AC378" s="332" t="s">
        <v>14</v>
      </c>
      <c r="AD378" s="266" t="s">
        <v>14</v>
      </c>
      <c r="AE378" s="902"/>
      <c r="AF378" s="371" t="s">
        <v>822</v>
      </c>
      <c r="AG378" s="902"/>
      <c r="AH378" s="360" t="s">
        <v>823</v>
      </c>
      <c r="AJ378" s="925"/>
      <c r="AK378" s="82"/>
      <c r="AL378" s="86"/>
    </row>
    <row r="379" spans="1:52" s="18" customFormat="1" ht="27.6" x14ac:dyDescent="0.3">
      <c r="A379" s="403"/>
      <c r="B379" s="135" t="s">
        <v>1288</v>
      </c>
      <c r="C379" s="378" t="s">
        <v>297</v>
      </c>
      <c r="D379" s="57" t="s">
        <v>435</v>
      </c>
      <c r="E379" s="225"/>
      <c r="F379" s="370" t="s">
        <v>1287</v>
      </c>
      <c r="G379" s="907"/>
      <c r="H379" s="744" t="s">
        <v>1355</v>
      </c>
      <c r="I379" s="907"/>
      <c r="J379" s="744">
        <v>1404</v>
      </c>
      <c r="K379" s="907"/>
      <c r="L379" s="799">
        <v>4</v>
      </c>
      <c r="M379" s="907"/>
      <c r="N379" s="744" t="s">
        <v>1214</v>
      </c>
      <c r="O379" s="907"/>
      <c r="P379" s="744" t="s">
        <v>1356</v>
      </c>
      <c r="Q379" s="907"/>
      <c r="R379" s="744" t="s">
        <v>1357</v>
      </c>
      <c r="S379" s="907"/>
      <c r="T379" s="785">
        <v>5</v>
      </c>
      <c r="U379" s="902"/>
      <c r="V379" s="786">
        <f t="shared" si="15"/>
        <v>3.51</v>
      </c>
      <c r="W379" s="902"/>
      <c r="X379" s="378" t="s">
        <v>1272</v>
      </c>
      <c r="Y379" s="902"/>
      <c r="Z379" s="791">
        <f t="shared" si="16"/>
        <v>120</v>
      </c>
      <c r="AA379" s="902"/>
      <c r="AB379" s="197" t="s">
        <v>342</v>
      </c>
      <c r="AC379" s="332" t="s">
        <v>14</v>
      </c>
      <c r="AD379" s="266" t="s">
        <v>14</v>
      </c>
      <c r="AE379" s="902"/>
      <c r="AF379" s="371" t="s">
        <v>822</v>
      </c>
      <c r="AG379" s="902"/>
      <c r="AH379" s="360" t="s">
        <v>823</v>
      </c>
      <c r="AJ379" s="925"/>
      <c r="AK379" s="82"/>
      <c r="AL379" s="86"/>
    </row>
    <row r="380" spans="1:52" s="18" customFormat="1" ht="27.6" x14ac:dyDescent="0.3">
      <c r="A380" s="403"/>
      <c r="B380" s="135" t="s">
        <v>1290</v>
      </c>
      <c r="C380" s="378" t="s">
        <v>297</v>
      </c>
      <c r="D380" s="57" t="s">
        <v>435</v>
      </c>
      <c r="E380" s="225"/>
      <c r="F380" s="370" t="s">
        <v>1289</v>
      </c>
      <c r="G380" s="907"/>
      <c r="H380" s="744" t="s">
        <v>1355</v>
      </c>
      <c r="I380" s="907"/>
      <c r="J380" s="744">
        <v>351</v>
      </c>
      <c r="K380" s="907"/>
      <c r="L380" s="799">
        <v>1</v>
      </c>
      <c r="M380" s="907"/>
      <c r="N380" s="744" t="s">
        <v>1214</v>
      </c>
      <c r="O380" s="907"/>
      <c r="P380" s="755" t="s">
        <v>1356</v>
      </c>
      <c r="Q380" s="907"/>
      <c r="R380" s="755" t="s">
        <v>1357</v>
      </c>
      <c r="S380" s="913" t="s">
        <v>919</v>
      </c>
      <c r="T380" s="785">
        <v>5</v>
      </c>
      <c r="U380" s="902"/>
      <c r="V380" s="786">
        <f t="shared" si="15"/>
        <v>0.88</v>
      </c>
      <c r="W380" s="902"/>
      <c r="X380" s="378" t="s">
        <v>1272</v>
      </c>
      <c r="Y380" s="902"/>
      <c r="Z380" s="791">
        <f t="shared" si="16"/>
        <v>30</v>
      </c>
      <c r="AA380" s="902"/>
      <c r="AB380" s="197" t="s">
        <v>342</v>
      </c>
      <c r="AC380" s="332" t="s">
        <v>14</v>
      </c>
      <c r="AD380" s="266" t="s">
        <v>14</v>
      </c>
      <c r="AE380" s="902"/>
      <c r="AF380" s="371" t="s">
        <v>822</v>
      </c>
      <c r="AG380" s="902"/>
      <c r="AH380" s="360" t="s">
        <v>823</v>
      </c>
      <c r="AJ380" s="925"/>
      <c r="AK380" s="82"/>
      <c r="AL380" s="86"/>
    </row>
    <row r="381" spans="1:52" s="18" customFormat="1" ht="27.6" x14ac:dyDescent="0.3">
      <c r="A381" s="403"/>
      <c r="B381" s="135" t="s">
        <v>1296</v>
      </c>
      <c r="C381" s="378" t="s">
        <v>297</v>
      </c>
      <c r="D381" s="57" t="s">
        <v>435</v>
      </c>
      <c r="E381" s="225"/>
      <c r="F381" s="370" t="s">
        <v>1256</v>
      </c>
      <c r="G381" s="907"/>
      <c r="H381" s="744" t="s">
        <v>1384</v>
      </c>
      <c r="I381" s="907"/>
      <c r="J381" s="744">
        <v>351</v>
      </c>
      <c r="K381" s="907"/>
      <c r="L381" s="799">
        <v>1</v>
      </c>
      <c r="M381" s="907"/>
      <c r="N381" s="744" t="s">
        <v>1214</v>
      </c>
      <c r="O381" s="907"/>
      <c r="P381" s="755" t="s">
        <v>1356</v>
      </c>
      <c r="Q381" s="907"/>
      <c r="R381" s="755" t="s">
        <v>1357</v>
      </c>
      <c r="S381" s="332" t="s">
        <v>14</v>
      </c>
      <c r="T381" s="266" t="s">
        <v>14</v>
      </c>
      <c r="U381" s="902"/>
      <c r="V381" s="786">
        <v>1</v>
      </c>
      <c r="W381" s="902"/>
      <c r="X381" s="378" t="s">
        <v>1272</v>
      </c>
      <c r="Y381" s="902"/>
      <c r="Z381" s="791">
        <f t="shared" si="16"/>
        <v>26.06</v>
      </c>
      <c r="AA381" s="902"/>
      <c r="AB381" s="197" t="s">
        <v>342</v>
      </c>
      <c r="AC381" s="332" t="s">
        <v>14</v>
      </c>
      <c r="AD381" s="266" t="s">
        <v>14</v>
      </c>
      <c r="AE381" s="902"/>
      <c r="AF381" s="371" t="s">
        <v>822</v>
      </c>
      <c r="AG381" s="902"/>
      <c r="AH381" s="360" t="s">
        <v>823</v>
      </c>
      <c r="AJ381" s="925"/>
      <c r="AK381" s="82"/>
      <c r="AL381" s="86"/>
    </row>
    <row r="382" spans="1:52" s="18" customFormat="1" ht="27.6" x14ac:dyDescent="0.3">
      <c r="A382" s="403"/>
      <c r="B382" s="135" t="s">
        <v>1297</v>
      </c>
      <c r="C382" s="378" t="s">
        <v>297</v>
      </c>
      <c r="D382" s="57" t="s">
        <v>435</v>
      </c>
      <c r="E382" s="225"/>
      <c r="F382" s="370" t="s">
        <v>1257</v>
      </c>
      <c r="G382" s="907"/>
      <c r="H382" s="744" t="s">
        <v>1384</v>
      </c>
      <c r="I382" s="907"/>
      <c r="J382" s="744">
        <v>1404.1</v>
      </c>
      <c r="K382" s="907"/>
      <c r="L382" s="799">
        <v>4</v>
      </c>
      <c r="M382" s="907"/>
      <c r="N382" s="744" t="s">
        <v>1214</v>
      </c>
      <c r="O382" s="907"/>
      <c r="P382" s="755" t="s">
        <v>1356</v>
      </c>
      <c r="Q382" s="907"/>
      <c r="R382" s="755" t="s">
        <v>1357</v>
      </c>
      <c r="S382" s="332" t="s">
        <v>14</v>
      </c>
      <c r="T382" s="266" t="s">
        <v>14</v>
      </c>
      <c r="U382" s="902"/>
      <c r="V382" s="786">
        <f t="shared" ref="V382:V389" si="17">3*L382</f>
        <v>12</v>
      </c>
      <c r="W382" s="902"/>
      <c r="X382" s="378" t="s">
        <v>1272</v>
      </c>
      <c r="Y382" s="902"/>
      <c r="Z382" s="791">
        <f t="shared" si="16"/>
        <v>144.24599999999998</v>
      </c>
      <c r="AA382" s="902"/>
      <c r="AB382" s="197" t="s">
        <v>342</v>
      </c>
      <c r="AC382" s="332" t="s">
        <v>14</v>
      </c>
      <c r="AD382" s="266" t="s">
        <v>14</v>
      </c>
      <c r="AE382" s="902"/>
      <c r="AF382" s="371" t="s">
        <v>822</v>
      </c>
      <c r="AG382" s="902"/>
      <c r="AH382" s="360" t="s">
        <v>823</v>
      </c>
      <c r="AJ382" s="925"/>
      <c r="AK382" s="82"/>
      <c r="AL382" s="86"/>
    </row>
    <row r="383" spans="1:52" s="18" customFormat="1" ht="27.6" x14ac:dyDescent="0.3">
      <c r="A383" s="403"/>
      <c r="B383" s="135" t="s">
        <v>1298</v>
      </c>
      <c r="C383" s="378" t="s">
        <v>297</v>
      </c>
      <c r="D383" s="57" t="s">
        <v>435</v>
      </c>
      <c r="E383" s="225"/>
      <c r="F383" s="370" t="s">
        <v>1258</v>
      </c>
      <c r="G383" s="907"/>
      <c r="H383" s="744" t="s">
        <v>1384</v>
      </c>
      <c r="I383" s="907"/>
      <c r="J383" s="744">
        <v>1134.0999999999999</v>
      </c>
      <c r="K383" s="907"/>
      <c r="L383" s="799">
        <v>3</v>
      </c>
      <c r="M383" s="907"/>
      <c r="N383" s="744" t="s">
        <v>1214</v>
      </c>
      <c r="O383" s="907"/>
      <c r="P383" s="755" t="s">
        <v>1356</v>
      </c>
      <c r="Q383" s="907"/>
      <c r="R383" s="755" t="s">
        <v>1357</v>
      </c>
      <c r="S383" s="332" t="s">
        <v>14</v>
      </c>
      <c r="T383" s="266" t="s">
        <v>14</v>
      </c>
      <c r="U383" s="902"/>
      <c r="V383" s="786">
        <f t="shared" si="17"/>
        <v>9</v>
      </c>
      <c r="W383" s="902"/>
      <c r="X383" s="378" t="s">
        <v>1272</v>
      </c>
      <c r="Y383" s="902"/>
      <c r="Z383" s="791">
        <f t="shared" si="16"/>
        <v>113.04599999999999</v>
      </c>
      <c r="AA383" s="902"/>
      <c r="AB383" s="197" t="s">
        <v>342</v>
      </c>
      <c r="AC383" s="332" t="s">
        <v>14</v>
      </c>
      <c r="AD383" s="266" t="s">
        <v>14</v>
      </c>
      <c r="AE383" s="902"/>
      <c r="AF383" s="371" t="s">
        <v>822</v>
      </c>
      <c r="AG383" s="902"/>
      <c r="AH383" s="360" t="s">
        <v>823</v>
      </c>
      <c r="AJ383" s="925"/>
      <c r="AK383" s="82"/>
      <c r="AL383" s="86"/>
    </row>
    <row r="384" spans="1:52" s="18" customFormat="1" ht="27.6" x14ac:dyDescent="0.3">
      <c r="A384" s="403"/>
      <c r="B384" s="135" t="s">
        <v>1299</v>
      </c>
      <c r="C384" s="378" t="s">
        <v>297</v>
      </c>
      <c r="D384" s="57" t="s">
        <v>435</v>
      </c>
      <c r="E384" s="225"/>
      <c r="F384" s="370" t="s">
        <v>1259</v>
      </c>
      <c r="G384" s="907"/>
      <c r="H384" s="744" t="s">
        <v>1384</v>
      </c>
      <c r="I384" s="907"/>
      <c r="J384" s="744">
        <v>1404.1</v>
      </c>
      <c r="K384" s="907"/>
      <c r="L384" s="799">
        <v>4</v>
      </c>
      <c r="M384" s="907"/>
      <c r="N384" s="744" t="s">
        <v>1214</v>
      </c>
      <c r="O384" s="907"/>
      <c r="P384" s="755" t="s">
        <v>1356</v>
      </c>
      <c r="Q384" s="907"/>
      <c r="R384" s="755" t="s">
        <v>1357</v>
      </c>
      <c r="S384" s="332" t="s">
        <v>14</v>
      </c>
      <c r="T384" s="266" t="s">
        <v>14</v>
      </c>
      <c r="U384" s="902"/>
      <c r="V384" s="786">
        <f t="shared" si="17"/>
        <v>12</v>
      </c>
      <c r="W384" s="902"/>
      <c r="X384" s="378" t="s">
        <v>1272</v>
      </c>
      <c r="Y384" s="902"/>
      <c r="Z384" s="791">
        <f t="shared" si="16"/>
        <v>144.24599999999998</v>
      </c>
      <c r="AA384" s="902"/>
      <c r="AB384" s="197" t="s">
        <v>342</v>
      </c>
      <c r="AC384" s="332" t="s">
        <v>14</v>
      </c>
      <c r="AD384" s="266" t="s">
        <v>14</v>
      </c>
      <c r="AE384" s="902"/>
      <c r="AF384" s="371" t="s">
        <v>822</v>
      </c>
      <c r="AG384" s="902"/>
      <c r="AH384" s="360" t="s">
        <v>823</v>
      </c>
      <c r="AJ384" s="925"/>
      <c r="AK384" s="82"/>
      <c r="AL384" s="86"/>
    </row>
    <row r="385" spans="1:38" s="18" customFormat="1" ht="27.6" x14ac:dyDescent="0.3">
      <c r="A385" s="403"/>
      <c r="B385" s="135" t="s">
        <v>1300</v>
      </c>
      <c r="C385" s="378" t="s">
        <v>297</v>
      </c>
      <c r="D385" s="57" t="s">
        <v>435</v>
      </c>
      <c r="E385" s="225"/>
      <c r="F385" s="370" t="s">
        <v>1260</v>
      </c>
      <c r="G385" s="907"/>
      <c r="H385" s="744" t="s">
        <v>1384</v>
      </c>
      <c r="I385" s="907"/>
      <c r="J385" s="744">
        <v>351</v>
      </c>
      <c r="K385" s="907"/>
      <c r="L385" s="799">
        <v>1</v>
      </c>
      <c r="M385" s="907"/>
      <c r="N385" s="744" t="s">
        <v>1214</v>
      </c>
      <c r="O385" s="907"/>
      <c r="P385" s="755" t="s">
        <v>1356</v>
      </c>
      <c r="Q385" s="907"/>
      <c r="R385" s="755" t="s">
        <v>1357</v>
      </c>
      <c r="S385" s="332" t="s">
        <v>14</v>
      </c>
      <c r="T385" s="266" t="s">
        <v>14</v>
      </c>
      <c r="U385" s="902"/>
      <c r="V385" s="786">
        <f t="shared" si="17"/>
        <v>3</v>
      </c>
      <c r="W385" s="902"/>
      <c r="X385" s="378" t="s">
        <v>1272</v>
      </c>
      <c r="Y385" s="902"/>
      <c r="Z385" s="791">
        <f t="shared" si="16"/>
        <v>36.06</v>
      </c>
      <c r="AA385" s="902"/>
      <c r="AB385" s="197" t="s">
        <v>342</v>
      </c>
      <c r="AC385" s="332" t="s">
        <v>14</v>
      </c>
      <c r="AD385" s="266" t="s">
        <v>14</v>
      </c>
      <c r="AE385" s="902"/>
      <c r="AF385" s="371" t="s">
        <v>822</v>
      </c>
      <c r="AG385" s="902"/>
      <c r="AH385" s="360" t="s">
        <v>823</v>
      </c>
      <c r="AJ385" s="925"/>
      <c r="AK385" s="82"/>
      <c r="AL385" s="86"/>
    </row>
    <row r="386" spans="1:38" s="18" customFormat="1" ht="27.6" x14ac:dyDescent="0.3">
      <c r="A386" s="403"/>
      <c r="B386" s="135" t="s">
        <v>1301</v>
      </c>
      <c r="C386" s="378" t="s">
        <v>297</v>
      </c>
      <c r="D386" s="57" t="s">
        <v>435</v>
      </c>
      <c r="E386" s="225"/>
      <c r="F386" s="370" t="s">
        <v>1261</v>
      </c>
      <c r="G386" s="907"/>
      <c r="H386" s="744" t="s">
        <v>1384</v>
      </c>
      <c r="I386" s="907"/>
      <c r="J386" s="744">
        <v>351</v>
      </c>
      <c r="K386" s="907"/>
      <c r="L386" s="799">
        <v>1</v>
      </c>
      <c r="M386" s="907"/>
      <c r="N386" s="744" t="s">
        <v>1214</v>
      </c>
      <c r="O386" s="907"/>
      <c r="P386" s="755" t="s">
        <v>1356</v>
      </c>
      <c r="Q386" s="907"/>
      <c r="R386" s="755" t="s">
        <v>1357</v>
      </c>
      <c r="S386" s="332" t="s">
        <v>14</v>
      </c>
      <c r="T386" s="266" t="s">
        <v>14</v>
      </c>
      <c r="U386" s="902"/>
      <c r="V386" s="786">
        <f t="shared" si="17"/>
        <v>3</v>
      </c>
      <c r="W386" s="902"/>
      <c r="X386" s="378" t="s">
        <v>1272</v>
      </c>
      <c r="Y386" s="902"/>
      <c r="Z386" s="791">
        <f t="shared" si="16"/>
        <v>36.06</v>
      </c>
      <c r="AA386" s="902"/>
      <c r="AB386" s="197" t="s">
        <v>342</v>
      </c>
      <c r="AC386" s="332" t="s">
        <v>14</v>
      </c>
      <c r="AD386" s="266" t="s">
        <v>14</v>
      </c>
      <c r="AE386" s="902"/>
      <c r="AF386" s="371" t="s">
        <v>822</v>
      </c>
      <c r="AG386" s="902"/>
      <c r="AH386" s="360" t="s">
        <v>823</v>
      </c>
      <c r="AJ386" s="925"/>
      <c r="AK386" s="82"/>
      <c r="AL386" s="86"/>
    </row>
    <row r="387" spans="1:38" s="18" customFormat="1" ht="27.6" x14ac:dyDescent="0.3">
      <c r="A387" s="403"/>
      <c r="B387" s="135" t="s">
        <v>1302</v>
      </c>
      <c r="C387" s="378" t="s">
        <v>297</v>
      </c>
      <c r="D387" s="57" t="s">
        <v>435</v>
      </c>
      <c r="E387" s="225"/>
      <c r="F387" s="370" t="s">
        <v>1262</v>
      </c>
      <c r="G387" s="907"/>
      <c r="H387" s="744" t="s">
        <v>1384</v>
      </c>
      <c r="I387" s="907"/>
      <c r="J387" s="744">
        <v>1404</v>
      </c>
      <c r="K387" s="907"/>
      <c r="L387" s="799">
        <v>4</v>
      </c>
      <c r="M387" s="907"/>
      <c r="N387" s="744" t="s">
        <v>1214</v>
      </c>
      <c r="O387" s="907"/>
      <c r="P387" s="755" t="s">
        <v>1356</v>
      </c>
      <c r="Q387" s="907"/>
      <c r="R387" s="755" t="s">
        <v>1357</v>
      </c>
      <c r="S387" s="332" t="s">
        <v>14</v>
      </c>
      <c r="T387" s="266" t="s">
        <v>14</v>
      </c>
      <c r="U387" s="902"/>
      <c r="V387" s="786">
        <f t="shared" si="17"/>
        <v>12</v>
      </c>
      <c r="W387" s="902"/>
      <c r="X387" s="378" t="s">
        <v>1272</v>
      </c>
      <c r="Y387" s="902"/>
      <c r="Z387" s="791">
        <f t="shared" si="16"/>
        <v>144.24</v>
      </c>
      <c r="AA387" s="902"/>
      <c r="AB387" s="197" t="s">
        <v>342</v>
      </c>
      <c r="AC387" s="332" t="s">
        <v>14</v>
      </c>
      <c r="AD387" s="266" t="s">
        <v>14</v>
      </c>
      <c r="AE387" s="902"/>
      <c r="AF387" s="371" t="s">
        <v>822</v>
      </c>
      <c r="AG387" s="902"/>
      <c r="AH387" s="360" t="s">
        <v>823</v>
      </c>
      <c r="AJ387" s="925"/>
      <c r="AK387" s="82"/>
      <c r="AL387" s="86"/>
    </row>
    <row r="388" spans="1:38" s="18" customFormat="1" ht="27.6" x14ac:dyDescent="0.3">
      <c r="A388" s="403"/>
      <c r="B388" s="135" t="s">
        <v>1303</v>
      </c>
      <c r="C388" s="378" t="s">
        <v>297</v>
      </c>
      <c r="D388" s="57" t="s">
        <v>435</v>
      </c>
      <c r="E388" s="225"/>
      <c r="F388" s="370" t="s">
        <v>1263</v>
      </c>
      <c r="G388" s="907"/>
      <c r="H388" s="744" t="s">
        <v>1384</v>
      </c>
      <c r="I388" s="907"/>
      <c r="J388" s="744">
        <v>351</v>
      </c>
      <c r="K388" s="907"/>
      <c r="L388" s="799">
        <v>1</v>
      </c>
      <c r="M388" s="907"/>
      <c r="N388" s="744" t="s">
        <v>1214</v>
      </c>
      <c r="O388" s="907"/>
      <c r="P388" s="755" t="s">
        <v>1356</v>
      </c>
      <c r="Q388" s="907"/>
      <c r="R388" s="755" t="s">
        <v>1357</v>
      </c>
      <c r="S388" s="332" t="s">
        <v>14</v>
      </c>
      <c r="T388" s="266" t="s">
        <v>14</v>
      </c>
      <c r="U388" s="902"/>
      <c r="V388" s="786">
        <f t="shared" si="17"/>
        <v>3</v>
      </c>
      <c r="W388" s="902"/>
      <c r="X388" s="378" t="s">
        <v>1272</v>
      </c>
      <c r="Y388" s="902"/>
      <c r="Z388" s="791">
        <f t="shared" si="16"/>
        <v>36.06</v>
      </c>
      <c r="AA388" s="902"/>
      <c r="AB388" s="197" t="s">
        <v>342</v>
      </c>
      <c r="AC388" s="332" t="s">
        <v>14</v>
      </c>
      <c r="AD388" s="266" t="s">
        <v>14</v>
      </c>
      <c r="AE388" s="902"/>
      <c r="AF388" s="371" t="s">
        <v>822</v>
      </c>
      <c r="AG388" s="902"/>
      <c r="AH388" s="360" t="s">
        <v>823</v>
      </c>
      <c r="AJ388" s="925"/>
      <c r="AK388" s="82"/>
      <c r="AL388" s="86"/>
    </row>
    <row r="389" spans="1:38" s="18" customFormat="1" ht="27.6" x14ac:dyDescent="0.3">
      <c r="A389" s="403"/>
      <c r="B389" s="135" t="s">
        <v>1304</v>
      </c>
      <c r="C389" s="378" t="s">
        <v>297</v>
      </c>
      <c r="D389" s="57" t="s">
        <v>435</v>
      </c>
      <c r="E389" s="225"/>
      <c r="F389" s="370" t="s">
        <v>1264</v>
      </c>
      <c r="G389" s="907"/>
      <c r="H389" s="744" t="s">
        <v>1384</v>
      </c>
      <c r="I389" s="907"/>
      <c r="J389" s="744">
        <v>1404</v>
      </c>
      <c r="K389" s="907"/>
      <c r="L389" s="799">
        <v>4</v>
      </c>
      <c r="M389" s="907"/>
      <c r="N389" s="744" t="s">
        <v>1214</v>
      </c>
      <c r="O389" s="907"/>
      <c r="P389" s="755" t="s">
        <v>1356</v>
      </c>
      <c r="Q389" s="907"/>
      <c r="R389" s="755" t="s">
        <v>1357</v>
      </c>
      <c r="S389" s="332" t="s">
        <v>14</v>
      </c>
      <c r="T389" s="266" t="s">
        <v>14</v>
      </c>
      <c r="U389" s="902"/>
      <c r="V389" s="786">
        <f t="shared" si="17"/>
        <v>12</v>
      </c>
      <c r="W389" s="902"/>
      <c r="X389" s="378" t="s">
        <v>1272</v>
      </c>
      <c r="Y389" s="902"/>
      <c r="Z389" s="791">
        <f t="shared" si="16"/>
        <v>144.24</v>
      </c>
      <c r="AA389" s="902"/>
      <c r="AB389" s="197" t="s">
        <v>342</v>
      </c>
      <c r="AC389" s="332" t="s">
        <v>14</v>
      </c>
      <c r="AD389" s="266" t="s">
        <v>14</v>
      </c>
      <c r="AE389" s="902"/>
      <c r="AF389" s="371" t="s">
        <v>822</v>
      </c>
      <c r="AG389" s="902"/>
      <c r="AH389" s="360" t="s">
        <v>823</v>
      </c>
      <c r="AJ389" s="925"/>
      <c r="AK389" s="82"/>
      <c r="AL389" s="86"/>
    </row>
    <row r="390" spans="1:38" s="18" customFormat="1" ht="27.6" x14ac:dyDescent="0.3">
      <c r="A390" s="403"/>
      <c r="B390" s="316" t="s">
        <v>1305</v>
      </c>
      <c r="C390" s="158" t="s">
        <v>297</v>
      </c>
      <c r="D390" s="476" t="s">
        <v>435</v>
      </c>
      <c r="E390" s="226"/>
      <c r="F390" s="229" t="s">
        <v>1265</v>
      </c>
      <c r="G390" s="910"/>
      <c r="H390" s="748" t="s">
        <v>1384</v>
      </c>
      <c r="I390" s="910"/>
      <c r="J390" s="748">
        <v>351</v>
      </c>
      <c r="K390" s="910"/>
      <c r="L390" s="800">
        <v>1</v>
      </c>
      <c r="M390" s="910"/>
      <c r="N390" s="757" t="s">
        <v>1214</v>
      </c>
      <c r="O390" s="910"/>
      <c r="P390" s="757" t="s">
        <v>1356</v>
      </c>
      <c r="Q390" s="910"/>
      <c r="R390" s="757" t="s">
        <v>1357</v>
      </c>
      <c r="S390" s="333" t="s">
        <v>14</v>
      </c>
      <c r="T390" s="273" t="s">
        <v>14</v>
      </c>
      <c r="U390" s="895"/>
      <c r="V390" s="914">
        <f>3*L390</f>
        <v>3</v>
      </c>
      <c r="W390" s="895"/>
      <c r="X390" s="158" t="s">
        <v>1272</v>
      </c>
      <c r="Y390" s="895"/>
      <c r="Z390" s="792">
        <f t="shared" si="16"/>
        <v>36.06</v>
      </c>
      <c r="AA390" s="895"/>
      <c r="AB390" s="199" t="s">
        <v>342</v>
      </c>
      <c r="AC390" s="333" t="s">
        <v>14</v>
      </c>
      <c r="AD390" s="273" t="s">
        <v>14</v>
      </c>
      <c r="AE390" s="895"/>
      <c r="AF390" s="160" t="s">
        <v>822</v>
      </c>
      <c r="AG390" s="895"/>
      <c r="AH390" s="654" t="s">
        <v>823</v>
      </c>
      <c r="AJ390" s="925"/>
      <c r="AK390" s="82"/>
      <c r="AL390" s="86"/>
    </row>
    <row r="391" spans="1:38" x14ac:dyDescent="0.3">
      <c r="A391" s="397"/>
      <c r="B391" s="397"/>
      <c r="C391" s="397"/>
      <c r="D391" s="397"/>
      <c r="E391" s="362"/>
      <c r="F391" s="397"/>
      <c r="G391" s="362"/>
      <c r="H391" s="397"/>
      <c r="I391" s="362"/>
      <c r="J391" s="397"/>
      <c r="K391" s="397"/>
      <c r="L391" s="397"/>
      <c r="M391" s="362"/>
      <c r="N391" s="397"/>
      <c r="O391" s="121"/>
      <c r="P391" s="111"/>
      <c r="Q391" s="82"/>
      <c r="R391" s="82"/>
      <c r="S391" s="82"/>
      <c r="T391" s="82"/>
      <c r="U391" s="82"/>
      <c r="V391" s="82"/>
      <c r="X391" s="369"/>
    </row>
    <row r="392" spans="1:38" x14ac:dyDescent="0.3">
      <c r="A392" s="397"/>
      <c r="B392" s="397"/>
      <c r="C392" s="397"/>
      <c r="D392" s="397"/>
      <c r="E392" s="362"/>
      <c r="F392" s="397"/>
      <c r="G392" s="362"/>
      <c r="H392" s="397"/>
      <c r="I392" s="362"/>
      <c r="J392" s="397"/>
      <c r="K392" s="397"/>
      <c r="L392" s="397"/>
      <c r="M392" s="362"/>
      <c r="N392" s="397"/>
      <c r="O392" s="121"/>
      <c r="P392" s="111"/>
      <c r="Q392" s="82"/>
      <c r="R392" s="82"/>
      <c r="S392" s="82"/>
      <c r="T392" s="82"/>
      <c r="U392" s="82"/>
      <c r="V392" s="82"/>
      <c r="X392" s="369"/>
    </row>
    <row r="393" spans="1:38" x14ac:dyDescent="0.3">
      <c r="A393" s="24"/>
      <c r="B393" s="24" t="s">
        <v>487</v>
      </c>
      <c r="C393" s="397"/>
      <c r="D393" s="397"/>
      <c r="E393" s="362"/>
      <c r="F393" s="397"/>
      <c r="G393" s="362"/>
      <c r="H393" s="397"/>
      <c r="I393" s="362"/>
      <c r="J393" s="397"/>
      <c r="K393" s="362"/>
      <c r="L393" s="397"/>
      <c r="M393" s="362"/>
      <c r="N393" s="397"/>
      <c r="O393" s="121"/>
      <c r="P393" s="111"/>
      <c r="Q393" s="82"/>
      <c r="R393" s="82"/>
      <c r="S393" s="82"/>
      <c r="T393" s="82"/>
      <c r="U393" s="363"/>
      <c r="V393" s="363"/>
      <c r="W393" s="363"/>
      <c r="X393" s="363"/>
    </row>
    <row r="394" spans="1:38" ht="27.6" x14ac:dyDescent="0.3">
      <c r="A394" s="397"/>
      <c r="B394" s="108" t="s">
        <v>488</v>
      </c>
      <c r="C394" s="112"/>
      <c r="D394" s="113" t="s">
        <v>433</v>
      </c>
      <c r="E394" s="231"/>
      <c r="F394" s="109" t="s">
        <v>836</v>
      </c>
      <c r="G394" s="210"/>
      <c r="H394" s="116" t="s">
        <v>489</v>
      </c>
      <c r="I394" s="231"/>
      <c r="J394" s="109" t="s">
        <v>490</v>
      </c>
      <c r="K394" s="455"/>
      <c r="L394" s="456" t="s">
        <v>491</v>
      </c>
      <c r="M394" s="231"/>
      <c r="N394" s="109" t="s">
        <v>739</v>
      </c>
      <c r="O394" s="121"/>
      <c r="P394" s="111"/>
      <c r="Q394" s="82"/>
      <c r="R394" s="82"/>
      <c r="S394" s="82"/>
      <c r="T394" s="82"/>
      <c r="U394" s="363"/>
      <c r="V394" s="363"/>
      <c r="W394" s="363"/>
      <c r="X394" s="363"/>
    </row>
    <row r="395" spans="1:38" ht="15" thickBot="1" x14ac:dyDescent="0.35">
      <c r="A395" s="397"/>
      <c r="B395" s="212"/>
      <c r="C395" s="118"/>
      <c r="D395" s="376"/>
      <c r="E395" s="375"/>
      <c r="F395" s="355" t="s">
        <v>1057</v>
      </c>
      <c r="G395" s="376"/>
      <c r="H395" s="354" t="s">
        <v>1058</v>
      </c>
      <c r="I395" s="230"/>
      <c r="J395" s="355" t="s">
        <v>1059</v>
      </c>
      <c r="K395" s="211"/>
      <c r="L395" s="354" t="s">
        <v>611</v>
      </c>
      <c r="M395" s="230"/>
      <c r="N395" s="355" t="s">
        <v>1060</v>
      </c>
      <c r="O395" s="121"/>
      <c r="P395" s="111"/>
      <c r="Q395" s="82"/>
      <c r="R395" s="82"/>
      <c r="S395" s="82"/>
      <c r="T395" s="82"/>
      <c r="U395" s="363"/>
      <c r="V395" s="363"/>
      <c r="W395" s="363"/>
      <c r="X395" s="363"/>
    </row>
    <row r="396" spans="1:38" s="362" customFormat="1" thickTop="1" x14ac:dyDescent="0.3">
      <c r="B396" s="356">
        <v>2</v>
      </c>
      <c r="C396" s="392"/>
      <c r="D396" s="458" t="s">
        <v>435</v>
      </c>
      <c r="E396" s="906" t="s">
        <v>919</v>
      </c>
      <c r="F396" s="793">
        <v>241918</v>
      </c>
      <c r="G396" s="916"/>
      <c r="H396" s="162">
        <v>0.82250000000000001</v>
      </c>
      <c r="I396" s="892"/>
      <c r="J396" s="155" t="s">
        <v>475</v>
      </c>
      <c r="K396" s="917"/>
      <c r="L396" s="160" t="s">
        <v>493</v>
      </c>
      <c r="M396" s="892"/>
      <c r="N396" s="155">
        <v>0.25</v>
      </c>
      <c r="O396" s="121"/>
      <c r="P396" s="121"/>
      <c r="Q396" s="82"/>
      <c r="R396" s="82"/>
      <c r="S396" s="82"/>
      <c r="T396" s="82"/>
      <c r="U396" s="364"/>
      <c r="V396" s="364"/>
      <c r="W396" s="364"/>
      <c r="X396" s="364"/>
    </row>
    <row r="397" spans="1:38" s="86" customFormat="1" x14ac:dyDescent="0.3">
      <c r="A397" s="82"/>
      <c r="B397" s="85"/>
      <c r="C397" s="83"/>
      <c r="E397" s="362"/>
      <c r="G397" s="25"/>
      <c r="I397" s="87"/>
      <c r="K397" s="87"/>
      <c r="M397" s="87"/>
      <c r="O397" s="87"/>
      <c r="Q397" s="87"/>
      <c r="S397" s="87"/>
      <c r="U397" s="363"/>
      <c r="V397" s="363"/>
      <c r="W397" s="363"/>
      <c r="X397" s="363"/>
    </row>
    <row r="398" spans="1:38" s="86" customFormat="1" x14ac:dyDescent="0.3">
      <c r="A398" s="24"/>
      <c r="B398" s="24" t="s">
        <v>729</v>
      </c>
      <c r="C398" s="83"/>
      <c r="E398" s="362"/>
      <c r="G398" s="25"/>
      <c r="I398" s="87"/>
      <c r="K398" s="87"/>
      <c r="M398" s="87"/>
      <c r="O398" s="87"/>
      <c r="Q398" s="87"/>
      <c r="S398" s="87"/>
      <c r="U398" s="363"/>
      <c r="V398" s="363"/>
      <c r="W398" s="363"/>
      <c r="X398" s="363"/>
    </row>
    <row r="399" spans="1:38" s="36" customFormat="1" ht="27.6" x14ac:dyDescent="0.3">
      <c r="A399" s="113"/>
      <c r="B399" s="125" t="s">
        <v>730</v>
      </c>
      <c r="C399" s="113" t="s">
        <v>742</v>
      </c>
      <c r="D399" s="113" t="s">
        <v>433</v>
      </c>
      <c r="E399" s="125"/>
      <c r="F399" s="142" t="s">
        <v>736</v>
      </c>
      <c r="G399" s="125"/>
      <c r="H399" s="142" t="s">
        <v>1389</v>
      </c>
      <c r="I399" s="113"/>
      <c r="J399" s="113" t="s">
        <v>1397</v>
      </c>
      <c r="K399" s="207"/>
      <c r="L399" s="113" t="s">
        <v>1291</v>
      </c>
      <c r="M399" s="207"/>
      <c r="N399" s="142" t="s">
        <v>771</v>
      </c>
      <c r="O399" s="113"/>
      <c r="P399" s="113" t="s">
        <v>734</v>
      </c>
      <c r="Q399" s="125"/>
      <c r="R399" s="142" t="s">
        <v>738</v>
      </c>
      <c r="S399" s="87"/>
      <c r="T399" s="86"/>
      <c r="U399" s="87"/>
      <c r="V399" s="86"/>
      <c r="W399" s="363"/>
      <c r="X399" s="363"/>
      <c r="Y399" s="363"/>
      <c r="Z399" s="363"/>
    </row>
    <row r="400" spans="1:38" s="448" customFormat="1" ht="15" thickBot="1" x14ac:dyDescent="0.35">
      <c r="B400" s="178"/>
      <c r="C400" s="171"/>
      <c r="D400" s="172"/>
      <c r="E400" s="173"/>
      <c r="F400" s="174" t="s">
        <v>1074</v>
      </c>
      <c r="G400" s="173"/>
      <c r="H400" s="174" t="s">
        <v>1390</v>
      </c>
      <c r="I400" s="171"/>
      <c r="J400" s="174" t="s">
        <v>1071</v>
      </c>
      <c r="K400" s="173"/>
      <c r="L400" s="174" t="s">
        <v>1072</v>
      </c>
      <c r="M400" s="173"/>
      <c r="N400" s="174" t="s">
        <v>1073</v>
      </c>
      <c r="O400" s="171"/>
      <c r="P400" s="171" t="s">
        <v>1076</v>
      </c>
      <c r="Q400" s="173"/>
      <c r="R400" s="174" t="s">
        <v>1075</v>
      </c>
      <c r="S400" s="87"/>
      <c r="T400" s="86"/>
      <c r="U400" s="87"/>
      <c r="V400" s="86"/>
      <c r="W400" s="363"/>
      <c r="X400" s="363"/>
      <c r="Y400" s="363"/>
      <c r="Z400" s="363"/>
    </row>
    <row r="401" spans="1:26" s="378" customFormat="1" thickTop="1" x14ac:dyDescent="0.3">
      <c r="B401" s="316" t="s">
        <v>731</v>
      </c>
      <c r="C401" s="158" t="s">
        <v>743</v>
      </c>
      <c r="D401" s="158" t="s">
        <v>435</v>
      </c>
      <c r="E401" s="895"/>
      <c r="F401" s="158" t="s">
        <v>824</v>
      </c>
      <c r="G401" s="895"/>
      <c r="H401" s="158" t="s">
        <v>1376</v>
      </c>
      <c r="I401" s="895"/>
      <c r="J401" s="158" t="s">
        <v>737</v>
      </c>
      <c r="K401" s="926"/>
      <c r="L401" s="769">
        <v>330372</v>
      </c>
      <c r="M401" s="895"/>
      <c r="N401" s="663" t="str">
        <f>ROUND(12/0.78/3.412,2)&amp;" (0.78 kW/ton) "&amp;ROUND(12/0.78,0)&amp;" EER"</f>
        <v>4.51 (0.78 kW/ton) 15 EER</v>
      </c>
      <c r="O401" s="411" t="s">
        <v>14</v>
      </c>
      <c r="P401" s="412" t="s">
        <v>14</v>
      </c>
      <c r="Q401" s="895"/>
      <c r="R401" s="199">
        <v>0.15</v>
      </c>
      <c r="S401" s="87"/>
      <c r="T401" s="86"/>
      <c r="U401" s="87"/>
      <c r="V401" s="86"/>
      <c r="W401" s="364"/>
      <c r="X401" s="364"/>
      <c r="Y401" s="364"/>
      <c r="Z401" s="364"/>
    </row>
    <row r="402" spans="1:26" s="86" customFormat="1" x14ac:dyDescent="0.3">
      <c r="A402" s="82"/>
      <c r="B402" s="85"/>
      <c r="C402" s="83"/>
      <c r="E402" s="362"/>
      <c r="G402" s="25"/>
      <c r="I402" s="87"/>
      <c r="M402" s="87"/>
      <c r="O402" s="87"/>
      <c r="Q402" s="87"/>
      <c r="S402" s="87"/>
      <c r="U402" s="363"/>
      <c r="V402" s="363"/>
      <c r="W402" s="363"/>
      <c r="X402" s="363"/>
    </row>
    <row r="403" spans="1:26" s="86" customFormat="1" x14ac:dyDescent="0.3">
      <c r="A403" s="82"/>
      <c r="B403" s="85"/>
      <c r="C403" s="83"/>
      <c r="E403" s="362"/>
      <c r="G403" s="25"/>
      <c r="I403" s="87"/>
      <c r="K403" s="87"/>
      <c r="M403" s="87"/>
      <c r="O403" s="87"/>
      <c r="Q403" s="87"/>
      <c r="S403" s="87"/>
      <c r="U403" s="363"/>
      <c r="V403" s="363"/>
      <c r="W403" s="363"/>
      <c r="X403" s="363"/>
    </row>
    <row r="404" spans="1:26" s="36" customFormat="1" ht="41.4" x14ac:dyDescent="0.3">
      <c r="A404" s="82"/>
      <c r="B404" s="125" t="s">
        <v>730</v>
      </c>
      <c r="C404" s="113" t="s">
        <v>742</v>
      </c>
      <c r="D404" s="113" t="s">
        <v>433</v>
      </c>
      <c r="E404" s="125"/>
      <c r="F404" s="142" t="s">
        <v>735</v>
      </c>
      <c r="G404" s="207"/>
      <c r="H404" s="142" t="s">
        <v>779</v>
      </c>
      <c r="I404" s="113"/>
      <c r="J404" s="113" t="s">
        <v>781</v>
      </c>
      <c r="K404" s="113"/>
      <c r="L404" s="168" t="s">
        <v>740</v>
      </c>
      <c r="M404" s="457"/>
      <c r="N404" s="110" t="s">
        <v>741</v>
      </c>
      <c r="Q404" s="87"/>
      <c r="R404" s="86"/>
    </row>
    <row r="405" spans="1:26" s="448" customFormat="1" thickBot="1" x14ac:dyDescent="0.35">
      <c r="A405" s="82"/>
      <c r="B405" s="178"/>
      <c r="C405" s="171"/>
      <c r="D405" s="172"/>
      <c r="E405" s="173"/>
      <c r="F405" s="174" t="s">
        <v>783</v>
      </c>
      <c r="G405" s="173"/>
      <c r="H405" s="174" t="s">
        <v>767</v>
      </c>
      <c r="I405" s="171"/>
      <c r="J405" s="171" t="s">
        <v>766</v>
      </c>
      <c r="K405" s="171"/>
      <c r="L405" s="171" t="s">
        <v>935</v>
      </c>
      <c r="M405" s="173"/>
      <c r="N405" s="174" t="s">
        <v>934</v>
      </c>
      <c r="Q405" s="87"/>
      <c r="R405" s="86"/>
    </row>
    <row r="406" spans="1:26" s="378" customFormat="1" ht="28.2" thickTop="1" x14ac:dyDescent="0.3">
      <c r="B406" s="316" t="s">
        <v>731</v>
      </c>
      <c r="C406" s="158" t="s">
        <v>743</v>
      </c>
      <c r="D406" s="158" t="s">
        <v>435</v>
      </c>
      <c r="E406" s="895"/>
      <c r="F406" s="160" t="s">
        <v>825</v>
      </c>
      <c r="G406" s="895"/>
      <c r="H406" s="160" t="s">
        <v>826</v>
      </c>
      <c r="I406" s="895"/>
      <c r="J406" s="160" t="s">
        <v>827</v>
      </c>
      <c r="K406" s="895"/>
      <c r="L406" s="158" t="s">
        <v>770</v>
      </c>
      <c r="M406" s="895"/>
      <c r="N406" s="199" t="s">
        <v>769</v>
      </c>
      <c r="Q406" s="87"/>
      <c r="R406" s="86"/>
    </row>
    <row r="407" spans="1:26" s="86" customFormat="1" x14ac:dyDescent="0.3">
      <c r="A407" s="82"/>
      <c r="B407" s="85"/>
      <c r="C407" s="83"/>
      <c r="E407" s="362"/>
      <c r="G407" s="25"/>
      <c r="I407" s="87"/>
      <c r="K407" s="87"/>
      <c r="M407" s="87"/>
      <c r="O407" s="87"/>
      <c r="Q407" s="87"/>
      <c r="S407" s="87"/>
      <c r="U407" s="363"/>
      <c r="V407" s="363"/>
      <c r="W407" s="363"/>
      <c r="X407" s="363"/>
    </row>
    <row r="408" spans="1:26" s="86" customFormat="1" x14ac:dyDescent="0.3">
      <c r="A408" s="82"/>
      <c r="B408" s="85"/>
      <c r="C408" s="83"/>
      <c r="E408" s="362"/>
      <c r="G408" s="25"/>
      <c r="I408" s="87"/>
      <c r="K408" s="87"/>
      <c r="M408" s="87"/>
      <c r="O408" s="87"/>
      <c r="Q408" s="87"/>
      <c r="S408" s="87"/>
      <c r="U408" s="363"/>
      <c r="V408" s="363"/>
      <c r="W408" s="363"/>
      <c r="X408" s="363"/>
    </row>
    <row r="409" spans="1:26" s="84" customFormat="1" ht="27.6" x14ac:dyDescent="0.3">
      <c r="B409" s="125" t="s">
        <v>750</v>
      </c>
      <c r="C409" s="113" t="s">
        <v>751</v>
      </c>
      <c r="D409" s="113" t="s">
        <v>433</v>
      </c>
      <c r="E409" s="125"/>
      <c r="F409" s="142" t="s">
        <v>760</v>
      </c>
      <c r="G409" s="113"/>
      <c r="H409" s="113" t="s">
        <v>761</v>
      </c>
      <c r="I409" s="125"/>
      <c r="J409" s="113" t="s">
        <v>1109</v>
      </c>
      <c r="K409" s="207"/>
      <c r="L409" s="113" t="s">
        <v>764</v>
      </c>
      <c r="M409" s="207"/>
      <c r="N409" s="142" t="s">
        <v>772</v>
      </c>
      <c r="O409" s="113"/>
      <c r="P409" s="113" t="s">
        <v>773</v>
      </c>
      <c r="Q409" s="113"/>
      <c r="R409" s="109" t="s">
        <v>492</v>
      </c>
      <c r="S409" s="113"/>
      <c r="T409" s="142" t="s">
        <v>1051</v>
      </c>
      <c r="U409" s="87"/>
      <c r="V409" s="86"/>
      <c r="W409" s="363"/>
      <c r="X409" s="363"/>
      <c r="Y409" s="363"/>
      <c r="Z409" s="363"/>
    </row>
    <row r="410" spans="1:26" ht="15" thickBot="1" x14ac:dyDescent="0.35">
      <c r="B410" s="178"/>
      <c r="C410" s="171"/>
      <c r="D410" s="172"/>
      <c r="E410" s="173"/>
      <c r="F410" s="355" t="s">
        <v>1061</v>
      </c>
      <c r="G410" s="171"/>
      <c r="H410" s="171" t="s">
        <v>1066</v>
      </c>
      <c r="I410" s="173"/>
      <c r="J410" s="174" t="s">
        <v>1110</v>
      </c>
      <c r="K410" s="173"/>
      <c r="L410" s="355" t="s">
        <v>1062</v>
      </c>
      <c r="M410" s="173"/>
      <c r="N410" s="355" t="s">
        <v>1063</v>
      </c>
      <c r="O410" s="171"/>
      <c r="P410" s="171" t="s">
        <v>1064</v>
      </c>
      <c r="Q410" s="171"/>
      <c r="R410" s="174" t="s">
        <v>1065</v>
      </c>
      <c r="S410" s="171"/>
      <c r="T410" s="174" t="s">
        <v>774</v>
      </c>
      <c r="U410" s="87"/>
      <c r="V410" s="86"/>
      <c r="W410" s="363"/>
      <c r="X410" s="363"/>
      <c r="Y410" s="363"/>
      <c r="Z410" s="363"/>
    </row>
    <row r="411" spans="1:26" s="364" customFormat="1" thickTop="1" x14ac:dyDescent="0.3">
      <c r="A411" s="378"/>
      <c r="B411" s="135" t="s">
        <v>752</v>
      </c>
      <c r="C411" s="371" t="s">
        <v>758</v>
      </c>
      <c r="D411" s="378" t="s">
        <v>435</v>
      </c>
      <c r="E411" s="899"/>
      <c r="F411" s="371" t="s">
        <v>494</v>
      </c>
      <c r="G411" s="899"/>
      <c r="H411" s="378" t="s">
        <v>762</v>
      </c>
      <c r="I411" s="901" t="s">
        <v>919</v>
      </c>
      <c r="J411" s="770">
        <f>ROUND(F396/500.19/40,2)</f>
        <v>12.09</v>
      </c>
      <c r="K411" s="901" t="s">
        <v>919</v>
      </c>
      <c r="L411" s="595" t="str">
        <f>ROUND(19*J411/1000,2)&amp;" (19 W/gpm)"</f>
        <v>0.23 (19 W/gpm)</v>
      </c>
      <c r="M411" s="901" t="s">
        <v>919</v>
      </c>
      <c r="N411" s="771">
        <v>0.5</v>
      </c>
      <c r="O411" s="901" t="s">
        <v>919</v>
      </c>
      <c r="P411" s="770">
        <f>ROUND(19/745.6*3960*R411*0.7,1)</f>
        <v>60.4</v>
      </c>
      <c r="Q411" s="896"/>
      <c r="R411" s="367">
        <v>0.85499999999999998</v>
      </c>
      <c r="S411" s="409" t="s">
        <v>14</v>
      </c>
      <c r="T411" s="410" t="s">
        <v>14</v>
      </c>
      <c r="U411" s="378"/>
      <c r="V411" s="371"/>
      <c r="W411" s="378"/>
      <c r="X411" s="371"/>
      <c r="Y411" s="378"/>
      <c r="Z411" s="371"/>
    </row>
    <row r="412" spans="1:26" s="364" customFormat="1" ht="13.8" x14ac:dyDescent="0.3">
      <c r="A412" s="378"/>
      <c r="B412" s="135" t="s">
        <v>754</v>
      </c>
      <c r="C412" s="371" t="s">
        <v>744</v>
      </c>
      <c r="D412" s="378" t="s">
        <v>435</v>
      </c>
      <c r="E412" s="899"/>
      <c r="F412" s="371" t="s">
        <v>494</v>
      </c>
      <c r="G412" s="899"/>
      <c r="H412" s="378" t="s">
        <v>762</v>
      </c>
      <c r="I412" s="927"/>
      <c r="J412" s="688">
        <f>ROUND(J419/500.19/10,3)</f>
        <v>80.698999999999998</v>
      </c>
      <c r="K412" s="927"/>
      <c r="L412" s="596" t="str">
        <f>ROUND(J412*P412/3960/(0.7*R412)*745.6/1000,2)&amp;" ("&amp;ROUND((P412/3960/(0.7*R412)*745.6),1)&amp;" W/gpm)"</f>
        <v>1.13 (14 W/gpm)</v>
      </c>
      <c r="M412" s="927"/>
      <c r="N412" s="705">
        <v>1.5</v>
      </c>
      <c r="O412" s="897"/>
      <c r="P412" s="304">
        <v>45</v>
      </c>
      <c r="Q412" s="897"/>
      <c r="R412" s="366">
        <v>0.86499999999999999</v>
      </c>
      <c r="S412" s="409" t="s">
        <v>14</v>
      </c>
      <c r="T412" s="410" t="s">
        <v>14</v>
      </c>
      <c r="U412" s="378"/>
      <c r="V412" s="371"/>
      <c r="W412" s="378"/>
      <c r="X412" s="371"/>
      <c r="Y412" s="378"/>
      <c r="Z412" s="371"/>
    </row>
    <row r="413" spans="1:26" s="370" customFormat="1" ht="13.8" x14ac:dyDescent="0.3">
      <c r="A413" s="378"/>
      <c r="B413" s="135" t="s">
        <v>756</v>
      </c>
      <c r="C413" s="371" t="s">
        <v>731</v>
      </c>
      <c r="D413" s="378" t="s">
        <v>435</v>
      </c>
      <c r="E413" s="899"/>
      <c r="F413" s="371" t="s">
        <v>494</v>
      </c>
      <c r="G413" s="899"/>
      <c r="H413" s="378" t="s">
        <v>763</v>
      </c>
      <c r="I413" s="927"/>
      <c r="J413" s="688">
        <f>ROUND(L401/500.19/20,3)</f>
        <v>33.024999999999999</v>
      </c>
      <c r="K413" s="927"/>
      <c r="L413" s="596" t="str">
        <f>ROUND(J413*P413/3960/(0.7*R413)*745.6/1000,2)&amp;" ("&amp;ROUND((P413/3960/(0.7*R413)*745.6),1)&amp;" W/gpm)"</f>
        <v>0.42 (12.8 W/gpm)</v>
      </c>
      <c r="M413" s="927"/>
      <c r="N413" s="705">
        <v>0.5</v>
      </c>
      <c r="O413" s="897"/>
      <c r="P413" s="588">
        <f>40+((0.03*L401)/12000)</f>
        <v>40.82593</v>
      </c>
      <c r="Q413" s="897"/>
      <c r="R413" s="366">
        <v>0.85499999999999998</v>
      </c>
      <c r="S413" s="899"/>
      <c r="T413" s="365" t="s">
        <v>929</v>
      </c>
      <c r="U413" s="368"/>
      <c r="W413" s="368"/>
      <c r="Y413" s="368"/>
    </row>
    <row r="414" spans="1:26" s="370" customFormat="1" ht="13.8" x14ac:dyDescent="0.3">
      <c r="A414" s="378"/>
      <c r="B414" s="284" t="s">
        <v>753</v>
      </c>
      <c r="C414" s="158" t="s">
        <v>759</v>
      </c>
      <c r="D414" s="158" t="s">
        <v>435</v>
      </c>
      <c r="E414" s="895"/>
      <c r="F414" s="229" t="s">
        <v>494</v>
      </c>
      <c r="G414" s="895"/>
      <c r="H414" s="229" t="s">
        <v>762</v>
      </c>
      <c r="I414" s="928"/>
      <c r="J414" s="774">
        <f>ROUND(F396/500.19/40,2)</f>
        <v>12.09</v>
      </c>
      <c r="K414" s="928"/>
      <c r="L414" s="775" t="str">
        <f>ROUND(19*J414/1000,2)&amp;" (19 W/gpm)"</f>
        <v>0.23 (19 W/gpm)</v>
      </c>
      <c r="M414" s="928"/>
      <c r="N414" s="776">
        <v>0.5</v>
      </c>
      <c r="O414" s="928"/>
      <c r="P414" s="777">
        <f>ROUND(19/745.6*3960*R414*0.7,1)</f>
        <v>60.4</v>
      </c>
      <c r="Q414" s="895"/>
      <c r="R414" s="166">
        <v>0.85499999999999998</v>
      </c>
      <c r="S414" s="411" t="s">
        <v>14</v>
      </c>
      <c r="T414" s="412" t="s">
        <v>14</v>
      </c>
      <c r="U414" s="368"/>
      <c r="W414" s="368"/>
      <c r="Y414" s="368"/>
    </row>
    <row r="415" spans="1:26" s="86" customFormat="1" ht="13.8" x14ac:dyDescent="0.3">
      <c r="A415" s="82"/>
      <c r="B415" s="85"/>
      <c r="C415" s="83"/>
      <c r="E415" s="362"/>
      <c r="G415" s="25"/>
      <c r="I415" s="87"/>
      <c r="J415" s="676"/>
      <c r="K415" s="87"/>
      <c r="M415" s="87"/>
      <c r="O415" s="87"/>
      <c r="Q415" s="87"/>
      <c r="S415" s="87"/>
      <c r="U415" s="87"/>
      <c r="W415" s="87"/>
    </row>
    <row r="416" spans="1:26" s="86" customFormat="1" ht="13.8" x14ac:dyDescent="0.3">
      <c r="A416" s="82"/>
      <c r="B416" s="85"/>
      <c r="C416" s="83"/>
      <c r="E416" s="362"/>
      <c r="G416" s="25"/>
      <c r="I416" s="87"/>
      <c r="J416" s="676"/>
      <c r="K416" s="87"/>
      <c r="M416" s="87"/>
      <c r="O416" s="87"/>
      <c r="Q416" s="87"/>
      <c r="S416" s="87"/>
      <c r="U416" s="87"/>
      <c r="W416" s="87"/>
    </row>
    <row r="417" spans="1:25" s="40" customFormat="1" ht="27.6" x14ac:dyDescent="0.3">
      <c r="A417" s="84"/>
      <c r="B417" s="125" t="s">
        <v>747</v>
      </c>
      <c r="C417" s="113" t="s">
        <v>742</v>
      </c>
      <c r="D417" s="113" t="s">
        <v>433</v>
      </c>
      <c r="E417" s="125"/>
      <c r="F417" s="142" t="s">
        <v>748</v>
      </c>
      <c r="G417" s="113"/>
      <c r="H417" s="113" t="s">
        <v>765</v>
      </c>
      <c r="I417" s="125"/>
      <c r="J417" s="113" t="s">
        <v>1111</v>
      </c>
      <c r="K417" s="207"/>
      <c r="L417" s="116" t="s">
        <v>777</v>
      </c>
      <c r="M417" s="207"/>
      <c r="N417" s="142" t="s">
        <v>776</v>
      </c>
      <c r="O417" s="113"/>
      <c r="P417" s="142" t="s">
        <v>1052</v>
      </c>
      <c r="Q417" s="449"/>
      <c r="S417" s="449"/>
      <c r="U417" s="449"/>
      <c r="W417" s="449"/>
      <c r="Y417" s="449"/>
    </row>
    <row r="418" spans="1:25" s="86" customFormat="1" thickBot="1" x14ac:dyDescent="0.35">
      <c r="A418" s="82"/>
      <c r="B418" s="178"/>
      <c r="C418" s="172"/>
      <c r="D418" s="172"/>
      <c r="E418" s="173"/>
      <c r="F418" s="355" t="s">
        <v>1067</v>
      </c>
      <c r="G418" s="171"/>
      <c r="H418" s="355" t="s">
        <v>1112</v>
      </c>
      <c r="I418" s="173"/>
      <c r="J418" s="355" t="s">
        <v>1068</v>
      </c>
      <c r="K418" s="173"/>
      <c r="L418" s="355" t="s">
        <v>1069</v>
      </c>
      <c r="M418" s="173"/>
      <c r="N418" s="355" t="s">
        <v>1070</v>
      </c>
      <c r="O418" s="171"/>
      <c r="P418" s="174" t="s">
        <v>774</v>
      </c>
      <c r="Q418" s="87"/>
      <c r="S418" s="87"/>
      <c r="U418" s="87"/>
      <c r="W418" s="87"/>
      <c r="Y418" s="87"/>
    </row>
    <row r="419" spans="1:25" s="370" customFormat="1" thickTop="1" x14ac:dyDescent="0.3">
      <c r="A419" s="378"/>
      <c r="B419" s="284" t="s">
        <v>744</v>
      </c>
      <c r="C419" s="158" t="s">
        <v>745</v>
      </c>
      <c r="D419" s="158" t="s">
        <v>435</v>
      </c>
      <c r="E419" s="895"/>
      <c r="F419" s="229" t="s">
        <v>749</v>
      </c>
      <c r="G419" s="895"/>
      <c r="H419" s="452" t="s">
        <v>482</v>
      </c>
      <c r="I419" s="926"/>
      <c r="J419" s="769">
        <v>403646</v>
      </c>
      <c r="K419" s="895"/>
      <c r="L419" s="593">
        <f>ROUNDDOWN(J419/500.19/10,2)</f>
        <v>80.69</v>
      </c>
      <c r="M419" s="895"/>
      <c r="N419" s="454" t="str">
        <f>ROUND(L419/60,2)&amp;" (60 gpm/HP)"</f>
        <v>1.34 (60 gpm/HP)</v>
      </c>
      <c r="O419" s="895"/>
      <c r="P419" s="193" t="s">
        <v>778</v>
      </c>
      <c r="Q419" s="368"/>
      <c r="S419" s="368"/>
      <c r="U419" s="368"/>
      <c r="W419" s="368"/>
      <c r="Y419" s="368"/>
    </row>
    <row r="420" spans="1:25" s="86" customFormat="1" ht="13.8" x14ac:dyDescent="0.3">
      <c r="A420" s="82"/>
      <c r="B420" s="85"/>
      <c r="C420" s="83"/>
      <c r="E420" s="362"/>
      <c r="G420" s="25"/>
      <c r="I420" s="87"/>
      <c r="K420" s="87"/>
      <c r="N420" s="87"/>
      <c r="O420" s="87"/>
      <c r="Q420" s="87"/>
      <c r="S420" s="87"/>
      <c r="U420" s="87"/>
      <c r="W420" s="87"/>
    </row>
    <row r="421" spans="1:25" s="86" customFormat="1" ht="13.8" x14ac:dyDescent="0.3">
      <c r="A421" s="82"/>
      <c r="B421" s="85"/>
      <c r="C421" s="83"/>
      <c r="E421" s="362"/>
      <c r="G421" s="25"/>
      <c r="I421" s="87"/>
      <c r="K421" s="87"/>
      <c r="N421" s="87"/>
      <c r="O421" s="87"/>
      <c r="Q421" s="87"/>
      <c r="S421" s="87"/>
      <c r="U421" s="87"/>
      <c r="W421" s="87"/>
    </row>
  </sheetData>
  <pageMargins left="0.7" right="0.7" top="0.75" bottom="0.75" header="0.3" footer="0.3"/>
  <pageSetup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sheetPr>
  <dimension ref="A1:AA228"/>
  <sheetViews>
    <sheetView zoomScale="85" zoomScaleNormal="85" workbookViewId="0"/>
  </sheetViews>
  <sheetFormatPr defaultColWidth="9.109375" defaultRowHeight="14.4" x14ac:dyDescent="0.3"/>
  <cols>
    <col min="1" max="1" width="3.6640625" style="369" customWidth="1"/>
    <col min="2" max="2" width="27" style="369" bestFit="1" customWidth="1"/>
    <col min="3" max="3" width="30.6640625" style="85" customWidth="1"/>
    <col min="4" max="4" width="11.6640625" style="369" bestFit="1" customWidth="1"/>
    <col min="5" max="5" width="2.6640625" style="76" customWidth="1"/>
    <col min="6" max="6" width="30.6640625" style="371" customWidth="1"/>
    <col min="7" max="7" width="2.6640625" style="76" customWidth="1"/>
    <col min="8" max="8" width="27.88671875" style="29" bestFit="1" customWidth="1"/>
    <col min="9" max="9" width="2.6640625" style="369" customWidth="1"/>
    <col min="10" max="10" width="24.44140625" style="85" customWidth="1"/>
    <col min="11" max="11" width="2.6640625" style="369" customWidth="1"/>
    <col min="12" max="12" width="28.109375" style="85" customWidth="1"/>
    <col min="13" max="13" width="2.6640625" style="369" customWidth="1"/>
    <col min="14" max="14" width="26" style="85" customWidth="1"/>
    <col min="15" max="15" width="2.6640625" style="369" customWidth="1"/>
    <col min="16" max="16" width="27.6640625" style="85" customWidth="1"/>
    <col min="17" max="17" width="2.6640625" style="369" customWidth="1"/>
    <col min="18" max="18" width="22" style="85" customWidth="1"/>
    <col min="19" max="19" width="2.6640625" style="369" customWidth="1"/>
    <col min="20" max="20" width="19" style="85" customWidth="1"/>
    <col min="21" max="21" width="2.109375" style="397" bestFit="1" customWidth="1"/>
    <col min="22" max="22" width="19" style="397" bestFit="1" customWidth="1"/>
    <col min="23" max="23" width="9.109375" style="397"/>
    <col min="24" max="24" width="11.33203125" style="397" customWidth="1"/>
    <col min="25" max="16384" width="9.109375" style="397"/>
  </cols>
  <sheetData>
    <row r="1" spans="1:21" ht="12.75" customHeight="1" x14ac:dyDescent="0.3">
      <c r="U1" s="369"/>
    </row>
    <row r="2" spans="1:21" x14ac:dyDescent="0.3">
      <c r="B2" s="567" t="s">
        <v>5</v>
      </c>
      <c r="C2" s="568"/>
      <c r="D2" s="567"/>
      <c r="E2" s="574"/>
      <c r="F2" s="568" t="s">
        <v>6</v>
      </c>
      <c r="G2" s="369"/>
      <c r="K2" s="567"/>
      <c r="L2" s="568" t="s">
        <v>1101</v>
      </c>
    </row>
    <row r="3" spans="1:21" ht="12.75" customHeight="1" x14ac:dyDescent="0.3">
      <c r="B3" s="369" t="s">
        <v>0</v>
      </c>
      <c r="C3" s="65" t="s">
        <v>1096</v>
      </c>
      <c r="E3" s="369"/>
      <c r="F3" s="85" t="s">
        <v>8</v>
      </c>
      <c r="G3" s="369"/>
      <c r="H3" s="65"/>
      <c r="K3" s="136"/>
      <c r="L3" s="369" t="s">
        <v>1106</v>
      </c>
    </row>
    <row r="4" spans="1:21" ht="12.75" customHeight="1" x14ac:dyDescent="0.3">
      <c r="B4" s="369" t="s">
        <v>1</v>
      </c>
      <c r="C4" s="85" t="str">
        <f>C3&amp;".cibd16"</f>
        <v>030006S-OffMed-Run23.cibd16</v>
      </c>
      <c r="F4" s="85" t="s">
        <v>110</v>
      </c>
      <c r="G4" s="369"/>
      <c r="H4" s="371" t="str">
        <f>'Documentation Main Sheet'!I3</f>
        <v>Release package</v>
      </c>
      <c r="K4" s="569"/>
      <c r="L4" s="369" t="s">
        <v>1102</v>
      </c>
    </row>
    <row r="5" spans="1:21" ht="12.75" customHeight="1" x14ac:dyDescent="0.3">
      <c r="B5" s="369" t="s">
        <v>54</v>
      </c>
      <c r="C5" s="85" t="s">
        <v>56</v>
      </c>
      <c r="F5" s="85" t="s">
        <v>7</v>
      </c>
      <c r="H5" s="371" t="str">
        <f>'Documentation Main Sheet'!I4</f>
        <v>CBECC-Com 209.1.0 release</v>
      </c>
      <c r="I5" s="62"/>
      <c r="K5" s="571">
        <v>1</v>
      </c>
      <c r="L5" s="378" t="s">
        <v>1103</v>
      </c>
      <c r="P5" s="9"/>
      <c r="R5" s="9"/>
      <c r="T5" s="9"/>
    </row>
    <row r="6" spans="1:21" ht="12.75" customHeight="1" x14ac:dyDescent="0.3">
      <c r="B6" s="369" t="s">
        <v>390</v>
      </c>
      <c r="C6" s="85" t="s">
        <v>395</v>
      </c>
      <c r="F6" s="85" t="s">
        <v>2</v>
      </c>
      <c r="H6" s="394"/>
      <c r="K6" s="582">
        <v>1</v>
      </c>
      <c r="L6" s="381" t="s">
        <v>1104</v>
      </c>
    </row>
    <row r="7" spans="1:21" ht="27.6" x14ac:dyDescent="0.3">
      <c r="B7" s="369" t="s">
        <v>432</v>
      </c>
      <c r="C7" s="85" t="s">
        <v>1325</v>
      </c>
      <c r="F7" s="85" t="s">
        <v>3</v>
      </c>
      <c r="H7" s="371" t="s">
        <v>4</v>
      </c>
      <c r="K7" s="583">
        <v>1</v>
      </c>
      <c r="L7" s="378" t="s">
        <v>1105</v>
      </c>
    </row>
    <row r="8" spans="1:21" ht="12.75" customHeight="1" x14ac:dyDescent="0.3">
      <c r="B8" s="369" t="s">
        <v>952</v>
      </c>
      <c r="C8" s="85" t="s">
        <v>426</v>
      </c>
      <c r="F8" s="369"/>
      <c r="G8" s="369"/>
      <c r="H8" s="369"/>
      <c r="K8" s="796">
        <v>1</v>
      </c>
      <c r="L8" s="369" t="s">
        <v>1396</v>
      </c>
    </row>
    <row r="9" spans="1:21" x14ac:dyDescent="0.3">
      <c r="B9" s="85"/>
      <c r="C9" s="83"/>
      <c r="E9" s="369"/>
      <c r="F9" s="85"/>
      <c r="H9" s="85"/>
    </row>
    <row r="10" spans="1:21" x14ac:dyDescent="0.3">
      <c r="A10" s="286"/>
      <c r="B10" s="287" t="s">
        <v>37</v>
      </c>
      <c r="C10" s="288"/>
      <c r="D10" s="286"/>
      <c r="E10" s="286"/>
      <c r="F10" s="289"/>
      <c r="G10" s="286"/>
      <c r="H10" s="288"/>
      <c r="I10" s="286"/>
      <c r="J10" s="288"/>
      <c r="K10" s="286"/>
      <c r="L10" s="288"/>
      <c r="M10" s="286"/>
      <c r="N10" s="288"/>
      <c r="O10" s="286"/>
      <c r="P10" s="288"/>
      <c r="Q10" s="286"/>
      <c r="R10" s="288"/>
      <c r="S10" s="286"/>
      <c r="T10" s="288"/>
    </row>
    <row r="11" spans="1:21" x14ac:dyDescent="0.3">
      <c r="A11" s="26"/>
      <c r="B11" s="28" t="s">
        <v>9</v>
      </c>
      <c r="D11" s="83"/>
      <c r="E11" s="84"/>
      <c r="F11" s="85"/>
      <c r="G11" s="84"/>
      <c r="I11" s="84"/>
      <c r="K11" s="84"/>
      <c r="M11" s="84"/>
      <c r="O11" s="84"/>
      <c r="P11" s="77"/>
      <c r="Q11" s="84"/>
      <c r="R11" s="77"/>
      <c r="S11" s="84"/>
      <c r="T11" s="77"/>
    </row>
    <row r="12" spans="1:21" x14ac:dyDescent="0.3">
      <c r="A12" s="86"/>
      <c r="B12" s="84" t="s">
        <v>17</v>
      </c>
      <c r="C12" s="87"/>
      <c r="D12" s="86"/>
      <c r="E12" s="86"/>
      <c r="G12" s="86"/>
      <c r="H12" s="87"/>
      <c r="I12" s="86"/>
      <c r="J12" s="87"/>
      <c r="K12" s="84"/>
      <c r="L12" s="87"/>
      <c r="M12" s="84"/>
      <c r="N12" s="87"/>
      <c r="O12" s="84"/>
      <c r="P12" s="77"/>
      <c r="Q12" s="84"/>
      <c r="R12" s="77"/>
      <c r="S12" s="84"/>
      <c r="T12" s="77"/>
    </row>
    <row r="13" spans="1:21" ht="55.2" x14ac:dyDescent="0.3">
      <c r="A13" s="84"/>
      <c r="B13" s="132" t="s">
        <v>137</v>
      </c>
      <c r="C13" s="113" t="s">
        <v>31</v>
      </c>
      <c r="D13" s="112" t="s">
        <v>433</v>
      </c>
      <c r="E13" s="132"/>
      <c r="F13" s="113" t="s">
        <v>49</v>
      </c>
      <c r="G13" s="132"/>
      <c r="H13" s="113" t="s">
        <v>11</v>
      </c>
      <c r="I13" s="132"/>
      <c r="J13" s="142" t="s">
        <v>495</v>
      </c>
      <c r="K13" s="138"/>
      <c r="L13" s="142" t="s">
        <v>496</v>
      </c>
      <c r="M13" s="115"/>
      <c r="N13" s="113" t="s">
        <v>497</v>
      </c>
      <c r="O13" s="138"/>
      <c r="P13" s="109" t="s">
        <v>498</v>
      </c>
      <c r="Q13" s="115"/>
      <c r="R13" s="109" t="s">
        <v>499</v>
      </c>
      <c r="S13" s="84"/>
      <c r="T13" s="77"/>
    </row>
    <row r="14" spans="1:21" ht="15" thickBot="1" x14ac:dyDescent="0.35">
      <c r="A14" s="76"/>
      <c r="B14" s="126"/>
      <c r="C14" s="117" t="s">
        <v>23</v>
      </c>
      <c r="D14" s="118"/>
      <c r="E14" s="133"/>
      <c r="F14" s="117" t="s">
        <v>50</v>
      </c>
      <c r="G14" s="133"/>
      <c r="H14" s="117" t="s">
        <v>25</v>
      </c>
      <c r="I14" s="139"/>
      <c r="J14" s="143" t="s">
        <v>24</v>
      </c>
      <c r="K14" s="139"/>
      <c r="L14" s="143" t="s">
        <v>140</v>
      </c>
      <c r="M14" s="118"/>
      <c r="N14" s="117" t="s">
        <v>141</v>
      </c>
      <c r="O14" s="139"/>
      <c r="P14" s="143" t="s">
        <v>142</v>
      </c>
      <c r="Q14" s="117"/>
      <c r="R14" s="143" t="s">
        <v>143</v>
      </c>
      <c r="S14" s="84"/>
      <c r="T14" s="29"/>
    </row>
    <row r="15" spans="1:21" ht="15" thickTop="1" x14ac:dyDescent="0.3">
      <c r="B15" s="123" t="s">
        <v>10</v>
      </c>
      <c r="C15" s="85" t="s">
        <v>40</v>
      </c>
      <c r="D15" s="378" t="s">
        <v>521</v>
      </c>
      <c r="E15" s="134"/>
      <c r="F15" s="85" t="s">
        <v>321</v>
      </c>
      <c r="G15" s="134"/>
      <c r="H15" s="85" t="s">
        <v>30</v>
      </c>
      <c r="I15" s="134"/>
      <c r="J15" s="144">
        <v>6.5000000000000002E-2</v>
      </c>
      <c r="K15" s="134"/>
      <c r="L15" s="147">
        <v>0.8</v>
      </c>
      <c r="M15" s="141"/>
      <c r="N15" s="63">
        <v>0.8</v>
      </c>
      <c r="O15" s="134"/>
      <c r="P15" s="147">
        <v>0.1</v>
      </c>
      <c r="Q15" s="141"/>
      <c r="R15" s="147">
        <v>0.9</v>
      </c>
      <c r="S15" s="84"/>
      <c r="T15" s="29"/>
    </row>
    <row r="16" spans="1:21" x14ac:dyDescent="0.3">
      <c r="B16" s="123" t="s">
        <v>15</v>
      </c>
      <c r="C16" s="85" t="s">
        <v>1107</v>
      </c>
      <c r="D16" s="369" t="s">
        <v>521</v>
      </c>
      <c r="E16" s="409" t="s">
        <v>14</v>
      </c>
      <c r="F16" s="472" t="s">
        <v>14</v>
      </c>
      <c r="G16" s="136"/>
      <c r="H16" s="85" t="s">
        <v>16</v>
      </c>
      <c r="I16" s="136"/>
      <c r="J16" s="146">
        <v>6.8000000000000005E-2</v>
      </c>
      <c r="K16" s="409" t="s">
        <v>14</v>
      </c>
      <c r="L16" s="410" t="s">
        <v>14</v>
      </c>
      <c r="M16" s="428" t="s">
        <v>14</v>
      </c>
      <c r="N16" s="428" t="s">
        <v>14</v>
      </c>
      <c r="O16" s="409" t="s">
        <v>14</v>
      </c>
      <c r="P16" s="410" t="s">
        <v>14</v>
      </c>
      <c r="Q16" s="428" t="s">
        <v>14</v>
      </c>
      <c r="R16" s="410" t="s">
        <v>14</v>
      </c>
      <c r="S16" s="84"/>
      <c r="T16" s="29"/>
    </row>
    <row r="17" spans="1:20" x14ac:dyDescent="0.3">
      <c r="B17" s="149" t="s">
        <v>15</v>
      </c>
      <c r="C17" s="150" t="s">
        <v>58</v>
      </c>
      <c r="D17" s="151" t="s">
        <v>436</v>
      </c>
      <c r="E17" s="411" t="s">
        <v>14</v>
      </c>
      <c r="F17" s="473" t="s">
        <v>14</v>
      </c>
      <c r="G17" s="153"/>
      <c r="H17" s="150" t="s">
        <v>16</v>
      </c>
      <c r="I17" s="153"/>
      <c r="J17" s="155">
        <v>6.8000000000000005E-2</v>
      </c>
      <c r="K17" s="411" t="s">
        <v>14</v>
      </c>
      <c r="L17" s="412" t="s">
        <v>14</v>
      </c>
      <c r="M17" s="432" t="s">
        <v>14</v>
      </c>
      <c r="N17" s="432" t="s">
        <v>14</v>
      </c>
      <c r="O17" s="411" t="s">
        <v>14</v>
      </c>
      <c r="P17" s="412" t="s">
        <v>14</v>
      </c>
      <c r="Q17" s="432" t="s">
        <v>14</v>
      </c>
      <c r="R17" s="412" t="s">
        <v>14</v>
      </c>
      <c r="S17" s="84"/>
      <c r="T17" s="29"/>
    </row>
    <row r="18" spans="1:20" x14ac:dyDescent="0.3">
      <c r="B18" s="371"/>
      <c r="E18" s="369"/>
      <c r="F18" s="85"/>
      <c r="G18" s="369"/>
      <c r="H18" s="371"/>
      <c r="J18" s="32"/>
      <c r="K18" s="7"/>
      <c r="L18" s="32"/>
      <c r="M18" s="7"/>
      <c r="N18" s="32"/>
      <c r="O18" s="7"/>
      <c r="P18" s="30"/>
      <c r="Q18" s="7"/>
      <c r="R18" s="30"/>
      <c r="S18" s="84"/>
      <c r="T18" s="29"/>
    </row>
    <row r="19" spans="1:20" x14ac:dyDescent="0.3">
      <c r="B19" s="84" t="s">
        <v>18</v>
      </c>
      <c r="E19" s="369"/>
      <c r="F19" s="85"/>
      <c r="G19" s="369"/>
      <c r="H19" s="371"/>
      <c r="J19" s="32"/>
      <c r="K19" s="7"/>
      <c r="L19" s="32"/>
      <c r="M19" s="7"/>
      <c r="N19" s="32"/>
      <c r="O19" s="7"/>
      <c r="P19" s="30"/>
      <c r="Q19" s="7"/>
      <c r="R19" s="30"/>
      <c r="S19" s="84"/>
      <c r="T19" s="29"/>
    </row>
    <row r="20" spans="1:20" ht="27.6" x14ac:dyDescent="0.3">
      <c r="A20" s="84"/>
      <c r="B20" s="132" t="s">
        <v>137</v>
      </c>
      <c r="C20" s="113" t="s">
        <v>31</v>
      </c>
      <c r="D20" s="112" t="s">
        <v>433</v>
      </c>
      <c r="E20" s="112"/>
      <c r="F20" s="113" t="s">
        <v>437</v>
      </c>
      <c r="G20" s="132"/>
      <c r="H20" s="142" t="s">
        <v>11</v>
      </c>
      <c r="I20" s="112"/>
      <c r="J20" s="113" t="s">
        <v>495</v>
      </c>
      <c r="K20" s="132"/>
      <c r="L20" s="142" t="s">
        <v>22</v>
      </c>
      <c r="M20" s="132"/>
      <c r="N20" s="142" t="s">
        <v>39</v>
      </c>
      <c r="O20" s="84"/>
      <c r="P20" s="36"/>
      <c r="Q20" s="84"/>
      <c r="R20" s="36"/>
      <c r="S20" s="84"/>
      <c r="T20" s="36"/>
    </row>
    <row r="21" spans="1:20" ht="15" thickBot="1" x14ac:dyDescent="0.35">
      <c r="A21" s="76"/>
      <c r="B21" s="126"/>
      <c r="C21" s="117" t="s">
        <v>46</v>
      </c>
      <c r="D21" s="118"/>
      <c r="E21" s="119"/>
      <c r="F21" s="117"/>
      <c r="G21" s="133"/>
      <c r="H21" s="143" t="s">
        <v>26</v>
      </c>
      <c r="I21" s="119"/>
      <c r="J21" s="117" t="s">
        <v>47</v>
      </c>
      <c r="K21" s="139"/>
      <c r="L21" s="143" t="s">
        <v>28</v>
      </c>
      <c r="M21" s="139"/>
      <c r="N21" s="143" t="s">
        <v>29</v>
      </c>
      <c r="O21" s="76"/>
      <c r="P21" s="29"/>
      <c r="Q21" s="29"/>
      <c r="R21" s="29"/>
      <c r="S21" s="29"/>
      <c r="T21" s="29"/>
    </row>
    <row r="22" spans="1:20" s="362" customFormat="1" thickTop="1" x14ac:dyDescent="0.3">
      <c r="A22" s="369"/>
      <c r="B22" s="123" t="s">
        <v>20</v>
      </c>
      <c r="C22" s="369" t="s">
        <v>483</v>
      </c>
      <c r="D22" s="369" t="s">
        <v>435</v>
      </c>
      <c r="E22" s="378"/>
      <c r="F22" s="371" t="s">
        <v>438</v>
      </c>
      <c r="G22" s="136"/>
      <c r="H22" s="367" t="s">
        <v>19</v>
      </c>
      <c r="I22" s="176"/>
      <c r="J22" s="31">
        <v>0.4</v>
      </c>
      <c r="K22" s="136"/>
      <c r="L22" s="147">
        <v>0.33</v>
      </c>
      <c r="M22" s="136"/>
      <c r="N22" s="147">
        <v>0.5</v>
      </c>
      <c r="O22" s="378"/>
      <c r="P22" s="369"/>
      <c r="Q22" s="85"/>
      <c r="R22" s="378"/>
      <c r="S22" s="85"/>
      <c r="T22" s="378"/>
    </row>
    <row r="23" spans="1:20" x14ac:dyDescent="0.3">
      <c r="B23" s="149" t="s">
        <v>20</v>
      </c>
      <c r="C23" s="151" t="s">
        <v>484</v>
      </c>
      <c r="D23" s="158" t="s">
        <v>436</v>
      </c>
      <c r="E23" s="159"/>
      <c r="F23" s="160" t="s">
        <v>439</v>
      </c>
      <c r="G23" s="165"/>
      <c r="H23" s="166" t="s">
        <v>19</v>
      </c>
      <c r="I23" s="164"/>
      <c r="J23" s="150">
        <v>0.55000000000000004</v>
      </c>
      <c r="K23" s="165"/>
      <c r="L23" s="163">
        <v>0.56000000000000005</v>
      </c>
      <c r="M23" s="165"/>
      <c r="N23" s="163">
        <v>0.6</v>
      </c>
    </row>
    <row r="24" spans="1:20" x14ac:dyDescent="0.3">
      <c r="C24" s="371"/>
      <c r="D24" s="378"/>
      <c r="E24" s="369"/>
      <c r="G24" s="369"/>
      <c r="H24" s="85"/>
    </row>
    <row r="25" spans="1:20" s="83" customFormat="1" ht="27.6" x14ac:dyDescent="0.3">
      <c r="D25" s="216" t="s">
        <v>137</v>
      </c>
      <c r="E25" s="190"/>
      <c r="F25" s="109" t="s">
        <v>512</v>
      </c>
      <c r="G25" s="183"/>
      <c r="H25" s="116" t="s">
        <v>513</v>
      </c>
      <c r="I25" s="190"/>
      <c r="J25" s="109" t="s">
        <v>514</v>
      </c>
      <c r="K25" s="183"/>
      <c r="L25" s="116" t="s">
        <v>515</v>
      </c>
      <c r="M25" s="190"/>
      <c r="N25" s="109" t="s">
        <v>516</v>
      </c>
      <c r="O25" s="39"/>
      <c r="P25" s="15"/>
      <c r="Q25" s="15"/>
      <c r="R25" s="15"/>
      <c r="S25" s="15"/>
      <c r="T25" s="15"/>
    </row>
    <row r="26" spans="1:20" s="369" customFormat="1" thickBot="1" x14ac:dyDescent="0.35">
      <c r="D26" s="236"/>
      <c r="E26" s="237"/>
      <c r="F26" s="238" t="s">
        <v>65</v>
      </c>
      <c r="G26" s="224"/>
      <c r="H26" s="118" t="s">
        <v>66</v>
      </c>
      <c r="I26" s="237"/>
      <c r="J26" s="101" t="s">
        <v>67</v>
      </c>
      <c r="K26" s="224"/>
      <c r="L26" s="215" t="s">
        <v>68</v>
      </c>
      <c r="M26" s="237"/>
      <c r="N26" s="101" t="s">
        <v>69</v>
      </c>
      <c r="O26" s="63"/>
      <c r="P26" s="63"/>
      <c r="Q26" s="63"/>
      <c r="R26" s="63"/>
      <c r="S26" s="63"/>
      <c r="T26" s="63"/>
    </row>
    <row r="27" spans="1:20" s="378" customFormat="1" thickTop="1" x14ac:dyDescent="0.3">
      <c r="C27" s="84"/>
      <c r="D27" s="233" t="s">
        <v>20</v>
      </c>
      <c r="E27" s="165"/>
      <c r="F27" s="235">
        <v>0.30809999999999998</v>
      </c>
      <c r="G27" s="164"/>
      <c r="H27" s="234">
        <v>0.33</v>
      </c>
      <c r="I27" s="165"/>
      <c r="J27" s="234">
        <v>0.33</v>
      </c>
      <c r="K27" s="359"/>
      <c r="L27" s="234">
        <v>0.33</v>
      </c>
      <c r="M27" s="165"/>
      <c r="N27" s="235">
        <v>0.22</v>
      </c>
      <c r="O27" s="370"/>
      <c r="P27" s="370"/>
      <c r="Q27" s="370"/>
      <c r="R27" s="370"/>
      <c r="S27" s="370"/>
      <c r="T27" s="370"/>
    </row>
    <row r="28" spans="1:20" x14ac:dyDescent="0.3">
      <c r="C28" s="371"/>
      <c r="D28" s="378"/>
      <c r="E28" s="369"/>
      <c r="G28" s="369"/>
      <c r="H28" s="85"/>
    </row>
    <row r="29" spans="1:20" x14ac:dyDescent="0.3">
      <c r="A29" s="26"/>
      <c r="B29" s="28" t="s">
        <v>53</v>
      </c>
      <c r="D29" s="83"/>
      <c r="E29" s="40"/>
      <c r="F29" s="38"/>
      <c r="G29" s="40"/>
      <c r="H29" s="38"/>
      <c r="I29" s="40"/>
      <c r="J29" s="38"/>
      <c r="K29" s="40"/>
      <c r="L29" s="38"/>
      <c r="M29" s="40"/>
      <c r="N29" s="38"/>
      <c r="O29" s="40"/>
      <c r="P29" s="38"/>
      <c r="R29" s="38"/>
      <c r="T29" s="38"/>
    </row>
    <row r="30" spans="1:20" x14ac:dyDescent="0.3">
      <c r="B30" s="84" t="s">
        <v>17</v>
      </c>
    </row>
    <row r="31" spans="1:20" x14ac:dyDescent="0.3">
      <c r="A31" s="84"/>
      <c r="B31" s="132" t="s">
        <v>137</v>
      </c>
      <c r="C31" s="113" t="s">
        <v>31</v>
      </c>
      <c r="D31" s="112" t="s">
        <v>433</v>
      </c>
      <c r="E31" s="132"/>
      <c r="F31" s="110" t="s">
        <v>32</v>
      </c>
      <c r="G31" s="112"/>
      <c r="H31" s="168" t="s">
        <v>33</v>
      </c>
      <c r="I31" s="132"/>
      <c r="J31" s="110" t="s">
        <v>34</v>
      </c>
      <c r="K31" s="112"/>
      <c r="L31" s="168" t="s">
        <v>35</v>
      </c>
      <c r="M31" s="132"/>
      <c r="N31" s="110" t="s">
        <v>36</v>
      </c>
      <c r="O31" s="112"/>
      <c r="P31" s="110" t="s">
        <v>144</v>
      </c>
      <c r="Q31" s="84"/>
      <c r="R31" s="78"/>
      <c r="S31" s="84"/>
      <c r="T31" s="78"/>
    </row>
    <row r="32" spans="1:20" ht="15" thickBot="1" x14ac:dyDescent="0.35">
      <c r="A32" s="76"/>
      <c r="B32" s="126"/>
      <c r="C32" s="117" t="s">
        <v>23</v>
      </c>
      <c r="D32" s="118"/>
      <c r="E32" s="133"/>
      <c r="F32" s="519" t="s">
        <v>968</v>
      </c>
      <c r="G32" s="119"/>
      <c r="H32" s="519" t="s">
        <v>968</v>
      </c>
      <c r="I32" s="139"/>
      <c r="J32" s="519" t="s">
        <v>968</v>
      </c>
      <c r="K32" s="118"/>
      <c r="L32" s="519" t="s">
        <v>968</v>
      </c>
      <c r="M32" s="139"/>
      <c r="N32" s="519" t="s">
        <v>968</v>
      </c>
      <c r="O32" s="118"/>
      <c r="P32" s="519" t="s">
        <v>968</v>
      </c>
      <c r="Q32" s="29"/>
      <c r="R32" s="29"/>
      <c r="S32" s="29"/>
      <c r="T32" s="29"/>
    </row>
    <row r="33" spans="1:22" s="362" customFormat="1" ht="28.2" thickTop="1" x14ac:dyDescent="0.3">
      <c r="A33" s="60"/>
      <c r="B33" s="123" t="s">
        <v>15</v>
      </c>
      <c r="C33" s="85" t="s">
        <v>58</v>
      </c>
      <c r="D33" s="369" t="s">
        <v>434</v>
      </c>
      <c r="E33" s="134"/>
      <c r="F33" s="367" t="s">
        <v>1133</v>
      </c>
      <c r="G33" s="141"/>
      <c r="H33" s="371" t="s">
        <v>1146</v>
      </c>
      <c r="I33" s="134"/>
      <c r="J33" s="367" t="s">
        <v>1172</v>
      </c>
      <c r="K33" s="141"/>
      <c r="L33" s="371" t="s">
        <v>1173</v>
      </c>
      <c r="M33" s="134"/>
      <c r="N33" s="367" t="s">
        <v>1174</v>
      </c>
      <c r="O33" s="428" t="s">
        <v>14</v>
      </c>
      <c r="P33" s="410" t="s">
        <v>14</v>
      </c>
      <c r="Q33" s="369"/>
      <c r="R33" s="66"/>
      <c r="S33" s="369"/>
      <c r="T33" s="66"/>
    </row>
    <row r="34" spans="1:22" s="362" customFormat="1" ht="27.6" x14ac:dyDescent="0.3">
      <c r="A34" s="60"/>
      <c r="B34" s="149" t="s">
        <v>10</v>
      </c>
      <c r="C34" s="150" t="s">
        <v>40</v>
      </c>
      <c r="D34" s="150" t="s">
        <v>521</v>
      </c>
      <c r="E34" s="153"/>
      <c r="F34" s="166" t="s">
        <v>1137</v>
      </c>
      <c r="G34" s="169"/>
      <c r="H34" s="160" t="s">
        <v>1160</v>
      </c>
      <c r="I34" s="411" t="s">
        <v>14</v>
      </c>
      <c r="J34" s="412" t="s">
        <v>14</v>
      </c>
      <c r="K34" s="432" t="s">
        <v>14</v>
      </c>
      <c r="L34" s="432" t="s">
        <v>14</v>
      </c>
      <c r="M34" s="411" t="s">
        <v>14</v>
      </c>
      <c r="N34" s="412" t="s">
        <v>14</v>
      </c>
      <c r="O34" s="432" t="s">
        <v>14</v>
      </c>
      <c r="P34" s="412" t="s">
        <v>14</v>
      </c>
      <c r="Q34" s="369"/>
      <c r="R34" s="66"/>
      <c r="S34" s="369"/>
      <c r="T34" s="66"/>
    </row>
    <row r="36" spans="1:22" x14ac:dyDescent="0.3">
      <c r="B36" s="85"/>
      <c r="C36" s="83"/>
      <c r="D36" s="362"/>
      <c r="E36" s="369"/>
      <c r="F36" s="369"/>
      <c r="G36" s="369"/>
      <c r="H36" s="369"/>
      <c r="J36" s="369"/>
      <c r="L36" s="66"/>
      <c r="N36" s="66"/>
      <c r="P36" s="66"/>
      <c r="R36" s="66"/>
      <c r="T36" s="66"/>
    </row>
    <row r="37" spans="1:22" x14ac:dyDescent="0.3">
      <c r="A37" s="26"/>
      <c r="B37" s="28" t="s">
        <v>517</v>
      </c>
      <c r="C37" s="83"/>
      <c r="D37" s="362"/>
      <c r="E37" s="369"/>
      <c r="F37" s="369"/>
      <c r="G37" s="369"/>
      <c r="H37" s="369"/>
      <c r="J37" s="369"/>
      <c r="L37" s="66"/>
      <c r="N37" s="66"/>
      <c r="P37" s="66"/>
      <c r="R37" s="66"/>
      <c r="T37" s="66"/>
    </row>
    <row r="38" spans="1:22" ht="41.4" x14ac:dyDescent="0.3">
      <c r="A38" s="82"/>
      <c r="B38" s="108" t="s">
        <v>500</v>
      </c>
      <c r="C38" s="116" t="s">
        <v>501</v>
      </c>
      <c r="D38" s="112" t="s">
        <v>433</v>
      </c>
      <c r="E38" s="177"/>
      <c r="F38" s="142" t="s">
        <v>437</v>
      </c>
      <c r="G38" s="177"/>
      <c r="H38" s="109" t="s">
        <v>137</v>
      </c>
      <c r="I38" s="170"/>
      <c r="J38" s="109" t="s">
        <v>186</v>
      </c>
      <c r="K38" s="125"/>
      <c r="L38" s="142" t="s">
        <v>510</v>
      </c>
      <c r="M38" s="113"/>
      <c r="N38" s="113" t="s">
        <v>509</v>
      </c>
      <c r="O38" s="207"/>
      <c r="P38" s="142" t="s">
        <v>508</v>
      </c>
      <c r="Q38" s="125"/>
      <c r="R38" s="142" t="s">
        <v>486</v>
      </c>
      <c r="S38" s="125"/>
      <c r="T38" s="142" t="s">
        <v>534</v>
      </c>
    </row>
    <row r="39" spans="1:22" ht="15" thickBot="1" x14ac:dyDescent="0.35">
      <c r="A39" s="82"/>
      <c r="B39" s="173" t="s">
        <v>259</v>
      </c>
      <c r="C39" s="171" t="s">
        <v>258</v>
      </c>
      <c r="D39" s="211"/>
      <c r="E39" s="178"/>
      <c r="F39" s="377"/>
      <c r="G39" s="375"/>
      <c r="H39" s="174" t="s">
        <v>260</v>
      </c>
      <c r="I39" s="172"/>
      <c r="J39" s="174" t="s">
        <v>261</v>
      </c>
      <c r="K39" s="208"/>
      <c r="L39" s="174" t="s">
        <v>646</v>
      </c>
      <c r="M39" s="205"/>
      <c r="N39" s="171" t="s">
        <v>647</v>
      </c>
      <c r="O39" s="208"/>
      <c r="P39" s="174" t="s">
        <v>1387</v>
      </c>
      <c r="Q39" s="230"/>
      <c r="R39" s="174" t="s">
        <v>1127</v>
      </c>
      <c r="S39" s="230"/>
      <c r="T39" s="174" t="s">
        <v>1128</v>
      </c>
    </row>
    <row r="40" spans="1:22" ht="15" thickTop="1" x14ac:dyDescent="0.3">
      <c r="A40" s="82"/>
      <c r="B40" s="124" t="s">
        <v>445</v>
      </c>
      <c r="C40" s="85" t="s">
        <v>440</v>
      </c>
      <c r="D40" s="381" t="s">
        <v>436</v>
      </c>
      <c r="E40" s="409" t="s">
        <v>14</v>
      </c>
      <c r="F40" s="410" t="s">
        <v>14</v>
      </c>
      <c r="G40" s="134"/>
      <c r="H40" s="146" t="s">
        <v>449</v>
      </c>
      <c r="I40" s="141"/>
      <c r="J40" s="146" t="s">
        <v>187</v>
      </c>
      <c r="K40" s="134"/>
      <c r="L40" s="206">
        <v>55</v>
      </c>
      <c r="M40" s="141"/>
      <c r="N40" s="369">
        <v>60</v>
      </c>
      <c r="O40" s="134"/>
      <c r="P40" s="206" t="s">
        <v>930</v>
      </c>
      <c r="Q40" s="134"/>
      <c r="R40" s="206">
        <v>60</v>
      </c>
      <c r="S40" s="134"/>
      <c r="T40" s="206">
        <v>55</v>
      </c>
    </row>
    <row r="41" spans="1:22" x14ac:dyDescent="0.3">
      <c r="A41" s="82"/>
      <c r="B41" s="124" t="s">
        <v>446</v>
      </c>
      <c r="C41" s="85" t="s">
        <v>441</v>
      </c>
      <c r="D41" s="381" t="s">
        <v>436</v>
      </c>
      <c r="E41" s="409" t="s">
        <v>14</v>
      </c>
      <c r="F41" s="410" t="s">
        <v>14</v>
      </c>
      <c r="G41" s="136"/>
      <c r="H41" s="146" t="s">
        <v>449</v>
      </c>
      <c r="I41" s="141"/>
      <c r="J41" s="146" t="s">
        <v>187</v>
      </c>
      <c r="K41" s="134"/>
      <c r="L41" s="206">
        <v>55</v>
      </c>
      <c r="M41" s="141"/>
      <c r="N41" s="369">
        <v>60</v>
      </c>
      <c r="O41" s="136"/>
      <c r="P41" s="206" t="s">
        <v>930</v>
      </c>
      <c r="Q41" s="136"/>
      <c r="R41" s="206">
        <v>60</v>
      </c>
      <c r="S41" s="136"/>
      <c r="T41" s="206">
        <v>55</v>
      </c>
    </row>
    <row r="42" spans="1:22" ht="15" customHeight="1" x14ac:dyDescent="0.3">
      <c r="A42" s="82"/>
      <c r="B42" s="124" t="s">
        <v>448</v>
      </c>
      <c r="C42" s="85" t="s">
        <v>442</v>
      </c>
      <c r="D42" s="381" t="s">
        <v>436</v>
      </c>
      <c r="E42" s="409" t="s">
        <v>14</v>
      </c>
      <c r="F42" s="410" t="s">
        <v>14</v>
      </c>
      <c r="G42" s="136"/>
      <c r="H42" s="146" t="s">
        <v>449</v>
      </c>
      <c r="I42" s="141"/>
      <c r="J42" s="146" t="s">
        <v>187</v>
      </c>
      <c r="K42" s="134"/>
      <c r="L42" s="206">
        <v>55</v>
      </c>
      <c r="M42" s="141"/>
      <c r="N42" s="369">
        <v>60</v>
      </c>
      <c r="O42" s="136"/>
      <c r="P42" s="206" t="s">
        <v>930</v>
      </c>
      <c r="Q42" s="136"/>
      <c r="R42" s="206">
        <v>60</v>
      </c>
      <c r="S42" s="136"/>
      <c r="T42" s="206">
        <v>55</v>
      </c>
    </row>
    <row r="43" spans="1:22" x14ac:dyDescent="0.3">
      <c r="A43" s="82"/>
      <c r="B43" s="175" t="s">
        <v>447</v>
      </c>
      <c r="C43" s="150" t="s">
        <v>443</v>
      </c>
      <c r="D43" s="181" t="s">
        <v>435</v>
      </c>
      <c r="E43" s="179"/>
      <c r="F43" s="155" t="s">
        <v>444</v>
      </c>
      <c r="G43" s="153"/>
      <c r="H43" s="155" t="s">
        <v>167</v>
      </c>
      <c r="I43" s="153"/>
      <c r="J43" s="155" t="s">
        <v>187</v>
      </c>
      <c r="K43" s="153"/>
      <c r="L43" s="199">
        <v>55</v>
      </c>
      <c r="M43" s="153"/>
      <c r="N43" s="151">
        <v>95</v>
      </c>
      <c r="O43" s="153"/>
      <c r="P43" s="209" t="s">
        <v>300</v>
      </c>
      <c r="Q43" s="411" t="s">
        <v>14</v>
      </c>
      <c r="R43" s="412" t="s">
        <v>14</v>
      </c>
      <c r="S43" s="411" t="s">
        <v>14</v>
      </c>
      <c r="T43" s="412" t="s">
        <v>14</v>
      </c>
    </row>
    <row r="44" spans="1:22" x14ac:dyDescent="0.3">
      <c r="A44" s="82"/>
      <c r="B44" s="77"/>
      <c r="C44" s="75"/>
      <c r="D44" s="29"/>
      <c r="E44" s="369"/>
      <c r="F44" s="369"/>
      <c r="G44" s="369"/>
      <c r="H44" s="369"/>
      <c r="J44" s="369"/>
      <c r="K44" s="84"/>
      <c r="L44" s="82"/>
      <c r="N44" s="369"/>
      <c r="P44" s="369"/>
      <c r="R44" s="369"/>
      <c r="T44" s="369"/>
    </row>
    <row r="45" spans="1:22" x14ac:dyDescent="0.3">
      <c r="A45" s="82"/>
      <c r="B45" s="77"/>
      <c r="C45" s="84"/>
      <c r="D45" s="82"/>
      <c r="E45" s="84"/>
      <c r="F45" s="82"/>
      <c r="G45" s="84"/>
      <c r="H45" s="82"/>
      <c r="I45" s="84"/>
      <c r="J45" s="82"/>
      <c r="M45" s="83"/>
      <c r="P45" s="369"/>
      <c r="R45" s="369"/>
      <c r="T45" s="369"/>
    </row>
    <row r="46" spans="1:22" ht="41.4" x14ac:dyDescent="0.3">
      <c r="A46" s="82"/>
      <c r="B46" s="108" t="s">
        <v>501</v>
      </c>
      <c r="C46" s="116" t="s">
        <v>502</v>
      </c>
      <c r="D46" s="112" t="s">
        <v>433</v>
      </c>
      <c r="E46" s="177"/>
      <c r="F46" s="110" t="s">
        <v>137</v>
      </c>
      <c r="G46" s="170"/>
      <c r="H46" s="168" t="s">
        <v>503</v>
      </c>
      <c r="I46" s="170"/>
      <c r="J46" s="168" t="s">
        <v>1125</v>
      </c>
      <c r="K46" s="189"/>
      <c r="L46" s="110" t="s">
        <v>204</v>
      </c>
      <c r="M46" s="182"/>
      <c r="N46" s="110" t="s">
        <v>1053</v>
      </c>
      <c r="O46" s="442"/>
      <c r="P46" s="110" t="s">
        <v>1054</v>
      </c>
      <c r="Q46" s="441"/>
      <c r="R46" s="110" t="s">
        <v>1055</v>
      </c>
      <c r="T46" s="369"/>
      <c r="U46" s="369"/>
      <c r="V46" s="369"/>
    </row>
    <row r="47" spans="1:22" ht="15" thickBot="1" x14ac:dyDescent="0.35">
      <c r="A47" s="82"/>
      <c r="B47" s="173" t="s">
        <v>280</v>
      </c>
      <c r="C47" s="171" t="s">
        <v>262</v>
      </c>
      <c r="D47" s="211"/>
      <c r="E47" s="178"/>
      <c r="F47" s="174" t="s">
        <v>264</v>
      </c>
      <c r="G47" s="172"/>
      <c r="H47" s="171" t="s">
        <v>933</v>
      </c>
      <c r="I47" s="172"/>
      <c r="J47" s="171" t="s">
        <v>1126</v>
      </c>
      <c r="K47" s="178"/>
      <c r="L47" s="174" t="s">
        <v>263</v>
      </c>
      <c r="M47" s="184"/>
      <c r="N47" s="171" t="s">
        <v>629</v>
      </c>
      <c r="O47" s="173"/>
      <c r="P47" s="174" t="s">
        <v>630</v>
      </c>
      <c r="Q47" s="171"/>
      <c r="R47" s="174" t="s">
        <v>631</v>
      </c>
      <c r="T47" s="369"/>
      <c r="U47" s="369"/>
      <c r="V47" s="369"/>
    </row>
    <row r="48" spans="1:22" ht="28.2" thickTop="1" x14ac:dyDescent="0.3">
      <c r="A48" s="82"/>
      <c r="B48" s="124" t="s">
        <v>440</v>
      </c>
      <c r="C48" s="85" t="s">
        <v>450</v>
      </c>
      <c r="D48" s="180" t="s">
        <v>436</v>
      </c>
      <c r="E48" s="134"/>
      <c r="F48" s="187" t="s">
        <v>173</v>
      </c>
      <c r="G48" s="134"/>
      <c r="H48" s="368">
        <v>9.8000000000000007</v>
      </c>
      <c r="I48" s="134"/>
      <c r="J48" s="368">
        <v>11.4</v>
      </c>
      <c r="K48" s="409" t="s">
        <v>14</v>
      </c>
      <c r="L48" s="410" t="s">
        <v>14</v>
      </c>
      <c r="M48" s="134"/>
      <c r="N48" s="85" t="s">
        <v>454</v>
      </c>
      <c r="O48" s="134"/>
      <c r="P48" s="146" t="s">
        <v>530</v>
      </c>
      <c r="Q48" s="134"/>
      <c r="R48" s="146" t="s">
        <v>281</v>
      </c>
      <c r="T48" s="369"/>
      <c r="U48" s="369"/>
      <c r="V48" s="369"/>
    </row>
    <row r="49" spans="1:22" ht="27.6" x14ac:dyDescent="0.3">
      <c r="A49" s="82"/>
      <c r="B49" s="124" t="s">
        <v>441</v>
      </c>
      <c r="C49" s="85" t="s">
        <v>451</v>
      </c>
      <c r="D49" s="180" t="s">
        <v>436</v>
      </c>
      <c r="E49" s="136"/>
      <c r="F49" s="187" t="s">
        <v>173</v>
      </c>
      <c r="G49" s="136"/>
      <c r="H49" s="368">
        <v>9.8000000000000007</v>
      </c>
      <c r="I49" s="136"/>
      <c r="J49" s="368">
        <v>11.4</v>
      </c>
      <c r="K49" s="409" t="s">
        <v>14</v>
      </c>
      <c r="L49" s="410" t="s">
        <v>14</v>
      </c>
      <c r="M49" s="136"/>
      <c r="N49" s="85" t="s">
        <v>454</v>
      </c>
      <c r="O49" s="136"/>
      <c r="P49" s="146" t="s">
        <v>530</v>
      </c>
      <c r="Q49" s="136"/>
      <c r="R49" s="146" t="s">
        <v>281</v>
      </c>
      <c r="T49" s="369"/>
      <c r="U49" s="369"/>
      <c r="V49" s="369"/>
    </row>
    <row r="50" spans="1:22" ht="27.6" x14ac:dyDescent="0.3">
      <c r="A50" s="82"/>
      <c r="B50" s="124" t="s">
        <v>442</v>
      </c>
      <c r="C50" s="85" t="s">
        <v>452</v>
      </c>
      <c r="D50" s="180" t="s">
        <v>436</v>
      </c>
      <c r="E50" s="136"/>
      <c r="F50" s="187" t="s">
        <v>173</v>
      </c>
      <c r="G50" s="136"/>
      <c r="H50" s="368">
        <v>9.8000000000000007</v>
      </c>
      <c r="I50" s="136"/>
      <c r="J50" s="368">
        <v>11.4</v>
      </c>
      <c r="K50" s="409" t="s">
        <v>14</v>
      </c>
      <c r="L50" s="410" t="s">
        <v>14</v>
      </c>
      <c r="M50" s="136"/>
      <c r="N50" s="85" t="s">
        <v>454</v>
      </c>
      <c r="O50" s="136"/>
      <c r="P50" s="146" t="s">
        <v>530</v>
      </c>
      <c r="Q50" s="136"/>
      <c r="R50" s="146" t="s">
        <v>281</v>
      </c>
      <c r="T50" s="369"/>
      <c r="U50" s="369"/>
      <c r="V50" s="369"/>
    </row>
    <row r="51" spans="1:22" ht="27.6" x14ac:dyDescent="0.3">
      <c r="A51" s="82"/>
      <c r="B51" s="175" t="s">
        <v>443</v>
      </c>
      <c r="C51" s="150" t="s">
        <v>453</v>
      </c>
      <c r="D51" s="357" t="s">
        <v>435</v>
      </c>
      <c r="E51" s="153"/>
      <c r="F51" s="188" t="s">
        <v>173</v>
      </c>
      <c r="G51" s="153"/>
      <c r="H51" s="464">
        <v>13</v>
      </c>
      <c r="I51" s="411" t="s">
        <v>14</v>
      </c>
      <c r="J51" s="412" t="s">
        <v>14</v>
      </c>
      <c r="K51" s="411" t="s">
        <v>14</v>
      </c>
      <c r="L51" s="412" t="s">
        <v>14</v>
      </c>
      <c r="M51" s="153"/>
      <c r="N51" s="150" t="s">
        <v>455</v>
      </c>
      <c r="O51" s="153"/>
      <c r="P51" s="155" t="s">
        <v>302</v>
      </c>
      <c r="Q51" s="153"/>
      <c r="R51" s="155" t="s">
        <v>281</v>
      </c>
      <c r="T51" s="369"/>
      <c r="U51" s="369"/>
      <c r="V51" s="369"/>
    </row>
    <row r="52" spans="1:22" x14ac:dyDescent="0.3">
      <c r="A52" s="82"/>
      <c r="B52" s="77"/>
      <c r="C52" s="75"/>
      <c r="D52" s="82"/>
      <c r="E52" s="84"/>
      <c r="F52" s="82"/>
      <c r="G52" s="84"/>
      <c r="H52" s="82"/>
      <c r="I52" s="84"/>
      <c r="J52" s="82"/>
      <c r="K52" s="29"/>
      <c r="L52" s="369"/>
      <c r="N52" s="369"/>
      <c r="P52" s="369"/>
      <c r="R52" s="369"/>
      <c r="T52" s="369"/>
    </row>
    <row r="54" spans="1:22" ht="27.6" x14ac:dyDescent="0.3">
      <c r="A54" s="82"/>
      <c r="B54" s="108" t="s">
        <v>501</v>
      </c>
      <c r="C54" s="116" t="s">
        <v>504</v>
      </c>
      <c r="D54" s="112" t="s">
        <v>433</v>
      </c>
      <c r="E54" s="177"/>
      <c r="F54" s="110" t="s">
        <v>474</v>
      </c>
      <c r="G54" s="170"/>
      <c r="H54" s="168" t="s">
        <v>176</v>
      </c>
      <c r="I54" s="189"/>
      <c r="J54" s="110" t="s">
        <v>204</v>
      </c>
      <c r="K54" s="191"/>
      <c r="L54" s="110" t="s">
        <v>1056</v>
      </c>
      <c r="N54" s="369"/>
      <c r="P54" s="369"/>
      <c r="R54" s="369"/>
      <c r="T54" s="369"/>
    </row>
    <row r="55" spans="1:22" ht="15" thickBot="1" x14ac:dyDescent="0.35">
      <c r="A55" s="82"/>
      <c r="B55" s="173" t="s">
        <v>282</v>
      </c>
      <c r="C55" s="171" t="s">
        <v>265</v>
      </c>
      <c r="D55" s="171"/>
      <c r="E55" s="178"/>
      <c r="F55" s="174" t="s">
        <v>266</v>
      </c>
      <c r="G55" s="172"/>
      <c r="H55" s="171" t="s">
        <v>267</v>
      </c>
      <c r="I55" s="178"/>
      <c r="J55" s="174"/>
      <c r="K55" s="117"/>
      <c r="L55" s="174" t="s">
        <v>283</v>
      </c>
      <c r="N55" s="369"/>
      <c r="P55" s="369"/>
      <c r="R55" s="369"/>
      <c r="T55" s="369"/>
    </row>
    <row r="56" spans="1:22" ht="15" thickTop="1" x14ac:dyDescent="0.3">
      <c r="A56" s="82"/>
      <c r="B56" s="124" t="s">
        <v>440</v>
      </c>
      <c r="C56" s="85" t="s">
        <v>456</v>
      </c>
      <c r="D56" s="372" t="s">
        <v>436</v>
      </c>
      <c r="E56" s="134"/>
      <c r="F56" s="192" t="s">
        <v>475</v>
      </c>
      <c r="G56" s="428" t="s">
        <v>14</v>
      </c>
      <c r="H56" s="428" t="s">
        <v>14</v>
      </c>
      <c r="I56" s="409" t="s">
        <v>14</v>
      </c>
      <c r="J56" s="410" t="s">
        <v>14</v>
      </c>
      <c r="K56" s="428" t="s">
        <v>14</v>
      </c>
      <c r="L56" s="410" t="s">
        <v>14</v>
      </c>
      <c r="N56" s="369"/>
      <c r="P56" s="369"/>
      <c r="R56" s="369"/>
      <c r="T56" s="369"/>
    </row>
    <row r="57" spans="1:22" x14ac:dyDescent="0.3">
      <c r="A57" s="82"/>
      <c r="B57" s="124" t="s">
        <v>440</v>
      </c>
      <c r="C57" s="85" t="s">
        <v>457</v>
      </c>
      <c r="D57" s="372" t="s">
        <v>436</v>
      </c>
      <c r="E57" s="134"/>
      <c r="F57" s="192" t="s">
        <v>475</v>
      </c>
      <c r="G57" s="428" t="s">
        <v>14</v>
      </c>
      <c r="H57" s="428" t="s">
        <v>14</v>
      </c>
      <c r="I57" s="409" t="s">
        <v>14</v>
      </c>
      <c r="J57" s="410" t="s">
        <v>14</v>
      </c>
      <c r="K57" s="428" t="s">
        <v>14</v>
      </c>
      <c r="L57" s="410" t="s">
        <v>14</v>
      </c>
      <c r="N57" s="369"/>
      <c r="P57" s="369"/>
      <c r="R57" s="369"/>
      <c r="T57" s="369"/>
    </row>
    <row r="58" spans="1:22" x14ac:dyDescent="0.3">
      <c r="A58" s="82"/>
      <c r="B58" s="124" t="s">
        <v>440</v>
      </c>
      <c r="C58" s="85" t="s">
        <v>458</v>
      </c>
      <c r="D58" s="372" t="s">
        <v>436</v>
      </c>
      <c r="E58" s="134"/>
      <c r="F58" s="192" t="s">
        <v>475</v>
      </c>
      <c r="G58" s="428" t="s">
        <v>14</v>
      </c>
      <c r="H58" s="428" t="s">
        <v>14</v>
      </c>
      <c r="I58" s="409" t="s">
        <v>14</v>
      </c>
      <c r="J58" s="410" t="s">
        <v>14</v>
      </c>
      <c r="K58" s="428" t="s">
        <v>14</v>
      </c>
      <c r="L58" s="410" t="s">
        <v>14</v>
      </c>
      <c r="N58" s="369"/>
      <c r="P58" s="369"/>
      <c r="R58" s="369"/>
      <c r="T58" s="369"/>
    </row>
    <row r="59" spans="1:22" x14ac:dyDescent="0.3">
      <c r="A59" s="82"/>
      <c r="B59" s="124" t="s">
        <v>440</v>
      </c>
      <c r="C59" s="85" t="s">
        <v>459</v>
      </c>
      <c r="D59" s="372" t="s">
        <v>436</v>
      </c>
      <c r="E59" s="134"/>
      <c r="F59" s="192" t="s">
        <v>475</v>
      </c>
      <c r="G59" s="428" t="s">
        <v>14</v>
      </c>
      <c r="H59" s="428" t="s">
        <v>14</v>
      </c>
      <c r="I59" s="409" t="s">
        <v>14</v>
      </c>
      <c r="J59" s="410" t="s">
        <v>14</v>
      </c>
      <c r="K59" s="428" t="s">
        <v>14</v>
      </c>
      <c r="L59" s="410" t="s">
        <v>14</v>
      </c>
      <c r="N59" s="369"/>
      <c r="P59" s="369"/>
      <c r="R59" s="369"/>
      <c r="T59" s="369"/>
    </row>
    <row r="60" spans="1:22" x14ac:dyDescent="0.3">
      <c r="A60" s="82"/>
      <c r="B60" s="124" t="s">
        <v>440</v>
      </c>
      <c r="C60" s="85" t="s">
        <v>460</v>
      </c>
      <c r="D60" s="372" t="s">
        <v>436</v>
      </c>
      <c r="E60" s="134"/>
      <c r="F60" s="192" t="s">
        <v>475</v>
      </c>
      <c r="G60" s="428" t="s">
        <v>14</v>
      </c>
      <c r="H60" s="428" t="s">
        <v>14</v>
      </c>
      <c r="I60" s="409" t="s">
        <v>14</v>
      </c>
      <c r="J60" s="410" t="s">
        <v>14</v>
      </c>
      <c r="K60" s="428" t="s">
        <v>14</v>
      </c>
      <c r="L60" s="410" t="s">
        <v>14</v>
      </c>
      <c r="N60" s="369"/>
      <c r="P60" s="369"/>
      <c r="R60" s="369"/>
      <c r="T60" s="369"/>
    </row>
    <row r="61" spans="1:22" x14ac:dyDescent="0.3">
      <c r="A61" s="82"/>
      <c r="B61" s="124" t="s">
        <v>440</v>
      </c>
      <c r="C61" s="85" t="s">
        <v>461</v>
      </c>
      <c r="D61" s="372" t="s">
        <v>436</v>
      </c>
      <c r="E61" s="134"/>
      <c r="F61" s="192" t="s">
        <v>475</v>
      </c>
      <c r="G61" s="428" t="s">
        <v>14</v>
      </c>
      <c r="H61" s="428" t="s">
        <v>14</v>
      </c>
      <c r="I61" s="409" t="s">
        <v>14</v>
      </c>
      <c r="J61" s="410" t="s">
        <v>14</v>
      </c>
      <c r="K61" s="428" t="s">
        <v>14</v>
      </c>
      <c r="L61" s="410" t="s">
        <v>14</v>
      </c>
      <c r="N61" s="369"/>
      <c r="P61" s="369"/>
      <c r="R61" s="369"/>
      <c r="T61" s="369"/>
    </row>
    <row r="62" spans="1:22" x14ac:dyDescent="0.3">
      <c r="A62" s="82"/>
      <c r="B62" s="124" t="s">
        <v>441</v>
      </c>
      <c r="C62" s="85" t="s">
        <v>462</v>
      </c>
      <c r="D62" s="372" t="s">
        <v>436</v>
      </c>
      <c r="E62" s="134"/>
      <c r="F62" s="192" t="s">
        <v>475</v>
      </c>
      <c r="G62" s="428" t="s">
        <v>14</v>
      </c>
      <c r="H62" s="428" t="s">
        <v>14</v>
      </c>
      <c r="I62" s="409" t="s">
        <v>14</v>
      </c>
      <c r="J62" s="410" t="s">
        <v>14</v>
      </c>
      <c r="K62" s="428" t="s">
        <v>14</v>
      </c>
      <c r="L62" s="410" t="s">
        <v>14</v>
      </c>
      <c r="N62" s="369"/>
      <c r="P62" s="369"/>
      <c r="R62" s="369"/>
      <c r="T62" s="369"/>
    </row>
    <row r="63" spans="1:22" x14ac:dyDescent="0.3">
      <c r="A63" s="82"/>
      <c r="B63" s="124" t="s">
        <v>441</v>
      </c>
      <c r="C63" s="85" t="s">
        <v>463</v>
      </c>
      <c r="D63" s="372" t="s">
        <v>436</v>
      </c>
      <c r="E63" s="134"/>
      <c r="F63" s="192" t="s">
        <v>475</v>
      </c>
      <c r="G63" s="428" t="s">
        <v>14</v>
      </c>
      <c r="H63" s="428" t="s">
        <v>14</v>
      </c>
      <c r="I63" s="409" t="s">
        <v>14</v>
      </c>
      <c r="J63" s="410" t="s">
        <v>14</v>
      </c>
      <c r="K63" s="428" t="s">
        <v>14</v>
      </c>
      <c r="L63" s="410" t="s">
        <v>14</v>
      </c>
      <c r="N63" s="369"/>
      <c r="P63" s="369"/>
      <c r="R63" s="369"/>
      <c r="T63" s="369"/>
    </row>
    <row r="64" spans="1:22" x14ac:dyDescent="0.3">
      <c r="A64" s="82"/>
      <c r="B64" s="124" t="s">
        <v>441</v>
      </c>
      <c r="C64" s="85" t="s">
        <v>464</v>
      </c>
      <c r="D64" s="372" t="s">
        <v>436</v>
      </c>
      <c r="E64" s="134"/>
      <c r="F64" s="192" t="s">
        <v>475</v>
      </c>
      <c r="G64" s="428" t="s">
        <v>14</v>
      </c>
      <c r="H64" s="428" t="s">
        <v>14</v>
      </c>
      <c r="I64" s="409" t="s">
        <v>14</v>
      </c>
      <c r="J64" s="410" t="s">
        <v>14</v>
      </c>
      <c r="K64" s="428" t="s">
        <v>14</v>
      </c>
      <c r="L64" s="410" t="s">
        <v>14</v>
      </c>
      <c r="N64" s="369"/>
      <c r="P64" s="369"/>
      <c r="R64" s="369"/>
      <c r="T64" s="369"/>
    </row>
    <row r="65" spans="1:22" x14ac:dyDescent="0.3">
      <c r="A65" s="82"/>
      <c r="B65" s="124" t="s">
        <v>441</v>
      </c>
      <c r="C65" s="85" t="s">
        <v>465</v>
      </c>
      <c r="D65" s="372" t="s">
        <v>436</v>
      </c>
      <c r="E65" s="134"/>
      <c r="F65" s="192" t="s">
        <v>475</v>
      </c>
      <c r="G65" s="428" t="s">
        <v>14</v>
      </c>
      <c r="H65" s="428" t="s">
        <v>14</v>
      </c>
      <c r="I65" s="409" t="s">
        <v>14</v>
      </c>
      <c r="J65" s="410" t="s">
        <v>14</v>
      </c>
      <c r="K65" s="428" t="s">
        <v>14</v>
      </c>
      <c r="L65" s="410" t="s">
        <v>14</v>
      </c>
      <c r="N65" s="369"/>
      <c r="P65" s="369"/>
      <c r="R65" s="369"/>
      <c r="T65" s="369"/>
    </row>
    <row r="66" spans="1:22" x14ac:dyDescent="0.3">
      <c r="A66" s="82"/>
      <c r="B66" s="124" t="s">
        <v>441</v>
      </c>
      <c r="C66" s="85" t="s">
        <v>466</v>
      </c>
      <c r="D66" s="372" t="s">
        <v>436</v>
      </c>
      <c r="E66" s="134"/>
      <c r="F66" s="192" t="s">
        <v>475</v>
      </c>
      <c r="G66" s="428" t="s">
        <v>14</v>
      </c>
      <c r="H66" s="428" t="s">
        <v>14</v>
      </c>
      <c r="I66" s="409" t="s">
        <v>14</v>
      </c>
      <c r="J66" s="410" t="s">
        <v>14</v>
      </c>
      <c r="K66" s="428" t="s">
        <v>14</v>
      </c>
      <c r="L66" s="410" t="s">
        <v>14</v>
      </c>
      <c r="N66" s="369"/>
      <c r="P66" s="369"/>
      <c r="R66" s="369"/>
      <c r="T66" s="369"/>
    </row>
    <row r="67" spans="1:22" x14ac:dyDescent="0.3">
      <c r="A67" s="82"/>
      <c r="B67" s="124" t="s">
        <v>441</v>
      </c>
      <c r="C67" s="85" t="s">
        <v>467</v>
      </c>
      <c r="D67" s="372" t="s">
        <v>436</v>
      </c>
      <c r="E67" s="134"/>
      <c r="F67" s="192" t="s">
        <v>475</v>
      </c>
      <c r="G67" s="428" t="s">
        <v>14</v>
      </c>
      <c r="H67" s="428" t="s">
        <v>14</v>
      </c>
      <c r="I67" s="409" t="s">
        <v>14</v>
      </c>
      <c r="J67" s="410" t="s">
        <v>14</v>
      </c>
      <c r="K67" s="428" t="s">
        <v>14</v>
      </c>
      <c r="L67" s="410" t="s">
        <v>14</v>
      </c>
      <c r="N67" s="369"/>
      <c r="P67" s="369"/>
      <c r="R67" s="369"/>
      <c r="T67" s="369"/>
    </row>
    <row r="68" spans="1:22" x14ac:dyDescent="0.3">
      <c r="A68" s="82"/>
      <c r="B68" s="124" t="s">
        <v>442</v>
      </c>
      <c r="C68" s="85" t="s">
        <v>468</v>
      </c>
      <c r="D68" s="372" t="s">
        <v>436</v>
      </c>
      <c r="E68" s="134"/>
      <c r="F68" s="192" t="s">
        <v>475</v>
      </c>
      <c r="G68" s="428" t="s">
        <v>14</v>
      </c>
      <c r="H68" s="428" t="s">
        <v>14</v>
      </c>
      <c r="I68" s="409" t="s">
        <v>14</v>
      </c>
      <c r="J68" s="410" t="s">
        <v>14</v>
      </c>
      <c r="K68" s="428" t="s">
        <v>14</v>
      </c>
      <c r="L68" s="410" t="s">
        <v>14</v>
      </c>
      <c r="N68" s="369"/>
      <c r="P68" s="369"/>
      <c r="R68" s="369"/>
      <c r="T68" s="369"/>
    </row>
    <row r="69" spans="1:22" x14ac:dyDescent="0.3">
      <c r="A69" s="82"/>
      <c r="B69" s="124" t="s">
        <v>442</v>
      </c>
      <c r="C69" s="85" t="s">
        <v>469</v>
      </c>
      <c r="D69" s="372" t="s">
        <v>436</v>
      </c>
      <c r="E69" s="134"/>
      <c r="F69" s="192" t="s">
        <v>475</v>
      </c>
      <c r="G69" s="428" t="s">
        <v>14</v>
      </c>
      <c r="H69" s="428" t="s">
        <v>14</v>
      </c>
      <c r="I69" s="409" t="s">
        <v>14</v>
      </c>
      <c r="J69" s="410" t="s">
        <v>14</v>
      </c>
      <c r="K69" s="428" t="s">
        <v>14</v>
      </c>
      <c r="L69" s="410" t="s">
        <v>14</v>
      </c>
      <c r="N69" s="369"/>
      <c r="P69" s="369"/>
      <c r="R69" s="369"/>
      <c r="T69" s="369"/>
    </row>
    <row r="70" spans="1:22" x14ac:dyDescent="0.3">
      <c r="A70" s="82"/>
      <c r="B70" s="124" t="s">
        <v>442</v>
      </c>
      <c r="C70" s="85" t="s">
        <v>470</v>
      </c>
      <c r="D70" s="372" t="s">
        <v>436</v>
      </c>
      <c r="E70" s="134"/>
      <c r="F70" s="192" t="s">
        <v>475</v>
      </c>
      <c r="G70" s="428" t="s">
        <v>14</v>
      </c>
      <c r="H70" s="428" t="s">
        <v>14</v>
      </c>
      <c r="I70" s="409" t="s">
        <v>14</v>
      </c>
      <c r="J70" s="410" t="s">
        <v>14</v>
      </c>
      <c r="K70" s="428" t="s">
        <v>14</v>
      </c>
      <c r="L70" s="410" t="s">
        <v>14</v>
      </c>
      <c r="N70" s="369"/>
      <c r="P70" s="369"/>
      <c r="R70" s="369"/>
      <c r="T70" s="369"/>
    </row>
    <row r="71" spans="1:22" x14ac:dyDescent="0.3">
      <c r="A71" s="82"/>
      <c r="B71" s="124" t="s">
        <v>442</v>
      </c>
      <c r="C71" s="85" t="s">
        <v>471</v>
      </c>
      <c r="D71" s="372" t="s">
        <v>436</v>
      </c>
      <c r="E71" s="134"/>
      <c r="F71" s="192" t="s">
        <v>475</v>
      </c>
      <c r="G71" s="428" t="s">
        <v>14</v>
      </c>
      <c r="H71" s="428" t="s">
        <v>14</v>
      </c>
      <c r="I71" s="409" t="s">
        <v>14</v>
      </c>
      <c r="J71" s="410" t="s">
        <v>14</v>
      </c>
      <c r="K71" s="428" t="s">
        <v>14</v>
      </c>
      <c r="L71" s="410" t="s">
        <v>14</v>
      </c>
      <c r="N71" s="369"/>
      <c r="P71" s="369"/>
      <c r="R71" s="369"/>
      <c r="T71" s="369"/>
    </row>
    <row r="72" spans="1:22" x14ac:dyDescent="0.3">
      <c r="A72" s="82"/>
      <c r="B72" s="124" t="s">
        <v>442</v>
      </c>
      <c r="C72" s="85" t="s">
        <v>472</v>
      </c>
      <c r="D72" s="372" t="s">
        <v>436</v>
      </c>
      <c r="E72" s="134"/>
      <c r="F72" s="192" t="s">
        <v>475</v>
      </c>
      <c r="G72" s="428" t="s">
        <v>14</v>
      </c>
      <c r="H72" s="428" t="s">
        <v>14</v>
      </c>
      <c r="I72" s="409" t="s">
        <v>14</v>
      </c>
      <c r="J72" s="410" t="s">
        <v>14</v>
      </c>
      <c r="K72" s="428" t="s">
        <v>14</v>
      </c>
      <c r="L72" s="410" t="s">
        <v>14</v>
      </c>
      <c r="N72" s="369"/>
      <c r="P72" s="369"/>
      <c r="R72" s="369"/>
      <c r="T72" s="369"/>
    </row>
    <row r="73" spans="1:22" x14ac:dyDescent="0.3">
      <c r="A73" s="82"/>
      <c r="B73" s="175" t="s">
        <v>443</v>
      </c>
      <c r="C73" s="150" t="s">
        <v>473</v>
      </c>
      <c r="D73" s="181" t="s">
        <v>435</v>
      </c>
      <c r="E73" s="153"/>
      <c r="F73" s="193" t="s">
        <v>815</v>
      </c>
      <c r="G73" s="169"/>
      <c r="H73" s="427">
        <f>0.0051427*(79)+0.3989</f>
        <v>0.80517329999999998</v>
      </c>
      <c r="I73" s="411" t="s">
        <v>14</v>
      </c>
      <c r="J73" s="412" t="s">
        <v>14</v>
      </c>
      <c r="K73" s="169"/>
      <c r="L73" s="155" t="s">
        <v>284</v>
      </c>
      <c r="N73" s="369"/>
      <c r="P73" s="369"/>
      <c r="R73" s="369"/>
      <c r="T73" s="369"/>
    </row>
    <row r="74" spans="1:22" x14ac:dyDescent="0.3">
      <c r="A74" s="82"/>
      <c r="B74" s="384"/>
      <c r="C74" s="384"/>
      <c r="D74" s="362"/>
      <c r="E74" s="362"/>
      <c r="F74" s="397"/>
      <c r="G74" s="362"/>
      <c r="H74" s="397"/>
      <c r="I74" s="362"/>
      <c r="J74" s="397"/>
      <c r="K74" s="362"/>
      <c r="L74" s="397"/>
      <c r="N74" s="369"/>
      <c r="P74" s="369"/>
      <c r="R74" s="369"/>
      <c r="T74" s="369"/>
    </row>
    <row r="75" spans="1:22" x14ac:dyDescent="0.3">
      <c r="A75" s="82"/>
      <c r="B75" s="83"/>
      <c r="C75" s="86"/>
      <c r="D75" s="82"/>
      <c r="E75" s="84"/>
      <c r="F75" s="82"/>
      <c r="G75" s="84"/>
      <c r="H75" s="82"/>
      <c r="I75" s="84"/>
      <c r="J75" s="82"/>
      <c r="K75" s="84"/>
      <c r="L75" s="82"/>
      <c r="M75" s="84"/>
      <c r="N75" s="82"/>
      <c r="O75" s="84"/>
      <c r="P75" s="82"/>
      <c r="Q75" s="84"/>
      <c r="R75" s="82"/>
      <c r="S75" s="84"/>
      <c r="T75" s="82"/>
    </row>
    <row r="76" spans="1:22" ht="27.6" x14ac:dyDescent="0.3">
      <c r="A76" s="82"/>
      <c r="B76" s="108" t="s">
        <v>501</v>
      </c>
      <c r="C76" s="116" t="s">
        <v>506</v>
      </c>
      <c r="D76" s="112" t="s">
        <v>433</v>
      </c>
      <c r="E76" s="177"/>
      <c r="F76" s="110" t="s">
        <v>184</v>
      </c>
      <c r="G76" s="113"/>
      <c r="H76" s="168" t="s">
        <v>277</v>
      </c>
      <c r="I76" s="125"/>
      <c r="J76" s="110" t="s">
        <v>511</v>
      </c>
      <c r="K76" s="125"/>
      <c r="L76" s="110" t="s">
        <v>183</v>
      </c>
      <c r="M76" s="168"/>
      <c r="N76" s="113" t="s">
        <v>205</v>
      </c>
      <c r="O76" s="189"/>
      <c r="P76" s="110" t="s">
        <v>507</v>
      </c>
      <c r="Q76" s="168"/>
      <c r="R76" s="168" t="s">
        <v>206</v>
      </c>
      <c r="S76" s="189"/>
      <c r="T76" s="110" t="s">
        <v>182</v>
      </c>
      <c r="U76" s="189"/>
      <c r="V76" s="110" t="s">
        <v>1398</v>
      </c>
    </row>
    <row r="77" spans="1:22" ht="15" thickBot="1" x14ac:dyDescent="0.35">
      <c r="A77" s="82"/>
      <c r="B77" s="173" t="s">
        <v>282</v>
      </c>
      <c r="C77" s="171" t="s">
        <v>269</v>
      </c>
      <c r="D77" s="171"/>
      <c r="E77" s="178"/>
      <c r="F77" s="174" t="s">
        <v>270</v>
      </c>
      <c r="G77" s="172"/>
      <c r="H77" s="171" t="s">
        <v>271</v>
      </c>
      <c r="I77" s="178"/>
      <c r="J77" s="174"/>
      <c r="K77" s="178"/>
      <c r="L77" s="174" t="s">
        <v>272</v>
      </c>
      <c r="M77" s="172"/>
      <c r="N77" s="171" t="s">
        <v>273</v>
      </c>
      <c r="O77" s="178"/>
      <c r="P77" s="174" t="s">
        <v>274</v>
      </c>
      <c r="Q77" s="172"/>
      <c r="R77" s="171" t="s">
        <v>275</v>
      </c>
      <c r="S77" s="178"/>
      <c r="T77" s="174" t="s">
        <v>276</v>
      </c>
      <c r="U77" s="173"/>
      <c r="V77" s="174" t="s">
        <v>774</v>
      </c>
    </row>
    <row r="78" spans="1:22" ht="28.2" thickTop="1" x14ac:dyDescent="0.3">
      <c r="A78" s="82"/>
      <c r="B78" s="124" t="s">
        <v>440</v>
      </c>
      <c r="C78" s="85" t="s">
        <v>476</v>
      </c>
      <c r="D78" s="85" t="s">
        <v>436</v>
      </c>
      <c r="E78" s="134"/>
      <c r="F78" s="146" t="s">
        <v>482</v>
      </c>
      <c r="G78" s="141"/>
      <c r="H78" s="85" t="s">
        <v>278</v>
      </c>
      <c r="I78" s="409" t="s">
        <v>14</v>
      </c>
      <c r="J78" s="410" t="s">
        <v>14</v>
      </c>
      <c r="K78" s="134"/>
      <c r="L78" s="197">
        <v>20.45</v>
      </c>
      <c r="M78" s="428" t="s">
        <v>14</v>
      </c>
      <c r="N78" s="428" t="s">
        <v>14</v>
      </c>
      <c r="O78" s="409" t="s">
        <v>14</v>
      </c>
      <c r="P78" s="410" t="s">
        <v>14</v>
      </c>
      <c r="Q78" s="200" t="s">
        <v>919</v>
      </c>
      <c r="R78" s="90">
        <v>25</v>
      </c>
      <c r="S78" s="203" t="s">
        <v>919</v>
      </c>
      <c r="T78" s="194">
        <v>0.93600000000000005</v>
      </c>
      <c r="U78" s="897"/>
      <c r="V78" s="535" t="s">
        <v>974</v>
      </c>
    </row>
    <row r="79" spans="1:22" ht="27.6" x14ac:dyDescent="0.3">
      <c r="A79" s="82"/>
      <c r="B79" s="124" t="s">
        <v>441</v>
      </c>
      <c r="C79" s="85" t="s">
        <v>477</v>
      </c>
      <c r="D79" s="85" t="s">
        <v>436</v>
      </c>
      <c r="E79" s="134"/>
      <c r="F79" s="146" t="s">
        <v>482</v>
      </c>
      <c r="G79" s="141"/>
      <c r="H79" s="85" t="s">
        <v>278</v>
      </c>
      <c r="I79" s="409" t="s">
        <v>14</v>
      </c>
      <c r="J79" s="410" t="s">
        <v>14</v>
      </c>
      <c r="K79" s="136"/>
      <c r="L79" s="198">
        <v>20.8</v>
      </c>
      <c r="M79" s="428" t="s">
        <v>14</v>
      </c>
      <c r="N79" s="428" t="s">
        <v>14</v>
      </c>
      <c r="O79" s="409" t="s">
        <v>14</v>
      </c>
      <c r="P79" s="410" t="s">
        <v>14</v>
      </c>
      <c r="Q79" s="201" t="s">
        <v>919</v>
      </c>
      <c r="R79" s="90">
        <v>25</v>
      </c>
      <c r="S79" s="140" t="s">
        <v>919</v>
      </c>
      <c r="T79" s="194">
        <v>0.93600000000000005</v>
      </c>
      <c r="U79" s="899"/>
      <c r="V79" s="535" t="s">
        <v>974</v>
      </c>
    </row>
    <row r="80" spans="1:22" ht="27.6" x14ac:dyDescent="0.3">
      <c r="A80" s="82"/>
      <c r="B80" s="124" t="s">
        <v>442</v>
      </c>
      <c r="C80" s="85" t="s">
        <v>478</v>
      </c>
      <c r="D80" s="85" t="s">
        <v>436</v>
      </c>
      <c r="E80" s="134"/>
      <c r="F80" s="146" t="s">
        <v>482</v>
      </c>
      <c r="G80" s="141"/>
      <c r="H80" s="85" t="s">
        <v>278</v>
      </c>
      <c r="I80" s="409" t="s">
        <v>14</v>
      </c>
      <c r="J80" s="410" t="s">
        <v>14</v>
      </c>
      <c r="K80" s="136"/>
      <c r="L80" s="197">
        <v>18.760000000000002</v>
      </c>
      <c r="M80" s="428" t="s">
        <v>14</v>
      </c>
      <c r="N80" s="428" t="s">
        <v>14</v>
      </c>
      <c r="O80" s="409" t="s">
        <v>14</v>
      </c>
      <c r="P80" s="410" t="s">
        <v>14</v>
      </c>
      <c r="Q80" s="201" t="s">
        <v>919</v>
      </c>
      <c r="R80" s="90">
        <v>20</v>
      </c>
      <c r="S80" s="140" t="s">
        <v>919</v>
      </c>
      <c r="T80" s="856">
        <v>0.93</v>
      </c>
      <c r="U80" s="893"/>
      <c r="V80" s="535" t="s">
        <v>974</v>
      </c>
    </row>
    <row r="81" spans="1:22" x14ac:dyDescent="0.3">
      <c r="A81" s="82"/>
      <c r="B81" s="175" t="s">
        <v>443</v>
      </c>
      <c r="C81" s="150" t="s">
        <v>479</v>
      </c>
      <c r="D81" s="150" t="s">
        <v>435</v>
      </c>
      <c r="E81" s="153"/>
      <c r="F81" s="155" t="s">
        <v>185</v>
      </c>
      <c r="G81" s="141"/>
      <c r="H81" s="150" t="s">
        <v>278</v>
      </c>
      <c r="I81" s="411" t="s">
        <v>14</v>
      </c>
      <c r="J81" s="412" t="s">
        <v>14</v>
      </c>
      <c r="K81" s="153"/>
      <c r="L81" s="199">
        <v>1.23</v>
      </c>
      <c r="M81" s="432" t="s">
        <v>14</v>
      </c>
      <c r="N81" s="432" t="s">
        <v>14</v>
      </c>
      <c r="O81" s="411" t="s">
        <v>14</v>
      </c>
      <c r="P81" s="412" t="s">
        <v>14</v>
      </c>
      <c r="Q81" s="202" t="s">
        <v>919</v>
      </c>
      <c r="R81" s="195">
        <v>1.5</v>
      </c>
      <c r="S81" s="204" t="s">
        <v>919</v>
      </c>
      <c r="T81" s="196">
        <v>0.86499999999999999</v>
      </c>
      <c r="U81" s="411" t="s">
        <v>14</v>
      </c>
      <c r="V81" s="412" t="s">
        <v>14</v>
      </c>
    </row>
    <row r="82" spans="1:22" x14ac:dyDescent="0.3">
      <c r="A82" s="82"/>
      <c r="B82" s="82"/>
      <c r="C82" s="384"/>
      <c r="D82" s="82"/>
      <c r="E82" s="82"/>
      <c r="F82" s="82"/>
      <c r="G82" s="82"/>
      <c r="H82" s="82"/>
      <c r="I82" s="82"/>
      <c r="J82" s="82"/>
      <c r="K82" s="82"/>
      <c r="L82" s="82"/>
      <c r="M82" s="82"/>
      <c r="N82" s="82"/>
      <c r="O82" s="82"/>
      <c r="P82" s="82"/>
      <c r="Q82" s="82"/>
      <c r="R82" s="82"/>
      <c r="S82" s="82"/>
      <c r="T82" s="369"/>
    </row>
    <row r="83" spans="1:22" x14ac:dyDescent="0.3">
      <c r="A83" s="397"/>
      <c r="B83" s="397"/>
      <c r="C83" s="397"/>
      <c r="D83" s="362"/>
      <c r="E83" s="362"/>
      <c r="F83" s="397"/>
      <c r="G83" s="362"/>
      <c r="H83" s="397"/>
      <c r="I83" s="362"/>
      <c r="J83" s="397"/>
      <c r="K83" s="362"/>
      <c r="L83" s="397"/>
      <c r="M83" s="362"/>
      <c r="N83" s="397"/>
      <c r="O83" s="121"/>
      <c r="P83" s="111"/>
      <c r="Q83" s="362"/>
      <c r="R83" s="397"/>
      <c r="S83" s="362"/>
      <c r="T83" s="397"/>
    </row>
    <row r="84" spans="1:22" x14ac:dyDescent="0.3">
      <c r="A84" s="397"/>
      <c r="B84" s="108" t="s">
        <v>501</v>
      </c>
      <c r="C84" s="113" t="s">
        <v>610</v>
      </c>
      <c r="D84" s="112" t="s">
        <v>433</v>
      </c>
      <c r="E84" s="125"/>
      <c r="F84" s="142" t="s">
        <v>538</v>
      </c>
      <c r="G84" s="207"/>
      <c r="H84" s="142" t="s">
        <v>295</v>
      </c>
      <c r="I84" s="125"/>
      <c r="J84" s="142" t="s">
        <v>972</v>
      </c>
      <c r="K84" s="125"/>
      <c r="L84" s="142" t="s">
        <v>973</v>
      </c>
      <c r="M84" s="362"/>
      <c r="N84" s="397"/>
      <c r="O84" s="121"/>
      <c r="P84" s="111"/>
      <c r="Q84" s="362"/>
      <c r="R84" s="397"/>
      <c r="S84" s="362"/>
      <c r="T84" s="397"/>
    </row>
    <row r="85" spans="1:22" ht="15" thickBot="1" x14ac:dyDescent="0.35">
      <c r="A85" s="397"/>
      <c r="B85" s="173" t="s">
        <v>282</v>
      </c>
      <c r="C85" s="376"/>
      <c r="D85" s="211"/>
      <c r="E85" s="208"/>
      <c r="F85" s="174" t="s">
        <v>289</v>
      </c>
      <c r="G85" s="208"/>
      <c r="H85" s="174" t="s">
        <v>290</v>
      </c>
      <c r="I85" s="208"/>
      <c r="J85" s="174" t="s">
        <v>1077</v>
      </c>
      <c r="K85" s="208"/>
      <c r="L85" s="174" t="s">
        <v>1078</v>
      </c>
      <c r="M85" s="362"/>
      <c r="N85" s="397"/>
      <c r="O85" s="121"/>
      <c r="P85" s="111"/>
      <c r="Q85" s="362"/>
      <c r="R85" s="397"/>
      <c r="S85" s="362"/>
      <c r="T85" s="397"/>
    </row>
    <row r="86" spans="1:22" ht="15" thickTop="1" x14ac:dyDescent="0.3">
      <c r="A86" s="397"/>
      <c r="B86" s="124" t="s">
        <v>440</v>
      </c>
      <c r="C86" s="85" t="s">
        <v>606</v>
      </c>
      <c r="D86" s="381" t="s">
        <v>436</v>
      </c>
      <c r="E86" s="134"/>
      <c r="F86" s="206" t="s">
        <v>535</v>
      </c>
      <c r="G86" s="134"/>
      <c r="H86" s="206" t="s">
        <v>480</v>
      </c>
      <c r="I86" s="409" t="s">
        <v>14</v>
      </c>
      <c r="J86" s="410" t="s">
        <v>14</v>
      </c>
      <c r="K86" s="420"/>
      <c r="L86" s="263">
        <v>30</v>
      </c>
      <c r="M86" s="362"/>
      <c r="N86" s="397"/>
      <c r="O86" s="121"/>
      <c r="P86" s="111"/>
      <c r="Q86" s="362"/>
      <c r="R86" s="397"/>
      <c r="S86" s="362"/>
      <c r="T86" s="397"/>
    </row>
    <row r="87" spans="1:22" x14ac:dyDescent="0.3">
      <c r="A87" s="397"/>
      <c r="B87" s="124" t="s">
        <v>441</v>
      </c>
      <c r="C87" s="85" t="s">
        <v>607</v>
      </c>
      <c r="D87" s="381" t="s">
        <v>436</v>
      </c>
      <c r="E87" s="136"/>
      <c r="F87" s="206" t="s">
        <v>536</v>
      </c>
      <c r="G87" s="136"/>
      <c r="H87" s="206" t="s">
        <v>481</v>
      </c>
      <c r="I87" s="419"/>
      <c r="J87" s="274">
        <v>75</v>
      </c>
      <c r="K87" s="409" t="s">
        <v>14</v>
      </c>
      <c r="L87" s="410" t="s">
        <v>14</v>
      </c>
      <c r="M87" s="362"/>
      <c r="N87" s="397"/>
      <c r="O87" s="121"/>
      <c r="P87" s="111"/>
      <c r="Q87" s="362"/>
      <c r="R87" s="397"/>
      <c r="S87" s="362"/>
      <c r="T87" s="397"/>
    </row>
    <row r="88" spans="1:22" x14ac:dyDescent="0.3">
      <c r="A88" s="397"/>
      <c r="B88" s="124" t="s">
        <v>442</v>
      </c>
      <c r="C88" s="85" t="s">
        <v>608</v>
      </c>
      <c r="D88" s="381" t="s">
        <v>436</v>
      </c>
      <c r="E88" s="136"/>
      <c r="F88" s="206" t="s">
        <v>537</v>
      </c>
      <c r="G88" s="136"/>
      <c r="H88" s="206" t="s">
        <v>480</v>
      </c>
      <c r="I88" s="89"/>
      <c r="J88" s="274">
        <v>80</v>
      </c>
      <c r="K88" s="89"/>
      <c r="L88" s="274">
        <v>30</v>
      </c>
      <c r="M88" s="362"/>
      <c r="N88" s="397"/>
      <c r="O88" s="121"/>
      <c r="P88" s="111"/>
      <c r="Q88" s="362"/>
      <c r="R88" s="397"/>
      <c r="S88" s="362"/>
      <c r="T88" s="397"/>
    </row>
    <row r="89" spans="1:22" x14ac:dyDescent="0.3">
      <c r="A89" s="397"/>
      <c r="B89" s="175" t="s">
        <v>443</v>
      </c>
      <c r="C89" s="150" t="s">
        <v>609</v>
      </c>
      <c r="D89" s="181" t="s">
        <v>435</v>
      </c>
      <c r="E89" s="411" t="s">
        <v>14</v>
      </c>
      <c r="F89" s="412" t="s">
        <v>14</v>
      </c>
      <c r="G89" s="411" t="s">
        <v>14</v>
      </c>
      <c r="H89" s="412" t="s">
        <v>14</v>
      </c>
      <c r="I89" s="411" t="s">
        <v>14</v>
      </c>
      <c r="J89" s="412" t="s">
        <v>14</v>
      </c>
      <c r="K89" s="411" t="s">
        <v>14</v>
      </c>
      <c r="L89" s="412" t="s">
        <v>14</v>
      </c>
      <c r="M89" s="362"/>
      <c r="N89" s="397"/>
      <c r="O89" s="121"/>
      <c r="P89" s="111"/>
      <c r="Q89" s="362"/>
      <c r="R89" s="397"/>
      <c r="S89" s="362"/>
      <c r="T89" s="397"/>
    </row>
    <row r="90" spans="1:22" x14ac:dyDescent="0.3">
      <c r="A90" s="397"/>
      <c r="B90" s="397"/>
      <c r="C90" s="397"/>
      <c r="D90" s="362"/>
      <c r="E90" s="362"/>
      <c r="F90" s="397"/>
      <c r="G90" s="362"/>
      <c r="H90" s="397"/>
      <c r="I90" s="362"/>
      <c r="J90" s="397"/>
      <c r="K90" s="362"/>
      <c r="L90" s="397"/>
      <c r="M90" s="362"/>
      <c r="N90" s="397"/>
      <c r="O90" s="121"/>
      <c r="P90" s="111"/>
      <c r="Q90" s="362"/>
      <c r="R90" s="397"/>
      <c r="S90" s="362"/>
      <c r="T90" s="397"/>
    </row>
    <row r="91" spans="1:22" x14ac:dyDescent="0.3">
      <c r="A91" s="82"/>
      <c r="B91" s="85"/>
      <c r="C91" s="83"/>
      <c r="D91" s="362"/>
      <c r="E91" s="82"/>
      <c r="F91" s="82"/>
      <c r="G91" s="82"/>
      <c r="H91" s="82"/>
      <c r="I91" s="82"/>
      <c r="J91" s="82"/>
      <c r="K91" s="82"/>
      <c r="L91" s="82"/>
      <c r="M91" s="82"/>
      <c r="N91" s="82"/>
      <c r="O91" s="82"/>
      <c r="P91" s="82"/>
      <c r="Q91" s="82"/>
      <c r="R91" s="82"/>
      <c r="S91" s="82"/>
      <c r="T91" s="82"/>
    </row>
    <row r="92" spans="1:22" x14ac:dyDescent="0.3">
      <c r="A92" s="82"/>
      <c r="B92" s="108" t="s">
        <v>505</v>
      </c>
      <c r="C92" s="113" t="s">
        <v>291</v>
      </c>
      <c r="D92" s="210"/>
      <c r="E92" s="207"/>
      <c r="F92" s="142" t="s">
        <v>292</v>
      </c>
      <c r="G92" s="125"/>
      <c r="H92" s="142" t="s">
        <v>293</v>
      </c>
      <c r="O92" s="397"/>
      <c r="P92" s="397"/>
      <c r="Q92" s="397"/>
      <c r="R92" s="397"/>
      <c r="S92" s="397"/>
      <c r="T92" s="397"/>
    </row>
    <row r="93" spans="1:22" ht="15" thickBot="1" x14ac:dyDescent="0.35">
      <c r="A93" s="82"/>
      <c r="B93" s="173" t="s">
        <v>285</v>
      </c>
      <c r="C93" s="171" t="s">
        <v>286</v>
      </c>
      <c r="D93" s="211"/>
      <c r="E93" s="208"/>
      <c r="F93" s="174" t="s">
        <v>287</v>
      </c>
      <c r="G93" s="208"/>
      <c r="H93" s="174" t="s">
        <v>288</v>
      </c>
      <c r="O93" s="397"/>
      <c r="P93" s="397"/>
      <c r="Q93" s="397"/>
      <c r="R93" s="397"/>
      <c r="S93" s="397"/>
      <c r="T93" s="397"/>
    </row>
    <row r="94" spans="1:22" ht="15" thickTop="1" x14ac:dyDescent="0.3">
      <c r="A94" s="82"/>
      <c r="B94" s="124" t="s">
        <v>168</v>
      </c>
      <c r="C94" s="85" t="s">
        <v>297</v>
      </c>
      <c r="E94" s="134"/>
      <c r="F94" s="146" t="s">
        <v>298</v>
      </c>
      <c r="G94" s="134"/>
      <c r="H94" s="146" t="s">
        <v>299</v>
      </c>
      <c r="O94" s="397"/>
      <c r="P94" s="397"/>
      <c r="Q94" s="397"/>
      <c r="R94" s="397"/>
      <c r="S94" s="397"/>
      <c r="T94" s="397"/>
    </row>
    <row r="95" spans="1:22" x14ac:dyDescent="0.3">
      <c r="A95" s="82"/>
      <c r="B95" s="124" t="s">
        <v>169</v>
      </c>
      <c r="C95" s="85" t="s">
        <v>297</v>
      </c>
      <c r="E95" s="136"/>
      <c r="F95" s="146" t="s">
        <v>298</v>
      </c>
      <c r="G95" s="136"/>
      <c r="H95" s="146" t="s">
        <v>299</v>
      </c>
      <c r="O95" s="397"/>
      <c r="P95" s="397"/>
      <c r="Q95" s="397"/>
      <c r="R95" s="397"/>
      <c r="S95" s="397"/>
      <c r="T95" s="397"/>
    </row>
    <row r="96" spans="1:22" x14ac:dyDescent="0.3">
      <c r="A96" s="82"/>
      <c r="B96" s="124" t="s">
        <v>170</v>
      </c>
      <c r="C96" s="85" t="s">
        <v>297</v>
      </c>
      <c r="E96" s="136"/>
      <c r="F96" s="146" t="s">
        <v>298</v>
      </c>
      <c r="G96" s="136"/>
      <c r="H96" s="146" t="s">
        <v>299</v>
      </c>
      <c r="O96" s="397"/>
      <c r="P96" s="397"/>
      <c r="Q96" s="397"/>
      <c r="R96" s="397"/>
      <c r="S96" s="397"/>
      <c r="T96" s="397"/>
    </row>
    <row r="97" spans="1:26" x14ac:dyDescent="0.3">
      <c r="A97" s="82"/>
      <c r="B97" s="175" t="s">
        <v>171</v>
      </c>
      <c r="C97" s="150" t="s">
        <v>297</v>
      </c>
      <c r="D97" s="151"/>
      <c r="E97" s="153"/>
      <c r="F97" s="155" t="s">
        <v>298</v>
      </c>
      <c r="G97" s="153"/>
      <c r="H97" s="155" t="s">
        <v>299</v>
      </c>
      <c r="O97" s="397"/>
      <c r="P97" s="397"/>
      <c r="Q97" s="397"/>
      <c r="R97" s="397"/>
      <c r="S97" s="397"/>
      <c r="T97" s="397"/>
    </row>
    <row r="98" spans="1:26" x14ac:dyDescent="0.3">
      <c r="A98" s="397"/>
      <c r="B98" s="397"/>
      <c r="C98" s="397"/>
      <c r="D98" s="362"/>
      <c r="E98" s="362"/>
      <c r="F98" s="397"/>
      <c r="G98" s="362"/>
      <c r="H98" s="397"/>
      <c r="I98" s="362"/>
      <c r="J98" s="397"/>
      <c r="K98" s="362"/>
      <c r="L98" s="397"/>
      <c r="M98" s="362"/>
      <c r="N98" s="397"/>
      <c r="O98" s="121"/>
      <c r="P98" s="111"/>
      <c r="Q98" s="362"/>
      <c r="R98" s="397"/>
      <c r="S98" s="362"/>
      <c r="T98" s="397"/>
    </row>
    <row r="99" spans="1:26" x14ac:dyDescent="0.3">
      <c r="A99" s="397"/>
      <c r="B99" s="397"/>
      <c r="C99" s="397"/>
      <c r="D99" s="362"/>
      <c r="E99" s="362"/>
      <c r="F99" s="397"/>
      <c r="G99" s="362"/>
      <c r="H99" s="397"/>
      <c r="I99" s="362"/>
      <c r="J99" s="397"/>
      <c r="K99" s="362"/>
      <c r="L99" s="397"/>
      <c r="M99" s="362"/>
      <c r="N99" s="397"/>
      <c r="O99" s="121"/>
      <c r="P99" s="111"/>
      <c r="Q99" s="362"/>
      <c r="R99" s="397"/>
      <c r="S99" s="362"/>
      <c r="T99" s="397"/>
    </row>
    <row r="100" spans="1:26" x14ac:dyDescent="0.3">
      <c r="A100" s="26"/>
      <c r="B100" s="28" t="s">
        <v>487</v>
      </c>
      <c r="D100" s="15"/>
      <c r="E100" s="362"/>
      <c r="F100" s="397"/>
      <c r="G100" s="362"/>
      <c r="H100" s="397"/>
      <c r="I100" s="362"/>
      <c r="J100" s="397"/>
      <c r="K100" s="362"/>
      <c r="L100" s="397"/>
      <c r="M100" s="362"/>
      <c r="N100" s="397"/>
      <c r="O100" s="121"/>
      <c r="P100" s="111"/>
      <c r="Q100" s="362"/>
      <c r="R100" s="397"/>
      <c r="S100" s="362"/>
      <c r="T100" s="397"/>
    </row>
    <row r="101" spans="1:26" ht="27.6" x14ac:dyDescent="0.3">
      <c r="A101" s="397"/>
      <c r="B101" s="108" t="s">
        <v>488</v>
      </c>
      <c r="C101" s="389"/>
      <c r="D101" s="112" t="s">
        <v>433</v>
      </c>
      <c r="E101" s="231"/>
      <c r="F101" s="109" t="s">
        <v>836</v>
      </c>
      <c r="G101" s="210"/>
      <c r="H101" s="116" t="s">
        <v>489</v>
      </c>
      <c r="I101" s="231"/>
      <c r="J101" s="109" t="s">
        <v>490</v>
      </c>
      <c r="K101" s="455"/>
      <c r="L101" s="456" t="s">
        <v>491</v>
      </c>
      <c r="M101" s="231"/>
      <c r="N101" s="109" t="s">
        <v>739</v>
      </c>
      <c r="O101" s="121"/>
      <c r="P101" s="111"/>
      <c r="Q101" s="362"/>
      <c r="R101" s="397"/>
      <c r="S101" s="362"/>
      <c r="T101" s="397"/>
    </row>
    <row r="102" spans="1:26" ht="15" thickBot="1" x14ac:dyDescent="0.35">
      <c r="A102" s="397"/>
      <c r="B102" s="212"/>
      <c r="C102" s="376"/>
      <c r="D102" s="211"/>
      <c r="E102" s="375"/>
      <c r="F102" s="355" t="s">
        <v>1057</v>
      </c>
      <c r="G102" s="376"/>
      <c r="H102" s="354" t="s">
        <v>1058</v>
      </c>
      <c r="I102" s="230"/>
      <c r="J102" s="355" t="s">
        <v>1059</v>
      </c>
      <c r="K102" s="211"/>
      <c r="L102" s="354" t="s">
        <v>611</v>
      </c>
      <c r="M102" s="230"/>
      <c r="N102" s="355" t="s">
        <v>1060</v>
      </c>
      <c r="O102" s="121"/>
      <c r="P102" s="111"/>
      <c r="Q102" s="362"/>
      <c r="R102" s="397"/>
      <c r="S102" s="362"/>
      <c r="T102" s="397"/>
    </row>
    <row r="103" spans="1:26" ht="15" thickTop="1" x14ac:dyDescent="0.3">
      <c r="A103" s="397"/>
      <c r="B103" s="356">
        <v>1</v>
      </c>
      <c r="C103" s="379"/>
      <c r="D103" s="181" t="s">
        <v>436</v>
      </c>
      <c r="E103" s="707" t="s">
        <v>919</v>
      </c>
      <c r="F103" s="195">
        <v>600000</v>
      </c>
      <c r="G103" s="359"/>
      <c r="H103" s="150">
        <v>0.8</v>
      </c>
      <c r="I103" s="165"/>
      <c r="J103" s="155" t="s">
        <v>475</v>
      </c>
      <c r="K103" s="164"/>
      <c r="L103" s="150" t="s">
        <v>493</v>
      </c>
      <c r="M103" s="165"/>
      <c r="N103" s="155">
        <v>0.25</v>
      </c>
      <c r="O103" s="121"/>
      <c r="P103" s="111"/>
      <c r="Q103" s="362"/>
      <c r="R103" s="397"/>
      <c r="S103" s="362"/>
      <c r="T103" s="397"/>
    </row>
    <row r="104" spans="1:26" x14ac:dyDescent="0.3">
      <c r="A104" s="397"/>
      <c r="B104" s="397"/>
      <c r="C104" s="397"/>
      <c r="D104" s="362"/>
      <c r="E104" s="362"/>
      <c r="F104" s="397"/>
      <c r="G104" s="362"/>
      <c r="H104" s="397"/>
      <c r="I104" s="362"/>
      <c r="J104" s="397"/>
      <c r="K104" s="362"/>
      <c r="L104" s="397"/>
      <c r="M104" s="362"/>
      <c r="N104" s="397"/>
      <c r="O104" s="362"/>
      <c r="P104" s="397"/>
      <c r="Q104" s="362"/>
      <c r="R104" s="397"/>
      <c r="S104" s="362"/>
      <c r="T104" s="397"/>
    </row>
    <row r="105" spans="1:26" s="36" customFormat="1" ht="27.6" x14ac:dyDescent="0.3">
      <c r="A105" s="82"/>
      <c r="B105" s="125" t="s">
        <v>750</v>
      </c>
      <c r="C105" s="113" t="s">
        <v>751</v>
      </c>
      <c r="D105" s="113" t="s">
        <v>433</v>
      </c>
      <c r="E105" s="125"/>
      <c r="F105" s="142" t="s">
        <v>760</v>
      </c>
      <c r="G105" s="113"/>
      <c r="H105" s="113" t="s">
        <v>761</v>
      </c>
      <c r="I105" s="207"/>
      <c r="J105" s="113" t="s">
        <v>1109</v>
      </c>
      <c r="K105" s="207"/>
      <c r="L105" s="113" t="s">
        <v>764</v>
      </c>
      <c r="M105" s="207"/>
      <c r="N105" s="142" t="s">
        <v>772</v>
      </c>
      <c r="O105" s="113"/>
      <c r="P105" s="113" t="s">
        <v>773</v>
      </c>
      <c r="Q105" s="125"/>
      <c r="R105" s="142" t="s">
        <v>492</v>
      </c>
      <c r="S105" s="113"/>
      <c r="T105" s="142" t="s">
        <v>1051</v>
      </c>
      <c r="U105" s="87"/>
      <c r="V105" s="86"/>
      <c r="W105" s="87"/>
      <c r="X105" s="86"/>
      <c r="Y105" s="87"/>
      <c r="Z105" s="86"/>
    </row>
    <row r="106" spans="1:26" s="448" customFormat="1" thickBot="1" x14ac:dyDescent="0.35">
      <c r="A106" s="82"/>
      <c r="B106" s="178"/>
      <c r="C106" s="171"/>
      <c r="D106" s="172"/>
      <c r="E106" s="173"/>
      <c r="F106" s="355" t="s">
        <v>1061</v>
      </c>
      <c r="G106" s="171"/>
      <c r="H106" s="355" t="s">
        <v>1066</v>
      </c>
      <c r="I106" s="173"/>
      <c r="J106" s="174" t="s">
        <v>1110</v>
      </c>
      <c r="K106" s="173"/>
      <c r="L106" s="355" t="s">
        <v>1062</v>
      </c>
      <c r="M106" s="173"/>
      <c r="N106" s="355" t="s">
        <v>1063</v>
      </c>
      <c r="O106" s="171"/>
      <c r="P106" s="355" t="s">
        <v>1064</v>
      </c>
      <c r="Q106" s="173"/>
      <c r="R106" s="355" t="s">
        <v>1065</v>
      </c>
      <c r="S106" s="171"/>
      <c r="T106" s="174" t="s">
        <v>774</v>
      </c>
      <c r="U106" s="87"/>
      <c r="V106" s="86"/>
      <c r="W106" s="87"/>
      <c r="X106" s="86"/>
      <c r="Y106" s="87"/>
      <c r="Z106" s="86"/>
    </row>
    <row r="107" spans="1:26" s="364" customFormat="1" ht="12.75" customHeight="1" thickTop="1" x14ac:dyDescent="0.3">
      <c r="A107" s="378"/>
      <c r="B107" s="487" t="s">
        <v>936</v>
      </c>
      <c r="C107" s="493" t="s">
        <v>937</v>
      </c>
      <c r="D107" s="400" t="s">
        <v>436</v>
      </c>
      <c r="E107" s="508"/>
      <c r="F107" s="493" t="s">
        <v>494</v>
      </c>
      <c r="G107" s="508"/>
      <c r="H107" s="400" t="s">
        <v>762</v>
      </c>
      <c r="I107" s="658" t="s">
        <v>919</v>
      </c>
      <c r="J107" s="708">
        <f>ROUND(F103/500.19/40,2)</f>
        <v>29.99</v>
      </c>
      <c r="K107" s="508"/>
      <c r="L107" s="709" t="str">
        <f>ROUND(J107*P107/3960/(0.7*R107)*745.6/1000,2)&amp;" ("&amp;ROUND(P107/3960/(0.7*R107)*745.6,2)&amp;" W/gpm)"</f>
        <v>0.59 (19.68 W/gpm)</v>
      </c>
      <c r="M107" s="508"/>
      <c r="N107" s="509">
        <v>0.8</v>
      </c>
      <c r="O107" s="508"/>
      <c r="P107" s="710">
        <f>0.75*0.95/J107*3960*0.7</f>
        <v>65.856952317439138</v>
      </c>
      <c r="Q107" s="508"/>
      <c r="R107" s="509">
        <v>0.9</v>
      </c>
      <c r="S107" s="494" t="s">
        <v>14</v>
      </c>
      <c r="T107" s="478" t="s">
        <v>14</v>
      </c>
      <c r="U107" s="87"/>
      <c r="V107" s="86"/>
      <c r="W107" s="87"/>
      <c r="X107" s="86"/>
      <c r="Y107" s="87"/>
      <c r="Z107" s="86"/>
    </row>
    <row r="108" spans="1:26" s="86" customFormat="1" ht="13.8" x14ac:dyDescent="0.3">
      <c r="A108" s="82"/>
      <c r="B108" s="85"/>
      <c r="C108" s="83"/>
      <c r="E108" s="362"/>
      <c r="G108" s="25"/>
      <c r="I108" s="87"/>
      <c r="K108" s="87"/>
      <c r="M108" s="87"/>
      <c r="N108" s="711"/>
      <c r="O108" s="87"/>
      <c r="P108" s="711"/>
      <c r="Q108" s="87"/>
      <c r="S108" s="87"/>
    </row>
    <row r="109" spans="1:26" s="86" customFormat="1" ht="13.8" x14ac:dyDescent="0.3">
      <c r="A109" s="291"/>
      <c r="B109" s="291" t="s">
        <v>48</v>
      </c>
      <c r="C109" s="292"/>
      <c r="D109" s="290"/>
      <c r="E109" s="292"/>
      <c r="F109" s="290"/>
      <c r="G109" s="293"/>
      <c r="H109" s="290"/>
      <c r="I109" s="292"/>
      <c r="J109" s="290"/>
      <c r="K109" s="292"/>
      <c r="L109" s="290"/>
      <c r="M109" s="290"/>
      <c r="N109" s="290"/>
      <c r="O109" s="292"/>
      <c r="P109" s="290"/>
      <c r="Q109" s="292"/>
      <c r="R109" s="292"/>
      <c r="S109" s="292"/>
      <c r="T109" s="292"/>
    </row>
    <row r="110" spans="1:26" s="86" customFormat="1" ht="13.8" x14ac:dyDescent="0.3">
      <c r="A110" s="24"/>
      <c r="B110" s="24" t="s">
        <v>9</v>
      </c>
      <c r="C110" s="87"/>
      <c r="E110" s="84"/>
      <c r="F110" s="369"/>
      <c r="G110" s="84"/>
      <c r="H110" s="369"/>
      <c r="I110" s="84"/>
      <c r="J110" s="369"/>
      <c r="K110" s="84"/>
      <c r="L110" s="369"/>
      <c r="M110" s="84"/>
      <c r="N110" s="369"/>
      <c r="O110" s="84"/>
      <c r="P110" s="369"/>
      <c r="Q110" s="84"/>
      <c r="R110" s="63"/>
      <c r="S110" s="84"/>
      <c r="T110" s="63"/>
    </row>
    <row r="111" spans="1:26" s="86" customFormat="1" ht="13.8" x14ac:dyDescent="0.3">
      <c r="A111" s="82"/>
      <c r="B111" s="83" t="s">
        <v>17</v>
      </c>
      <c r="C111" s="87"/>
      <c r="E111" s="87"/>
      <c r="G111" s="25"/>
      <c r="I111" s="87"/>
      <c r="K111" s="87"/>
      <c r="L111" s="369"/>
      <c r="M111" s="87"/>
      <c r="N111" s="369"/>
      <c r="O111" s="77"/>
      <c r="P111" s="369"/>
      <c r="Q111" s="77"/>
      <c r="S111" s="77"/>
      <c r="T111" s="63"/>
    </row>
    <row r="112" spans="1:26" s="15" customFormat="1" ht="38.25" customHeight="1" x14ac:dyDescent="0.3">
      <c r="A112" s="82"/>
      <c r="B112" s="216" t="s">
        <v>137</v>
      </c>
      <c r="C112" s="116" t="s">
        <v>31</v>
      </c>
      <c r="D112" s="112" t="s">
        <v>433</v>
      </c>
      <c r="E112" s="217"/>
      <c r="F112" s="109" t="s">
        <v>49</v>
      </c>
      <c r="G112" s="214"/>
      <c r="H112" s="116" t="s">
        <v>11</v>
      </c>
      <c r="I112" s="217"/>
      <c r="J112" s="109" t="s">
        <v>495</v>
      </c>
      <c r="K112" s="214"/>
      <c r="L112" s="113" t="s">
        <v>496</v>
      </c>
      <c r="M112" s="217"/>
      <c r="N112" s="142" t="s">
        <v>497</v>
      </c>
      <c r="O112" s="214"/>
      <c r="P112" s="116" t="s">
        <v>498</v>
      </c>
      <c r="Q112" s="217"/>
      <c r="R112" s="109" t="s">
        <v>499</v>
      </c>
      <c r="S112" s="77"/>
      <c r="T112" s="63"/>
    </row>
    <row r="113" spans="1:20" s="75" customFormat="1" thickBot="1" x14ac:dyDescent="0.35">
      <c r="A113" s="82"/>
      <c r="B113" s="126"/>
      <c r="C113" s="117" t="s">
        <v>23</v>
      </c>
      <c r="D113" s="215"/>
      <c r="E113" s="100"/>
      <c r="F113" s="143" t="s">
        <v>50</v>
      </c>
      <c r="G113" s="215"/>
      <c r="H113" s="117" t="s">
        <v>25</v>
      </c>
      <c r="I113" s="100"/>
      <c r="J113" s="143" t="s">
        <v>24</v>
      </c>
      <c r="K113" s="215"/>
      <c r="L113" s="117" t="s">
        <v>140</v>
      </c>
      <c r="M113" s="100"/>
      <c r="N113" s="143" t="s">
        <v>141</v>
      </c>
      <c r="O113" s="215"/>
      <c r="P113" s="117" t="s">
        <v>142</v>
      </c>
      <c r="Q113" s="100"/>
      <c r="R113" s="143" t="s">
        <v>143</v>
      </c>
      <c r="S113" s="77"/>
      <c r="T113" s="63"/>
    </row>
    <row r="114" spans="1:20" ht="28.2" thickTop="1" x14ac:dyDescent="0.3">
      <c r="A114" s="82"/>
      <c r="B114" s="123" t="s">
        <v>10</v>
      </c>
      <c r="C114" s="85" t="s">
        <v>1326</v>
      </c>
      <c r="D114" s="369" t="s">
        <v>521</v>
      </c>
      <c r="E114" s="134"/>
      <c r="F114" s="146" t="s">
        <v>321</v>
      </c>
      <c r="G114" s="141"/>
      <c r="H114" s="85" t="s">
        <v>30</v>
      </c>
      <c r="I114" s="220"/>
      <c r="J114" s="144">
        <v>4.9000000000000002E-2</v>
      </c>
      <c r="K114" s="141"/>
      <c r="L114" s="31">
        <v>0.85</v>
      </c>
      <c r="M114" s="134"/>
      <c r="N114" s="222">
        <v>0.85</v>
      </c>
      <c r="O114" s="141"/>
      <c r="P114" s="31">
        <v>0.63</v>
      </c>
      <c r="Q114" s="134"/>
      <c r="R114" s="147">
        <v>0.37</v>
      </c>
      <c r="S114" s="77"/>
      <c r="T114" s="29"/>
    </row>
    <row r="115" spans="1:20" x14ac:dyDescent="0.3">
      <c r="A115" s="82"/>
      <c r="B115" s="123" t="s">
        <v>15</v>
      </c>
      <c r="C115" s="85" t="s">
        <v>1115</v>
      </c>
      <c r="D115" s="369" t="s">
        <v>521</v>
      </c>
      <c r="E115" s="409" t="s">
        <v>14</v>
      </c>
      <c r="F115" s="470" t="s">
        <v>14</v>
      </c>
      <c r="G115" s="176"/>
      <c r="H115" s="85" t="s">
        <v>16</v>
      </c>
      <c r="I115" s="221"/>
      <c r="J115" s="146">
        <v>6.9000000000000006E-2</v>
      </c>
      <c r="K115" s="428" t="s">
        <v>14</v>
      </c>
      <c r="L115" s="428" t="s">
        <v>14</v>
      </c>
      <c r="M115" s="409" t="s">
        <v>14</v>
      </c>
      <c r="N115" s="410" t="s">
        <v>14</v>
      </c>
      <c r="O115" s="428" t="s">
        <v>14</v>
      </c>
      <c r="P115" s="428" t="s">
        <v>14</v>
      </c>
      <c r="Q115" s="409" t="s">
        <v>14</v>
      </c>
      <c r="R115" s="410" t="s">
        <v>14</v>
      </c>
      <c r="S115" s="77"/>
      <c r="T115" s="29"/>
    </row>
    <row r="116" spans="1:20" x14ac:dyDescent="0.3">
      <c r="A116" s="82"/>
      <c r="B116" s="149" t="s">
        <v>15</v>
      </c>
      <c r="C116" s="150" t="s">
        <v>58</v>
      </c>
      <c r="D116" s="151" t="s">
        <v>436</v>
      </c>
      <c r="E116" s="411" t="s">
        <v>14</v>
      </c>
      <c r="F116" s="471" t="s">
        <v>14</v>
      </c>
      <c r="G116" s="169"/>
      <c r="H116" s="150" t="s">
        <v>16</v>
      </c>
      <c r="I116" s="153"/>
      <c r="J116" s="155">
        <v>6.8000000000000005E-2</v>
      </c>
      <c r="K116" s="156" t="s">
        <v>14</v>
      </c>
      <c r="L116" s="156" t="s">
        <v>14</v>
      </c>
      <c r="M116" s="152" t="s">
        <v>14</v>
      </c>
      <c r="N116" s="157" t="s">
        <v>14</v>
      </c>
      <c r="O116" s="156" t="s">
        <v>14</v>
      </c>
      <c r="P116" s="156" t="s">
        <v>14</v>
      </c>
      <c r="Q116" s="152" t="s">
        <v>14</v>
      </c>
      <c r="R116" s="157" t="s">
        <v>14</v>
      </c>
      <c r="S116" s="77"/>
      <c r="T116" s="29"/>
    </row>
    <row r="117" spans="1:20" x14ac:dyDescent="0.3">
      <c r="A117" s="82"/>
      <c r="B117" s="83"/>
      <c r="S117" s="77"/>
    </row>
    <row r="118" spans="1:20" x14ac:dyDescent="0.3">
      <c r="A118" s="82"/>
      <c r="B118" s="83" t="s">
        <v>18</v>
      </c>
    </row>
    <row r="119" spans="1:20" ht="27.6" x14ac:dyDescent="0.3">
      <c r="A119" s="82"/>
      <c r="B119" s="216" t="s">
        <v>137</v>
      </c>
      <c r="C119" s="116" t="s">
        <v>31</v>
      </c>
      <c r="D119" s="213"/>
      <c r="E119" s="190"/>
      <c r="F119" s="109" t="s">
        <v>11</v>
      </c>
      <c r="G119" s="183"/>
      <c r="H119" s="116" t="s">
        <v>495</v>
      </c>
      <c r="I119" s="190"/>
      <c r="J119" s="109" t="s">
        <v>22</v>
      </c>
      <c r="K119" s="183"/>
      <c r="L119" s="109" t="s">
        <v>39</v>
      </c>
      <c r="M119" s="34"/>
      <c r="N119" s="77"/>
      <c r="O119" s="34"/>
      <c r="P119" s="77"/>
      <c r="Q119" s="34"/>
      <c r="R119" s="77"/>
      <c r="S119" s="34"/>
      <c r="T119" s="77"/>
    </row>
    <row r="120" spans="1:20" ht="15" thickBot="1" x14ac:dyDescent="0.35">
      <c r="A120" s="82"/>
      <c r="B120" s="126"/>
      <c r="C120" s="117" t="s">
        <v>46</v>
      </c>
      <c r="D120" s="118"/>
      <c r="E120" s="133"/>
      <c r="F120" s="143" t="s">
        <v>26</v>
      </c>
      <c r="G120" s="119"/>
      <c r="H120" s="117" t="s">
        <v>47</v>
      </c>
      <c r="I120" s="139"/>
      <c r="J120" s="143" t="s">
        <v>28</v>
      </c>
      <c r="K120" s="118"/>
      <c r="L120" s="143" t="s">
        <v>29</v>
      </c>
      <c r="M120" s="76"/>
      <c r="N120" s="29"/>
      <c r="O120" s="76"/>
      <c r="P120" s="29"/>
      <c r="Q120" s="29"/>
      <c r="R120" s="29"/>
      <c r="S120" s="29"/>
      <c r="T120" s="29"/>
    </row>
    <row r="121" spans="1:20" ht="15" thickTop="1" x14ac:dyDescent="0.3">
      <c r="A121" s="82"/>
      <c r="B121" s="123" t="s">
        <v>20</v>
      </c>
      <c r="C121" s="369" t="s">
        <v>483</v>
      </c>
      <c r="D121" s="378" t="s">
        <v>435</v>
      </c>
      <c r="E121" s="134"/>
      <c r="F121" s="367" t="s">
        <v>19</v>
      </c>
      <c r="G121" s="141"/>
      <c r="H121" s="85">
        <v>0.36</v>
      </c>
      <c r="I121" s="134"/>
      <c r="J121" s="146">
        <v>0.25</v>
      </c>
      <c r="K121" s="141"/>
      <c r="L121" s="146">
        <v>0.42</v>
      </c>
    </row>
    <row r="122" spans="1:20" x14ac:dyDescent="0.3">
      <c r="A122" s="82"/>
      <c r="B122" s="149" t="s">
        <v>20</v>
      </c>
      <c r="C122" s="151" t="s">
        <v>484</v>
      </c>
      <c r="D122" s="158" t="s">
        <v>436</v>
      </c>
      <c r="E122" s="153"/>
      <c r="F122" s="166" t="s">
        <v>19</v>
      </c>
      <c r="G122" s="169"/>
      <c r="H122" s="150">
        <v>0.55000000000000004</v>
      </c>
      <c r="I122" s="153"/>
      <c r="J122" s="163">
        <v>0.56000000000000005</v>
      </c>
      <c r="K122" s="169"/>
      <c r="L122" s="163">
        <v>0.6</v>
      </c>
    </row>
    <row r="123" spans="1:20" x14ac:dyDescent="0.3">
      <c r="C123" s="371"/>
      <c r="D123" s="378"/>
      <c r="E123" s="369"/>
      <c r="G123" s="369"/>
      <c r="H123" s="85"/>
    </row>
    <row r="124" spans="1:20" s="83" customFormat="1" ht="27.6" x14ac:dyDescent="0.3">
      <c r="D124" s="216" t="s">
        <v>137</v>
      </c>
      <c r="E124" s="190"/>
      <c r="F124" s="109" t="s">
        <v>512</v>
      </c>
      <c r="G124" s="183"/>
      <c r="H124" s="116" t="s">
        <v>513</v>
      </c>
      <c r="I124" s="190"/>
      <c r="J124" s="109" t="s">
        <v>514</v>
      </c>
      <c r="K124" s="183"/>
      <c r="L124" s="116" t="s">
        <v>515</v>
      </c>
      <c r="M124" s="190"/>
      <c r="N124" s="109" t="s">
        <v>516</v>
      </c>
      <c r="O124" s="39"/>
      <c r="P124" s="15"/>
      <c r="Q124" s="15"/>
      <c r="R124" s="15"/>
      <c r="S124" s="15"/>
      <c r="T124" s="15"/>
    </row>
    <row r="125" spans="1:20" s="369" customFormat="1" thickBot="1" x14ac:dyDescent="0.35">
      <c r="D125" s="236"/>
      <c r="E125" s="237"/>
      <c r="F125" s="238" t="s">
        <v>65</v>
      </c>
      <c r="G125" s="224"/>
      <c r="H125" s="118" t="s">
        <v>66</v>
      </c>
      <c r="I125" s="237"/>
      <c r="J125" s="101" t="s">
        <v>67</v>
      </c>
      <c r="K125" s="224"/>
      <c r="L125" s="215" t="s">
        <v>68</v>
      </c>
      <c r="M125" s="237"/>
      <c r="N125" s="101" t="s">
        <v>69</v>
      </c>
      <c r="O125" s="63"/>
      <c r="P125" s="63"/>
      <c r="Q125" s="63"/>
      <c r="R125" s="63"/>
      <c r="S125" s="63"/>
      <c r="T125" s="63"/>
    </row>
    <row r="126" spans="1:20" s="378" customFormat="1" ht="15" thickTop="1" x14ac:dyDescent="0.3">
      <c r="C126" s="84"/>
      <c r="D126" s="233" t="s">
        <v>20</v>
      </c>
      <c r="E126" s="239"/>
      <c r="F126" s="235">
        <v>0.30809999999999998</v>
      </c>
      <c r="G126" s="232"/>
      <c r="H126" s="234">
        <v>0.33</v>
      </c>
      <c r="I126" s="239"/>
      <c r="J126" s="234">
        <v>0.33</v>
      </c>
      <c r="K126" s="358"/>
      <c r="L126" s="234">
        <v>0.33</v>
      </c>
      <c r="M126" s="239"/>
      <c r="N126" s="235">
        <v>0.22</v>
      </c>
      <c r="O126" s="370"/>
      <c r="P126" s="370"/>
      <c r="Q126" s="370"/>
      <c r="R126" s="370"/>
      <c r="S126" s="370"/>
      <c r="T126" s="370"/>
    </row>
    <row r="127" spans="1:20" x14ac:dyDescent="0.3">
      <c r="A127" s="82"/>
      <c r="B127" s="83"/>
    </row>
    <row r="128" spans="1:20" x14ac:dyDescent="0.3">
      <c r="A128" s="24"/>
      <c r="B128" s="24" t="s">
        <v>53</v>
      </c>
      <c r="C128" s="397"/>
      <c r="D128" s="362"/>
      <c r="E128" s="40"/>
      <c r="F128" s="38"/>
      <c r="G128" s="40"/>
      <c r="H128" s="38"/>
      <c r="I128" s="40"/>
      <c r="J128" s="38"/>
      <c r="K128" s="40"/>
      <c r="L128" s="38"/>
      <c r="M128" s="40"/>
      <c r="N128" s="38"/>
      <c r="O128" s="40"/>
      <c r="P128" s="38"/>
      <c r="R128" s="38"/>
      <c r="T128" s="38"/>
    </row>
    <row r="129" spans="1:27" x14ac:dyDescent="0.3">
      <c r="A129" s="82"/>
      <c r="B129" s="84" t="s">
        <v>17</v>
      </c>
    </row>
    <row r="130" spans="1:27" x14ac:dyDescent="0.3">
      <c r="A130" s="82"/>
      <c r="B130" s="132" t="s">
        <v>137</v>
      </c>
      <c r="C130" s="113" t="s">
        <v>31</v>
      </c>
      <c r="D130" s="112" t="s">
        <v>433</v>
      </c>
      <c r="E130" s="132"/>
      <c r="F130" s="110" t="s">
        <v>32</v>
      </c>
      <c r="G130" s="112"/>
      <c r="H130" s="168" t="s">
        <v>33</v>
      </c>
      <c r="I130" s="132"/>
      <c r="J130" s="110" t="s">
        <v>34</v>
      </c>
      <c r="K130" s="112"/>
      <c r="L130" s="168" t="s">
        <v>35</v>
      </c>
      <c r="M130" s="132"/>
      <c r="N130" s="110" t="s">
        <v>36</v>
      </c>
      <c r="O130" s="112"/>
      <c r="P130" s="110" t="s">
        <v>144</v>
      </c>
      <c r="Q130" s="112"/>
      <c r="R130" s="110" t="s">
        <v>1114</v>
      </c>
      <c r="S130" s="84"/>
      <c r="T130" s="78"/>
    </row>
    <row r="131" spans="1:27" ht="15" thickBot="1" x14ac:dyDescent="0.35">
      <c r="A131" s="82"/>
      <c r="B131" s="126"/>
      <c r="C131" s="117" t="s">
        <v>23</v>
      </c>
      <c r="D131" s="118"/>
      <c r="E131" s="133"/>
      <c r="F131" s="519" t="s">
        <v>968</v>
      </c>
      <c r="G131" s="119"/>
      <c r="H131" s="519" t="s">
        <v>968</v>
      </c>
      <c r="I131" s="139"/>
      <c r="J131" s="519" t="s">
        <v>968</v>
      </c>
      <c r="K131" s="118"/>
      <c r="L131" s="519" t="s">
        <v>968</v>
      </c>
      <c r="M131" s="139"/>
      <c r="N131" s="519" t="s">
        <v>968</v>
      </c>
      <c r="O131" s="118"/>
      <c r="P131" s="519" t="s">
        <v>968</v>
      </c>
      <c r="Q131" s="118"/>
      <c r="R131" s="519" t="s">
        <v>968</v>
      </c>
      <c r="S131" s="29"/>
      <c r="T131" s="29"/>
    </row>
    <row r="132" spans="1:27" ht="28.2" thickTop="1" x14ac:dyDescent="0.3">
      <c r="A132" s="82"/>
      <c r="B132" s="123" t="s">
        <v>15</v>
      </c>
      <c r="C132" s="85" t="s">
        <v>1115</v>
      </c>
      <c r="D132" s="369" t="s">
        <v>435</v>
      </c>
      <c r="E132" s="134"/>
      <c r="F132" s="367" t="s">
        <v>1133</v>
      </c>
      <c r="G132" s="141"/>
      <c r="H132" s="371" t="s">
        <v>1150</v>
      </c>
      <c r="I132" s="134"/>
      <c r="J132" s="367" t="s">
        <v>1294</v>
      </c>
      <c r="K132" s="141"/>
      <c r="L132" s="371" t="s">
        <v>1179</v>
      </c>
      <c r="M132" s="136"/>
      <c r="N132" s="367" t="s">
        <v>1184</v>
      </c>
      <c r="O132" s="136"/>
      <c r="P132" s="367" t="s">
        <v>1173</v>
      </c>
      <c r="Q132" s="136"/>
      <c r="R132" s="367" t="s">
        <v>1174</v>
      </c>
      <c r="T132" s="66"/>
    </row>
    <row r="133" spans="1:27" ht="27.6" x14ac:dyDescent="0.3">
      <c r="A133" s="82"/>
      <c r="B133" s="123" t="s">
        <v>15</v>
      </c>
      <c r="C133" s="85" t="s">
        <v>58</v>
      </c>
      <c r="D133" s="369" t="s">
        <v>436</v>
      </c>
      <c r="E133" s="136"/>
      <c r="F133" s="367" t="s">
        <v>1133</v>
      </c>
      <c r="G133" s="176"/>
      <c r="H133" s="371" t="s">
        <v>1146</v>
      </c>
      <c r="I133" s="136"/>
      <c r="J133" s="367" t="s">
        <v>1172</v>
      </c>
      <c r="K133" s="176"/>
      <c r="L133" s="371" t="s">
        <v>1173</v>
      </c>
      <c r="M133" s="136"/>
      <c r="N133" s="367" t="s">
        <v>1174</v>
      </c>
      <c r="O133" s="428" t="s">
        <v>14</v>
      </c>
      <c r="P133" s="410" t="s">
        <v>14</v>
      </c>
      <c r="Q133" s="428" t="s">
        <v>14</v>
      </c>
      <c r="R133" s="410" t="s">
        <v>14</v>
      </c>
      <c r="T133" s="66"/>
    </row>
    <row r="134" spans="1:27" ht="27.6" x14ac:dyDescent="0.3">
      <c r="A134" s="82"/>
      <c r="B134" s="149" t="s">
        <v>10</v>
      </c>
      <c r="C134" s="150" t="s">
        <v>1326</v>
      </c>
      <c r="D134" s="166" t="s">
        <v>521</v>
      </c>
      <c r="E134" s="153"/>
      <c r="F134" s="166" t="s">
        <v>1137</v>
      </c>
      <c r="G134" s="169"/>
      <c r="H134" s="160" t="s">
        <v>1151</v>
      </c>
      <c r="I134" s="411" t="s">
        <v>14</v>
      </c>
      <c r="J134" s="412" t="s">
        <v>14</v>
      </c>
      <c r="K134" s="432" t="s">
        <v>14</v>
      </c>
      <c r="L134" s="432" t="s">
        <v>14</v>
      </c>
      <c r="M134" s="411" t="s">
        <v>14</v>
      </c>
      <c r="N134" s="412" t="s">
        <v>14</v>
      </c>
      <c r="O134" s="432" t="s">
        <v>14</v>
      </c>
      <c r="P134" s="412" t="s">
        <v>14</v>
      </c>
      <c r="Q134" s="432" t="s">
        <v>14</v>
      </c>
      <c r="R134" s="412" t="s">
        <v>14</v>
      </c>
      <c r="T134" s="66"/>
    </row>
    <row r="135" spans="1:27" x14ac:dyDescent="0.3">
      <c r="A135" s="82"/>
    </row>
    <row r="136" spans="1:27" x14ac:dyDescent="0.3">
      <c r="A136" s="82"/>
      <c r="B136" s="85"/>
      <c r="C136" s="83"/>
      <c r="D136" s="362"/>
      <c r="E136" s="369"/>
      <c r="F136" s="369"/>
      <c r="G136" s="369"/>
      <c r="H136" s="369"/>
      <c r="J136" s="369"/>
      <c r="L136" s="66"/>
      <c r="N136" s="66"/>
      <c r="P136" s="66"/>
      <c r="R136" s="66"/>
      <c r="T136" s="66"/>
    </row>
    <row r="137" spans="1:27" x14ac:dyDescent="0.3">
      <c r="A137" s="24"/>
      <c r="B137" s="24" t="s">
        <v>517</v>
      </c>
    </row>
    <row r="138" spans="1:27" ht="41.4" x14ac:dyDescent="0.3">
      <c r="A138" s="82"/>
      <c r="B138" s="108" t="s">
        <v>500</v>
      </c>
      <c r="C138" s="116" t="s">
        <v>501</v>
      </c>
      <c r="D138" s="112" t="s">
        <v>433</v>
      </c>
      <c r="E138" s="125"/>
      <c r="F138" s="142" t="s">
        <v>437</v>
      </c>
      <c r="G138" s="113"/>
      <c r="H138" s="168" t="s">
        <v>137</v>
      </c>
      <c r="I138" s="125"/>
      <c r="J138" s="110" t="s">
        <v>186</v>
      </c>
      <c r="K138" s="125"/>
      <c r="L138" s="142" t="s">
        <v>510</v>
      </c>
      <c r="M138" s="113"/>
      <c r="N138" s="113" t="s">
        <v>509</v>
      </c>
      <c r="O138" s="125"/>
      <c r="P138" s="142" t="s">
        <v>508</v>
      </c>
      <c r="Q138" s="125"/>
      <c r="R138" s="142" t="s">
        <v>486</v>
      </c>
      <c r="S138" s="125"/>
      <c r="T138" s="142" t="s">
        <v>534</v>
      </c>
    </row>
    <row r="139" spans="1:27" ht="15" thickBot="1" x14ac:dyDescent="0.35">
      <c r="A139" s="82"/>
      <c r="B139" s="173" t="s">
        <v>259</v>
      </c>
      <c r="C139" s="171" t="s">
        <v>258</v>
      </c>
      <c r="D139" s="211"/>
      <c r="E139" s="178"/>
      <c r="F139" s="174" t="s">
        <v>260</v>
      </c>
      <c r="G139" s="172"/>
      <c r="H139" s="171" t="s">
        <v>261</v>
      </c>
      <c r="I139" s="178"/>
      <c r="J139" s="174"/>
      <c r="K139" s="208"/>
      <c r="L139" s="174" t="s">
        <v>646</v>
      </c>
      <c r="M139" s="205"/>
      <c r="N139" s="171" t="s">
        <v>647</v>
      </c>
      <c r="O139" s="208"/>
      <c r="P139" s="174" t="s">
        <v>1387</v>
      </c>
      <c r="Q139" s="230"/>
      <c r="R139" s="174" t="s">
        <v>1127</v>
      </c>
      <c r="S139" s="230"/>
      <c r="T139" s="174" t="s">
        <v>1128</v>
      </c>
    </row>
    <row r="140" spans="1:27" ht="15" thickTop="1" x14ac:dyDescent="0.3">
      <c r="A140" s="82"/>
      <c r="B140" s="124" t="s">
        <v>445</v>
      </c>
      <c r="C140" s="85" t="s">
        <v>440</v>
      </c>
      <c r="D140" s="369" t="s">
        <v>436</v>
      </c>
      <c r="E140" s="409" t="s">
        <v>14</v>
      </c>
      <c r="F140" s="410" t="s">
        <v>14</v>
      </c>
      <c r="G140" s="141"/>
      <c r="H140" s="85" t="s">
        <v>449</v>
      </c>
      <c r="I140" s="134"/>
      <c r="J140" s="146" t="s">
        <v>187</v>
      </c>
      <c r="K140" s="134"/>
      <c r="L140" s="206">
        <v>55</v>
      </c>
      <c r="M140" s="134"/>
      <c r="N140" s="369">
        <v>60</v>
      </c>
      <c r="O140" s="134"/>
      <c r="P140" s="206" t="s">
        <v>930</v>
      </c>
      <c r="Q140" s="134"/>
      <c r="R140" s="206">
        <v>60</v>
      </c>
      <c r="S140" s="134"/>
      <c r="T140" s="206">
        <v>55</v>
      </c>
    </row>
    <row r="141" spans="1:27" x14ac:dyDescent="0.3">
      <c r="A141" s="82"/>
      <c r="B141" s="124" t="s">
        <v>446</v>
      </c>
      <c r="C141" s="85" t="s">
        <v>441</v>
      </c>
      <c r="D141" s="369" t="s">
        <v>436</v>
      </c>
      <c r="E141" s="409" t="s">
        <v>14</v>
      </c>
      <c r="F141" s="410" t="s">
        <v>14</v>
      </c>
      <c r="G141" s="141"/>
      <c r="H141" s="85" t="s">
        <v>449</v>
      </c>
      <c r="I141" s="134"/>
      <c r="J141" s="146" t="s">
        <v>187</v>
      </c>
      <c r="K141" s="134"/>
      <c r="L141" s="206">
        <v>55</v>
      </c>
      <c r="M141" s="134"/>
      <c r="N141" s="369">
        <v>60</v>
      </c>
      <c r="O141" s="134"/>
      <c r="P141" s="206" t="s">
        <v>930</v>
      </c>
      <c r="Q141" s="136"/>
      <c r="R141" s="206">
        <v>60</v>
      </c>
      <c r="S141" s="136"/>
      <c r="T141" s="206">
        <v>55</v>
      </c>
    </row>
    <row r="142" spans="1:27" ht="15" customHeight="1" x14ac:dyDescent="0.3">
      <c r="A142" s="82"/>
      <c r="B142" s="124" t="s">
        <v>448</v>
      </c>
      <c r="C142" s="85" t="s">
        <v>442</v>
      </c>
      <c r="D142" s="369" t="s">
        <v>436</v>
      </c>
      <c r="E142" s="409" t="s">
        <v>14</v>
      </c>
      <c r="F142" s="410" t="s">
        <v>14</v>
      </c>
      <c r="G142" s="141"/>
      <c r="H142" s="85" t="s">
        <v>449</v>
      </c>
      <c r="I142" s="134"/>
      <c r="J142" s="146" t="s">
        <v>187</v>
      </c>
      <c r="K142" s="134"/>
      <c r="L142" s="206">
        <v>55</v>
      </c>
      <c r="M142" s="134"/>
      <c r="N142" s="369">
        <v>60</v>
      </c>
      <c r="O142" s="134"/>
      <c r="P142" s="206" t="s">
        <v>930</v>
      </c>
      <c r="Q142" s="136"/>
      <c r="R142" s="206">
        <v>60</v>
      </c>
      <c r="S142" s="136"/>
      <c r="T142" s="206">
        <v>55</v>
      </c>
    </row>
    <row r="143" spans="1:27" x14ac:dyDescent="0.3">
      <c r="A143" s="82"/>
      <c r="B143" s="175" t="s">
        <v>447</v>
      </c>
      <c r="C143" s="150" t="s">
        <v>166</v>
      </c>
      <c r="D143" s="151" t="s">
        <v>435</v>
      </c>
      <c r="E143" s="179"/>
      <c r="F143" s="155" t="s">
        <v>444</v>
      </c>
      <c r="G143" s="169"/>
      <c r="H143" s="150" t="s">
        <v>167</v>
      </c>
      <c r="I143" s="153"/>
      <c r="J143" s="155" t="s">
        <v>187</v>
      </c>
      <c r="K143" s="153"/>
      <c r="L143" s="199">
        <v>55</v>
      </c>
      <c r="M143" s="153"/>
      <c r="N143" s="151">
        <v>95</v>
      </c>
      <c r="O143" s="153"/>
      <c r="P143" s="209" t="s">
        <v>300</v>
      </c>
      <c r="Q143" s="411" t="s">
        <v>14</v>
      </c>
      <c r="R143" s="412" t="s">
        <v>14</v>
      </c>
      <c r="S143" s="411" t="s">
        <v>14</v>
      </c>
      <c r="T143" s="412" t="s">
        <v>14</v>
      </c>
    </row>
    <row r="144" spans="1:27" x14ac:dyDescent="0.3">
      <c r="A144" s="82"/>
      <c r="B144" s="77"/>
      <c r="C144" s="75"/>
      <c r="D144" s="29"/>
      <c r="E144" s="369"/>
      <c r="F144" s="369"/>
      <c r="G144" s="369"/>
      <c r="H144" s="369"/>
      <c r="J144" s="369"/>
      <c r="K144" s="84"/>
      <c r="L144" s="82"/>
      <c r="N144" s="369"/>
      <c r="P144" s="369"/>
      <c r="R144" s="369"/>
      <c r="T144" s="369"/>
      <c r="U144" s="369"/>
      <c r="V144" s="369"/>
      <c r="W144" s="369"/>
      <c r="X144" s="369"/>
      <c r="Y144" s="369"/>
      <c r="Z144" s="369"/>
      <c r="AA144" s="369"/>
    </row>
    <row r="145" spans="1:27" x14ac:dyDescent="0.3">
      <c r="A145" s="82"/>
      <c r="B145" s="77"/>
      <c r="C145" s="75"/>
      <c r="D145" s="29"/>
      <c r="E145" s="369"/>
      <c r="F145" s="369"/>
      <c r="G145" s="369"/>
      <c r="H145" s="369"/>
      <c r="J145" s="369"/>
      <c r="K145" s="84"/>
      <c r="L145" s="82"/>
      <c r="N145" s="369"/>
      <c r="P145" s="369"/>
      <c r="R145" s="369"/>
      <c r="T145" s="369"/>
      <c r="U145" s="369"/>
      <c r="V145" s="369"/>
      <c r="W145" s="369"/>
      <c r="X145" s="369"/>
      <c r="Y145" s="369"/>
      <c r="Z145" s="369"/>
      <c r="AA145" s="369"/>
    </row>
    <row r="146" spans="1:27" ht="25.5" customHeight="1" x14ac:dyDescent="0.3">
      <c r="A146" s="82"/>
      <c r="B146" s="189" t="s">
        <v>518</v>
      </c>
      <c r="C146" s="113" t="s">
        <v>502</v>
      </c>
      <c r="D146" s="112" t="s">
        <v>433</v>
      </c>
      <c r="E146" s="189"/>
      <c r="F146" s="110" t="s">
        <v>137</v>
      </c>
      <c r="G146" s="168"/>
      <c r="H146" s="168" t="s">
        <v>503</v>
      </c>
      <c r="I146" s="189"/>
      <c r="J146" s="110" t="s">
        <v>204</v>
      </c>
      <c r="K146" s="182"/>
      <c r="L146" s="110" t="s">
        <v>1053</v>
      </c>
      <c r="M146" s="442"/>
      <c r="N146" s="110" t="s">
        <v>1054</v>
      </c>
      <c r="O146" s="441"/>
      <c r="P146" s="110" t="s">
        <v>1055</v>
      </c>
      <c r="R146" s="369"/>
      <c r="T146" s="369"/>
      <c r="U146" s="369"/>
      <c r="V146" s="369"/>
      <c r="W146" s="369"/>
      <c r="X146" s="369"/>
      <c r="Y146" s="369"/>
      <c r="Z146" s="369"/>
      <c r="AA146" s="369"/>
    </row>
    <row r="147" spans="1:27" ht="15" thickBot="1" x14ac:dyDescent="0.35">
      <c r="A147" s="82"/>
      <c r="B147" s="173" t="s">
        <v>280</v>
      </c>
      <c r="C147" s="171" t="s">
        <v>262</v>
      </c>
      <c r="D147" s="211"/>
      <c r="E147" s="178"/>
      <c r="F147" s="174" t="s">
        <v>264</v>
      </c>
      <c r="G147" s="172"/>
      <c r="H147" s="171" t="s">
        <v>933</v>
      </c>
      <c r="I147" s="178"/>
      <c r="J147" s="174" t="s">
        <v>263</v>
      </c>
      <c r="K147" s="184"/>
      <c r="L147" s="171" t="s">
        <v>629</v>
      </c>
      <c r="M147" s="173"/>
      <c r="N147" s="174" t="s">
        <v>630</v>
      </c>
      <c r="O147" s="171"/>
      <c r="P147" s="174" t="s">
        <v>631</v>
      </c>
      <c r="R147" s="369"/>
      <c r="T147" s="369"/>
      <c r="U147" s="369"/>
      <c r="V147" s="369"/>
      <c r="W147" s="369"/>
      <c r="X147" s="369"/>
      <c r="Y147" s="369"/>
      <c r="Z147" s="369"/>
      <c r="AA147" s="369"/>
    </row>
    <row r="148" spans="1:27" ht="15" customHeight="1" thickTop="1" x14ac:dyDescent="0.3">
      <c r="A148" s="82"/>
      <c r="B148" s="124" t="s">
        <v>440</v>
      </c>
      <c r="C148" s="85" t="s">
        <v>450</v>
      </c>
      <c r="D148" s="369" t="s">
        <v>436</v>
      </c>
      <c r="E148" s="349"/>
      <c r="F148" s="187" t="s">
        <v>173</v>
      </c>
      <c r="G148" s="141"/>
      <c r="H148" s="368">
        <v>9.8000000000000007</v>
      </c>
      <c r="I148" s="409" t="s">
        <v>14</v>
      </c>
      <c r="J148" s="410" t="s">
        <v>14</v>
      </c>
      <c r="K148" s="141"/>
      <c r="L148" s="85" t="s">
        <v>454</v>
      </c>
      <c r="M148" s="349"/>
      <c r="N148" s="146" t="s">
        <v>530</v>
      </c>
      <c r="O148" s="141"/>
      <c r="P148" s="146" t="s">
        <v>281</v>
      </c>
      <c r="R148" s="369"/>
      <c r="T148" s="369"/>
      <c r="U148" s="369"/>
      <c r="V148" s="369"/>
      <c r="W148" s="369"/>
      <c r="X148" s="369"/>
      <c r="Y148" s="369"/>
      <c r="Z148" s="369"/>
      <c r="AA148" s="369"/>
    </row>
    <row r="149" spans="1:27" ht="15" customHeight="1" x14ac:dyDescent="0.3">
      <c r="A149" s="82"/>
      <c r="B149" s="124" t="s">
        <v>441</v>
      </c>
      <c r="C149" s="85" t="s">
        <v>451</v>
      </c>
      <c r="D149" s="369" t="s">
        <v>436</v>
      </c>
      <c r="E149" s="134"/>
      <c r="F149" s="187" t="s">
        <v>173</v>
      </c>
      <c r="G149" s="176"/>
      <c r="H149" s="368">
        <v>9.8000000000000007</v>
      </c>
      <c r="I149" s="409" t="s">
        <v>14</v>
      </c>
      <c r="J149" s="410" t="s">
        <v>14</v>
      </c>
      <c r="K149" s="176"/>
      <c r="L149" s="85" t="s">
        <v>454</v>
      </c>
      <c r="M149" s="136"/>
      <c r="N149" s="146" t="s">
        <v>530</v>
      </c>
      <c r="O149" s="176"/>
      <c r="P149" s="146" t="s">
        <v>281</v>
      </c>
      <c r="R149" s="369"/>
      <c r="T149" s="369"/>
      <c r="U149" s="369"/>
      <c r="V149" s="369"/>
      <c r="W149" s="369"/>
      <c r="X149" s="369"/>
      <c r="Y149" s="369"/>
      <c r="Z149" s="369"/>
      <c r="AA149" s="369"/>
    </row>
    <row r="150" spans="1:27" ht="15" customHeight="1" x14ac:dyDescent="0.3">
      <c r="A150" s="82"/>
      <c r="B150" s="124" t="s">
        <v>442</v>
      </c>
      <c r="C150" s="85" t="s">
        <v>452</v>
      </c>
      <c r="D150" s="369" t="s">
        <v>436</v>
      </c>
      <c r="E150" s="134"/>
      <c r="F150" s="187" t="s">
        <v>173</v>
      </c>
      <c r="G150" s="176"/>
      <c r="H150" s="368">
        <v>9.8000000000000007</v>
      </c>
      <c r="I150" s="409" t="s">
        <v>14</v>
      </c>
      <c r="J150" s="410" t="s">
        <v>14</v>
      </c>
      <c r="K150" s="176"/>
      <c r="L150" s="85" t="s">
        <v>454</v>
      </c>
      <c r="M150" s="136"/>
      <c r="N150" s="146" t="s">
        <v>530</v>
      </c>
      <c r="O150" s="176"/>
      <c r="P150" s="146" t="s">
        <v>281</v>
      </c>
      <c r="R150" s="369"/>
      <c r="T150" s="369"/>
      <c r="U150" s="369"/>
      <c r="V150" s="369"/>
      <c r="W150" s="369"/>
      <c r="X150" s="369"/>
      <c r="Y150" s="369"/>
      <c r="Z150" s="369"/>
      <c r="AA150" s="369"/>
    </row>
    <row r="151" spans="1:27" ht="27.6" x14ac:dyDescent="0.3">
      <c r="A151" s="82"/>
      <c r="B151" s="175" t="s">
        <v>166</v>
      </c>
      <c r="C151" s="150" t="s">
        <v>174</v>
      </c>
      <c r="D151" s="151" t="s">
        <v>435</v>
      </c>
      <c r="E151" s="153"/>
      <c r="F151" s="188" t="s">
        <v>173</v>
      </c>
      <c r="G151" s="169"/>
      <c r="H151" s="464">
        <v>10.8446</v>
      </c>
      <c r="I151" s="153"/>
      <c r="J151" s="155">
        <v>1.1499999999999999</v>
      </c>
      <c r="K151" s="169"/>
      <c r="L151" s="150" t="s">
        <v>301</v>
      </c>
      <c r="M151" s="153"/>
      <c r="N151" s="155" t="s">
        <v>302</v>
      </c>
      <c r="O151" s="169"/>
      <c r="P151" s="155" t="s">
        <v>281</v>
      </c>
      <c r="R151" s="369"/>
      <c r="T151" s="369"/>
      <c r="U151" s="369"/>
      <c r="V151" s="369"/>
      <c r="W151" s="369"/>
      <c r="X151" s="369"/>
      <c r="Y151" s="369"/>
      <c r="Z151" s="369"/>
      <c r="AA151" s="369"/>
    </row>
    <row r="152" spans="1:27" x14ac:dyDescent="0.3">
      <c r="A152" s="82"/>
      <c r="B152" s="77"/>
      <c r="C152" s="75"/>
      <c r="D152" s="82"/>
      <c r="E152" s="84"/>
      <c r="F152" s="82"/>
      <c r="G152" s="84"/>
      <c r="H152" s="82"/>
      <c r="I152" s="84"/>
      <c r="J152" s="82"/>
      <c r="K152" s="29"/>
      <c r="L152" s="369"/>
      <c r="N152" s="369"/>
      <c r="P152" s="369"/>
      <c r="R152" s="369"/>
      <c r="T152" s="369"/>
      <c r="U152" s="369"/>
      <c r="V152" s="369"/>
      <c r="W152" s="369"/>
      <c r="X152" s="369"/>
      <c r="Y152" s="369"/>
      <c r="Z152" s="369"/>
      <c r="AA152" s="369"/>
    </row>
    <row r="153" spans="1:27" x14ac:dyDescent="0.3">
      <c r="A153" s="82"/>
      <c r="B153" s="77"/>
      <c r="C153" s="75"/>
      <c r="D153" s="82"/>
      <c r="E153" s="84"/>
      <c r="F153" s="82"/>
      <c r="G153" s="84"/>
      <c r="H153" s="82"/>
      <c r="I153" s="84"/>
      <c r="J153" s="82"/>
      <c r="K153" s="29"/>
      <c r="L153" s="369"/>
      <c r="N153" s="369"/>
      <c r="P153" s="369"/>
      <c r="R153" s="369"/>
      <c r="T153" s="369"/>
      <c r="U153" s="369"/>
      <c r="V153" s="369"/>
      <c r="W153" s="369"/>
      <c r="X153" s="369"/>
      <c r="Y153" s="369"/>
      <c r="Z153" s="369"/>
      <c r="AA153" s="369"/>
    </row>
    <row r="154" spans="1:27" ht="27.6" x14ac:dyDescent="0.3">
      <c r="A154" s="82"/>
      <c r="B154" s="108" t="s">
        <v>501</v>
      </c>
      <c r="C154" s="116" t="s">
        <v>504</v>
      </c>
      <c r="D154" s="112" t="s">
        <v>433</v>
      </c>
      <c r="E154" s="189"/>
      <c r="F154" s="110" t="s">
        <v>474</v>
      </c>
      <c r="G154" s="168"/>
      <c r="H154" s="168" t="s">
        <v>176</v>
      </c>
      <c r="I154" s="189"/>
      <c r="J154" s="110" t="s">
        <v>204</v>
      </c>
      <c r="K154" s="191"/>
      <c r="L154" s="110" t="s">
        <v>1056</v>
      </c>
      <c r="N154" s="369"/>
      <c r="P154" s="369"/>
      <c r="R154" s="369"/>
      <c r="T154" s="369"/>
      <c r="U154" s="369"/>
      <c r="V154" s="369"/>
      <c r="W154" s="369"/>
      <c r="X154" s="369"/>
      <c r="Y154" s="369"/>
      <c r="Z154" s="369"/>
      <c r="AA154" s="369"/>
    </row>
    <row r="155" spans="1:27" ht="15" thickBot="1" x14ac:dyDescent="0.35">
      <c r="A155" s="82"/>
      <c r="B155" s="173" t="s">
        <v>282</v>
      </c>
      <c r="C155" s="171" t="s">
        <v>265</v>
      </c>
      <c r="D155" s="171"/>
      <c r="E155" s="178"/>
      <c r="F155" s="174" t="s">
        <v>266</v>
      </c>
      <c r="G155" s="172"/>
      <c r="H155" s="171" t="s">
        <v>267</v>
      </c>
      <c r="I155" s="178"/>
      <c r="J155" s="174"/>
      <c r="K155" s="117"/>
      <c r="L155" s="174" t="s">
        <v>283</v>
      </c>
      <c r="N155" s="369"/>
      <c r="P155" s="369"/>
      <c r="R155" s="369"/>
      <c r="T155" s="369"/>
      <c r="U155" s="369"/>
      <c r="V155" s="369"/>
      <c r="W155" s="369"/>
      <c r="X155" s="369"/>
      <c r="Y155" s="369"/>
      <c r="Z155" s="369"/>
      <c r="AA155" s="369"/>
    </row>
    <row r="156" spans="1:27" ht="15" thickTop="1" x14ac:dyDescent="0.3">
      <c r="A156" s="82"/>
      <c r="B156" s="225" t="s">
        <v>440</v>
      </c>
      <c r="C156" s="372" t="s">
        <v>456</v>
      </c>
      <c r="D156" s="372" t="s">
        <v>792</v>
      </c>
      <c r="E156" s="134"/>
      <c r="F156" s="192" t="s">
        <v>475</v>
      </c>
      <c r="G156" s="428" t="s">
        <v>14</v>
      </c>
      <c r="H156" s="428" t="s">
        <v>14</v>
      </c>
      <c r="I156" s="409" t="s">
        <v>14</v>
      </c>
      <c r="J156" s="410" t="s">
        <v>14</v>
      </c>
      <c r="K156" s="428" t="s">
        <v>14</v>
      </c>
      <c r="L156" s="410" t="s">
        <v>14</v>
      </c>
      <c r="N156" s="369"/>
      <c r="P156" s="369"/>
      <c r="R156" s="369"/>
      <c r="T156" s="369"/>
      <c r="U156" s="369"/>
      <c r="V156" s="369"/>
      <c r="W156" s="369"/>
      <c r="X156" s="369"/>
      <c r="Y156" s="369"/>
      <c r="Z156" s="369"/>
      <c r="AA156" s="369"/>
    </row>
    <row r="157" spans="1:27" x14ac:dyDescent="0.3">
      <c r="A157" s="82"/>
      <c r="B157" s="225" t="s">
        <v>440</v>
      </c>
      <c r="C157" s="372" t="s">
        <v>457</v>
      </c>
      <c r="D157" s="372" t="s">
        <v>792</v>
      </c>
      <c r="E157" s="134"/>
      <c r="F157" s="192" t="s">
        <v>475</v>
      </c>
      <c r="G157" s="428" t="s">
        <v>14</v>
      </c>
      <c r="H157" s="428" t="s">
        <v>14</v>
      </c>
      <c r="I157" s="409" t="s">
        <v>14</v>
      </c>
      <c r="J157" s="410" t="s">
        <v>14</v>
      </c>
      <c r="K157" s="428" t="s">
        <v>14</v>
      </c>
      <c r="L157" s="410" t="s">
        <v>14</v>
      </c>
      <c r="N157" s="369"/>
      <c r="P157" s="369"/>
      <c r="X157" s="670"/>
    </row>
    <row r="158" spans="1:27" x14ac:dyDescent="0.3">
      <c r="A158" s="82"/>
      <c r="B158" s="225" t="s">
        <v>440</v>
      </c>
      <c r="C158" s="372" t="s">
        <v>458</v>
      </c>
      <c r="D158" s="372" t="s">
        <v>792</v>
      </c>
      <c r="E158" s="134"/>
      <c r="F158" s="192" t="s">
        <v>475</v>
      </c>
      <c r="G158" s="428" t="s">
        <v>14</v>
      </c>
      <c r="H158" s="428" t="s">
        <v>14</v>
      </c>
      <c r="I158" s="409" t="s">
        <v>14</v>
      </c>
      <c r="J158" s="410" t="s">
        <v>14</v>
      </c>
      <c r="K158" s="428" t="s">
        <v>14</v>
      </c>
      <c r="L158" s="410" t="s">
        <v>14</v>
      </c>
      <c r="N158" s="369"/>
      <c r="P158" s="369"/>
    </row>
    <row r="159" spans="1:27" x14ac:dyDescent="0.3">
      <c r="A159" s="82"/>
      <c r="B159" s="225" t="s">
        <v>440</v>
      </c>
      <c r="C159" s="372" t="s">
        <v>459</v>
      </c>
      <c r="D159" s="372" t="s">
        <v>792</v>
      </c>
      <c r="E159" s="134"/>
      <c r="F159" s="192" t="s">
        <v>475</v>
      </c>
      <c r="G159" s="428" t="s">
        <v>14</v>
      </c>
      <c r="H159" s="428" t="s">
        <v>14</v>
      </c>
      <c r="I159" s="409" t="s">
        <v>14</v>
      </c>
      <c r="J159" s="410" t="s">
        <v>14</v>
      </c>
      <c r="K159" s="428" t="s">
        <v>14</v>
      </c>
      <c r="L159" s="410" t="s">
        <v>14</v>
      </c>
      <c r="N159" s="369"/>
      <c r="P159" s="369"/>
      <c r="R159" s="369"/>
      <c r="T159" s="369"/>
    </row>
    <row r="160" spans="1:27" x14ac:dyDescent="0.3">
      <c r="A160" s="82"/>
      <c r="B160" s="225" t="s">
        <v>440</v>
      </c>
      <c r="C160" s="372" t="s">
        <v>460</v>
      </c>
      <c r="D160" s="372" t="s">
        <v>792</v>
      </c>
      <c r="E160" s="134"/>
      <c r="F160" s="192" t="s">
        <v>475</v>
      </c>
      <c r="G160" s="428" t="s">
        <v>14</v>
      </c>
      <c r="H160" s="428" t="s">
        <v>14</v>
      </c>
      <c r="I160" s="409" t="s">
        <v>14</v>
      </c>
      <c r="J160" s="410" t="s">
        <v>14</v>
      </c>
      <c r="K160" s="428" t="s">
        <v>14</v>
      </c>
      <c r="L160" s="410" t="s">
        <v>14</v>
      </c>
      <c r="N160" s="369"/>
      <c r="P160" s="369"/>
      <c r="R160" s="369"/>
      <c r="T160" s="369"/>
    </row>
    <row r="161" spans="1:25" x14ac:dyDescent="0.3">
      <c r="A161" s="82"/>
      <c r="B161" s="225" t="s">
        <v>440</v>
      </c>
      <c r="C161" s="372" t="s">
        <v>461</v>
      </c>
      <c r="D161" s="372" t="s">
        <v>792</v>
      </c>
      <c r="E161" s="134"/>
      <c r="F161" s="192" t="s">
        <v>475</v>
      </c>
      <c r="G161" s="428" t="s">
        <v>14</v>
      </c>
      <c r="H161" s="428" t="s">
        <v>14</v>
      </c>
      <c r="I161" s="409" t="s">
        <v>14</v>
      </c>
      <c r="J161" s="410" t="s">
        <v>14</v>
      </c>
      <c r="K161" s="428" t="s">
        <v>14</v>
      </c>
      <c r="L161" s="410" t="s">
        <v>14</v>
      </c>
      <c r="N161" s="369"/>
      <c r="P161" s="369"/>
      <c r="R161" s="369"/>
      <c r="T161" s="369"/>
    </row>
    <row r="162" spans="1:25" x14ac:dyDescent="0.3">
      <c r="A162" s="82"/>
      <c r="B162" s="225" t="s">
        <v>441</v>
      </c>
      <c r="C162" s="372" t="s">
        <v>462</v>
      </c>
      <c r="D162" s="372" t="s">
        <v>792</v>
      </c>
      <c r="E162" s="134"/>
      <c r="F162" s="192" t="s">
        <v>475</v>
      </c>
      <c r="G162" s="428" t="s">
        <v>14</v>
      </c>
      <c r="H162" s="428" t="s">
        <v>14</v>
      </c>
      <c r="I162" s="409" t="s">
        <v>14</v>
      </c>
      <c r="J162" s="410" t="s">
        <v>14</v>
      </c>
      <c r="K162" s="428" t="s">
        <v>14</v>
      </c>
      <c r="L162" s="410" t="s">
        <v>14</v>
      </c>
      <c r="N162" s="369"/>
      <c r="P162" s="369"/>
      <c r="R162" s="369"/>
      <c r="T162" s="369"/>
    </row>
    <row r="163" spans="1:25" x14ac:dyDescent="0.3">
      <c r="A163" s="82"/>
      <c r="B163" s="225" t="s">
        <v>441</v>
      </c>
      <c r="C163" s="372" t="s">
        <v>463</v>
      </c>
      <c r="D163" s="372" t="s">
        <v>792</v>
      </c>
      <c r="E163" s="134"/>
      <c r="F163" s="192" t="s">
        <v>475</v>
      </c>
      <c r="G163" s="428" t="s">
        <v>14</v>
      </c>
      <c r="H163" s="428" t="s">
        <v>14</v>
      </c>
      <c r="I163" s="409" t="s">
        <v>14</v>
      </c>
      <c r="J163" s="410" t="s">
        <v>14</v>
      </c>
      <c r="K163" s="428" t="s">
        <v>14</v>
      </c>
      <c r="L163" s="410" t="s">
        <v>14</v>
      </c>
      <c r="N163" s="369"/>
      <c r="P163" s="369"/>
      <c r="R163" s="369"/>
      <c r="T163" s="369"/>
    </row>
    <row r="164" spans="1:25" x14ac:dyDescent="0.3">
      <c r="A164" s="82"/>
      <c r="B164" s="225" t="s">
        <v>441</v>
      </c>
      <c r="C164" s="372" t="s">
        <v>464</v>
      </c>
      <c r="D164" s="372" t="s">
        <v>792</v>
      </c>
      <c r="E164" s="134"/>
      <c r="F164" s="192" t="s">
        <v>475</v>
      </c>
      <c r="G164" s="428" t="s">
        <v>14</v>
      </c>
      <c r="H164" s="428" t="s">
        <v>14</v>
      </c>
      <c r="I164" s="409" t="s">
        <v>14</v>
      </c>
      <c r="J164" s="410" t="s">
        <v>14</v>
      </c>
      <c r="K164" s="428" t="s">
        <v>14</v>
      </c>
      <c r="L164" s="410" t="s">
        <v>14</v>
      </c>
      <c r="N164" s="369"/>
      <c r="P164" s="369"/>
      <c r="R164" s="369"/>
      <c r="T164" s="369"/>
    </row>
    <row r="165" spans="1:25" x14ac:dyDescent="0.3">
      <c r="A165" s="82"/>
      <c r="B165" s="225" t="s">
        <v>441</v>
      </c>
      <c r="C165" s="372" t="s">
        <v>465</v>
      </c>
      <c r="D165" s="372" t="s">
        <v>792</v>
      </c>
      <c r="E165" s="134"/>
      <c r="F165" s="192" t="s">
        <v>475</v>
      </c>
      <c r="G165" s="428" t="s">
        <v>14</v>
      </c>
      <c r="H165" s="428" t="s">
        <v>14</v>
      </c>
      <c r="I165" s="409" t="s">
        <v>14</v>
      </c>
      <c r="J165" s="410" t="s">
        <v>14</v>
      </c>
      <c r="K165" s="428" t="s">
        <v>14</v>
      </c>
      <c r="L165" s="410" t="s">
        <v>14</v>
      </c>
      <c r="N165" s="369"/>
      <c r="P165" s="369"/>
      <c r="R165" s="369"/>
      <c r="T165" s="369"/>
    </row>
    <row r="166" spans="1:25" x14ac:dyDescent="0.3">
      <c r="A166" s="82"/>
      <c r="B166" s="225" t="s">
        <v>441</v>
      </c>
      <c r="C166" s="372" t="s">
        <v>466</v>
      </c>
      <c r="D166" s="372" t="s">
        <v>792</v>
      </c>
      <c r="E166" s="134"/>
      <c r="F166" s="192" t="s">
        <v>475</v>
      </c>
      <c r="G166" s="428" t="s">
        <v>14</v>
      </c>
      <c r="H166" s="428" t="s">
        <v>14</v>
      </c>
      <c r="I166" s="409" t="s">
        <v>14</v>
      </c>
      <c r="J166" s="410" t="s">
        <v>14</v>
      </c>
      <c r="K166" s="428" t="s">
        <v>14</v>
      </c>
      <c r="L166" s="410" t="s">
        <v>14</v>
      </c>
      <c r="N166" s="369"/>
      <c r="P166" s="369"/>
      <c r="R166" s="369"/>
      <c r="T166" s="369"/>
    </row>
    <row r="167" spans="1:25" x14ac:dyDescent="0.3">
      <c r="A167" s="82"/>
      <c r="B167" s="225" t="s">
        <v>441</v>
      </c>
      <c r="C167" s="372" t="s">
        <v>467</v>
      </c>
      <c r="D167" s="372" t="s">
        <v>792</v>
      </c>
      <c r="E167" s="134"/>
      <c r="F167" s="192" t="s">
        <v>475</v>
      </c>
      <c r="G167" s="428" t="s">
        <v>14</v>
      </c>
      <c r="H167" s="428" t="s">
        <v>14</v>
      </c>
      <c r="I167" s="409" t="s">
        <v>14</v>
      </c>
      <c r="J167" s="410" t="s">
        <v>14</v>
      </c>
      <c r="K167" s="428" t="s">
        <v>14</v>
      </c>
      <c r="L167" s="410" t="s">
        <v>14</v>
      </c>
      <c r="N167" s="369"/>
      <c r="P167" s="369"/>
      <c r="R167" s="369"/>
      <c r="T167" s="369"/>
    </row>
    <row r="168" spans="1:25" x14ac:dyDescent="0.3">
      <c r="A168" s="82"/>
      <c r="B168" s="225" t="s">
        <v>442</v>
      </c>
      <c r="C168" s="372" t="s">
        <v>468</v>
      </c>
      <c r="D168" s="372" t="s">
        <v>792</v>
      </c>
      <c r="E168" s="134"/>
      <c r="F168" s="192" t="s">
        <v>475</v>
      </c>
      <c r="G168" s="428" t="s">
        <v>14</v>
      </c>
      <c r="H168" s="428" t="s">
        <v>14</v>
      </c>
      <c r="I168" s="409" t="s">
        <v>14</v>
      </c>
      <c r="J168" s="410" t="s">
        <v>14</v>
      </c>
      <c r="K168" s="428" t="s">
        <v>14</v>
      </c>
      <c r="L168" s="410" t="s">
        <v>14</v>
      </c>
      <c r="N168" s="369"/>
      <c r="P168" s="369"/>
      <c r="R168" s="369"/>
      <c r="T168" s="369"/>
    </row>
    <row r="169" spans="1:25" x14ac:dyDescent="0.3">
      <c r="A169" s="82"/>
      <c r="B169" s="225" t="s">
        <v>442</v>
      </c>
      <c r="C169" s="372" t="s">
        <v>469</v>
      </c>
      <c r="D169" s="372" t="s">
        <v>792</v>
      </c>
      <c r="E169" s="134"/>
      <c r="F169" s="192" t="s">
        <v>475</v>
      </c>
      <c r="G169" s="428" t="s">
        <v>14</v>
      </c>
      <c r="H169" s="428" t="s">
        <v>14</v>
      </c>
      <c r="I169" s="409" t="s">
        <v>14</v>
      </c>
      <c r="J169" s="410" t="s">
        <v>14</v>
      </c>
      <c r="K169" s="428" t="s">
        <v>14</v>
      </c>
      <c r="L169" s="410" t="s">
        <v>14</v>
      </c>
      <c r="N169" s="369"/>
      <c r="P169" s="369"/>
      <c r="R169" s="369"/>
      <c r="T169" s="369"/>
    </row>
    <row r="170" spans="1:25" x14ac:dyDescent="0.3">
      <c r="A170" s="82"/>
      <c r="B170" s="225" t="s">
        <v>442</v>
      </c>
      <c r="C170" s="372" t="s">
        <v>470</v>
      </c>
      <c r="D170" s="372" t="s">
        <v>792</v>
      </c>
      <c r="E170" s="134"/>
      <c r="F170" s="192" t="s">
        <v>475</v>
      </c>
      <c r="G170" s="428" t="s">
        <v>14</v>
      </c>
      <c r="H170" s="428" t="s">
        <v>14</v>
      </c>
      <c r="I170" s="409" t="s">
        <v>14</v>
      </c>
      <c r="J170" s="410" t="s">
        <v>14</v>
      </c>
      <c r="K170" s="428" t="s">
        <v>14</v>
      </c>
      <c r="L170" s="410" t="s">
        <v>14</v>
      </c>
      <c r="N170" s="369"/>
      <c r="P170" s="369"/>
      <c r="R170" s="369"/>
      <c r="T170" s="369"/>
    </row>
    <row r="171" spans="1:25" x14ac:dyDescent="0.3">
      <c r="A171" s="82"/>
      <c r="B171" s="225" t="s">
        <v>442</v>
      </c>
      <c r="C171" s="372" t="s">
        <v>471</v>
      </c>
      <c r="D171" s="474" t="s">
        <v>792</v>
      </c>
      <c r="E171" s="134"/>
      <c r="F171" s="192" t="s">
        <v>475</v>
      </c>
      <c r="G171" s="428" t="s">
        <v>14</v>
      </c>
      <c r="H171" s="428" t="s">
        <v>14</v>
      </c>
      <c r="I171" s="409" t="s">
        <v>14</v>
      </c>
      <c r="J171" s="410" t="s">
        <v>14</v>
      </c>
      <c r="K171" s="428" t="s">
        <v>14</v>
      </c>
      <c r="L171" s="410" t="s">
        <v>14</v>
      </c>
      <c r="N171" s="369"/>
      <c r="P171" s="369"/>
      <c r="R171" s="369"/>
      <c r="T171" s="369"/>
    </row>
    <row r="172" spans="1:25" x14ac:dyDescent="0.3">
      <c r="A172" s="82"/>
      <c r="B172" s="225" t="s">
        <v>442</v>
      </c>
      <c r="C172" s="372" t="s">
        <v>472</v>
      </c>
      <c r="D172" s="474" t="s">
        <v>792</v>
      </c>
      <c r="E172" s="134"/>
      <c r="F172" s="192" t="s">
        <v>475</v>
      </c>
      <c r="G172" s="428" t="s">
        <v>14</v>
      </c>
      <c r="H172" s="428" t="s">
        <v>14</v>
      </c>
      <c r="I172" s="409" t="s">
        <v>14</v>
      </c>
      <c r="J172" s="410" t="s">
        <v>14</v>
      </c>
      <c r="K172" s="428" t="s">
        <v>14</v>
      </c>
      <c r="L172" s="410" t="s">
        <v>14</v>
      </c>
      <c r="N172" s="369"/>
      <c r="P172" s="369"/>
      <c r="R172" s="369"/>
      <c r="T172" s="369"/>
    </row>
    <row r="173" spans="1:25" x14ac:dyDescent="0.3">
      <c r="A173" s="82"/>
      <c r="B173" s="226" t="s">
        <v>166</v>
      </c>
      <c r="C173" s="227" t="s">
        <v>175</v>
      </c>
      <c r="D173" s="475" t="s">
        <v>435</v>
      </c>
      <c r="E173" s="153"/>
      <c r="F173" s="193" t="s">
        <v>815</v>
      </c>
      <c r="G173" s="169"/>
      <c r="H173" s="228">
        <f>0.0051427*(78)+0.3989</f>
        <v>0.80003059999999993</v>
      </c>
      <c r="I173" s="153"/>
      <c r="J173" s="228">
        <v>1.25</v>
      </c>
      <c r="K173" s="153"/>
      <c r="L173" s="155" t="s">
        <v>284</v>
      </c>
      <c r="N173" s="369"/>
      <c r="P173" s="369"/>
      <c r="R173" s="369"/>
      <c r="T173" s="369"/>
      <c r="U173" s="369"/>
      <c r="V173" s="369"/>
      <c r="W173" s="369"/>
      <c r="X173" s="369"/>
      <c r="Y173" s="369"/>
    </row>
    <row r="174" spans="1:25" x14ac:dyDescent="0.3">
      <c r="A174" s="82"/>
      <c r="B174" s="384"/>
      <c r="C174" s="384"/>
      <c r="D174" s="362"/>
      <c r="E174" s="362"/>
      <c r="F174" s="397"/>
      <c r="G174" s="362"/>
      <c r="H174" s="397"/>
      <c r="I174" s="362"/>
      <c r="J174" s="397"/>
      <c r="K174" s="362"/>
      <c r="L174" s="397"/>
      <c r="N174" s="369"/>
      <c r="P174" s="369"/>
      <c r="R174" s="369"/>
      <c r="T174" s="369"/>
    </row>
    <row r="175" spans="1:25" x14ac:dyDescent="0.3">
      <c r="A175" s="82"/>
      <c r="B175" s="384"/>
      <c r="C175" s="384"/>
      <c r="D175" s="362"/>
      <c r="E175" s="362"/>
      <c r="F175" s="397"/>
      <c r="G175" s="362"/>
      <c r="H175" s="397"/>
      <c r="I175" s="362"/>
      <c r="J175" s="397"/>
      <c r="K175" s="362"/>
      <c r="L175" s="397"/>
      <c r="N175" s="369"/>
      <c r="P175" s="369"/>
      <c r="R175" s="369"/>
      <c r="T175" s="369"/>
    </row>
    <row r="176" spans="1:25" ht="27.6" x14ac:dyDescent="0.3">
      <c r="A176" s="82"/>
      <c r="B176" s="108" t="s">
        <v>501</v>
      </c>
      <c r="C176" s="113" t="s">
        <v>506</v>
      </c>
      <c r="D176" s="113" t="s">
        <v>433</v>
      </c>
      <c r="E176" s="125"/>
      <c r="F176" s="110" t="s">
        <v>184</v>
      </c>
      <c r="G176" s="113"/>
      <c r="H176" s="168" t="s">
        <v>277</v>
      </c>
      <c r="I176" s="125"/>
      <c r="J176" s="110" t="s">
        <v>511</v>
      </c>
      <c r="K176" s="113"/>
      <c r="L176" s="168" t="s">
        <v>183</v>
      </c>
      <c r="M176" s="189"/>
      <c r="N176" s="142" t="s">
        <v>205</v>
      </c>
      <c r="O176" s="168"/>
      <c r="P176" s="168" t="s">
        <v>507</v>
      </c>
      <c r="Q176" s="189"/>
      <c r="R176" s="110" t="s">
        <v>206</v>
      </c>
      <c r="S176" s="189"/>
      <c r="T176" s="110" t="s">
        <v>182</v>
      </c>
      <c r="U176" s="189"/>
      <c r="V176" s="110" t="s">
        <v>1398</v>
      </c>
    </row>
    <row r="177" spans="1:22" ht="15" thickBot="1" x14ac:dyDescent="0.35">
      <c r="A177" s="82"/>
      <c r="B177" s="173" t="s">
        <v>282</v>
      </c>
      <c r="C177" s="171" t="s">
        <v>269</v>
      </c>
      <c r="D177" s="171"/>
      <c r="E177" s="178"/>
      <c r="F177" s="174" t="s">
        <v>270</v>
      </c>
      <c r="G177" s="172"/>
      <c r="H177" s="171" t="s">
        <v>271</v>
      </c>
      <c r="I177" s="178"/>
      <c r="J177" s="174"/>
      <c r="K177" s="172"/>
      <c r="L177" s="171" t="s">
        <v>272</v>
      </c>
      <c r="M177" s="178"/>
      <c r="N177" s="174" t="s">
        <v>273</v>
      </c>
      <c r="O177" s="172"/>
      <c r="P177" s="171" t="s">
        <v>274</v>
      </c>
      <c r="Q177" s="178"/>
      <c r="R177" s="174" t="s">
        <v>275</v>
      </c>
      <c r="S177" s="178"/>
      <c r="T177" s="174" t="s">
        <v>276</v>
      </c>
      <c r="U177" s="173"/>
      <c r="V177" s="174" t="s">
        <v>774</v>
      </c>
    </row>
    <row r="178" spans="1:22" ht="28.2" thickTop="1" x14ac:dyDescent="0.3">
      <c r="A178" s="82"/>
      <c r="B178" s="124" t="s">
        <v>440</v>
      </c>
      <c r="C178" s="85" t="s">
        <v>476</v>
      </c>
      <c r="D178" s="85" t="s">
        <v>792</v>
      </c>
      <c r="E178" s="134"/>
      <c r="F178" s="146" t="s">
        <v>482</v>
      </c>
      <c r="G178" s="141"/>
      <c r="H178" s="85" t="s">
        <v>278</v>
      </c>
      <c r="I178" s="203" t="s">
        <v>919</v>
      </c>
      <c r="J178" s="505">
        <v>20109.400000000001</v>
      </c>
      <c r="K178" s="141"/>
      <c r="L178" s="378">
        <v>20.45</v>
      </c>
      <c r="M178" s="409" t="s">
        <v>14</v>
      </c>
      <c r="N178" s="410" t="s">
        <v>14</v>
      </c>
      <c r="O178" s="428" t="s">
        <v>14</v>
      </c>
      <c r="P178" s="428" t="s">
        <v>14</v>
      </c>
      <c r="Q178" s="203" t="s">
        <v>919</v>
      </c>
      <c r="R178" s="194">
        <v>25</v>
      </c>
      <c r="S178" s="203" t="s">
        <v>919</v>
      </c>
      <c r="T178" s="194">
        <v>0.93600000000000005</v>
      </c>
      <c r="U178" s="897"/>
      <c r="V178" s="535" t="s">
        <v>974</v>
      </c>
    </row>
    <row r="179" spans="1:22" ht="27.6" x14ac:dyDescent="0.3">
      <c r="A179" s="82"/>
      <c r="B179" s="124" t="s">
        <v>441</v>
      </c>
      <c r="C179" s="85" t="s">
        <v>477</v>
      </c>
      <c r="D179" s="85" t="s">
        <v>792</v>
      </c>
      <c r="E179" s="136"/>
      <c r="F179" s="146" t="s">
        <v>482</v>
      </c>
      <c r="G179" s="176"/>
      <c r="H179" s="85" t="s">
        <v>278</v>
      </c>
      <c r="I179" s="140" t="s">
        <v>919</v>
      </c>
      <c r="J179" s="505">
        <v>20454.5</v>
      </c>
      <c r="K179" s="176"/>
      <c r="L179" s="1">
        <v>20.8</v>
      </c>
      <c r="M179" s="409" t="s">
        <v>14</v>
      </c>
      <c r="N179" s="410" t="s">
        <v>14</v>
      </c>
      <c r="O179" s="428" t="s">
        <v>14</v>
      </c>
      <c r="P179" s="428" t="s">
        <v>14</v>
      </c>
      <c r="Q179" s="140" t="s">
        <v>919</v>
      </c>
      <c r="R179" s="194">
        <v>25</v>
      </c>
      <c r="S179" s="140" t="s">
        <v>919</v>
      </c>
      <c r="T179" s="194">
        <v>0.93600000000000005</v>
      </c>
      <c r="U179" s="899"/>
      <c r="V179" s="535" t="s">
        <v>974</v>
      </c>
    </row>
    <row r="180" spans="1:22" ht="27.6" x14ac:dyDescent="0.3">
      <c r="A180" s="82"/>
      <c r="B180" s="124" t="s">
        <v>442</v>
      </c>
      <c r="C180" s="85" t="s">
        <v>478</v>
      </c>
      <c r="D180" s="85" t="s">
        <v>792</v>
      </c>
      <c r="E180" s="136"/>
      <c r="F180" s="146" t="s">
        <v>482</v>
      </c>
      <c r="G180" s="176"/>
      <c r="H180" s="85" t="s">
        <v>278</v>
      </c>
      <c r="I180" s="140" t="s">
        <v>919</v>
      </c>
      <c r="J180" s="505">
        <v>18454.5</v>
      </c>
      <c r="K180" s="176"/>
      <c r="L180" s="378">
        <v>18.760000000000002</v>
      </c>
      <c r="M180" s="409" t="s">
        <v>14</v>
      </c>
      <c r="N180" s="410" t="s">
        <v>14</v>
      </c>
      <c r="O180" s="428" t="s">
        <v>14</v>
      </c>
      <c r="P180" s="428" t="s">
        <v>14</v>
      </c>
      <c r="Q180" s="140" t="s">
        <v>919</v>
      </c>
      <c r="R180" s="194">
        <v>20</v>
      </c>
      <c r="S180" s="140" t="s">
        <v>919</v>
      </c>
      <c r="T180" s="194">
        <v>0.93</v>
      </c>
      <c r="U180" s="893"/>
      <c r="V180" s="535" t="s">
        <v>974</v>
      </c>
    </row>
    <row r="181" spans="1:22" x14ac:dyDescent="0.3">
      <c r="A181" s="82"/>
      <c r="B181" s="175" t="s">
        <v>166</v>
      </c>
      <c r="C181" s="150" t="s">
        <v>234</v>
      </c>
      <c r="D181" s="150" t="s">
        <v>435</v>
      </c>
      <c r="E181" s="153"/>
      <c r="F181" s="155" t="s">
        <v>485</v>
      </c>
      <c r="G181" s="169"/>
      <c r="H181" s="150" t="s">
        <v>279</v>
      </c>
      <c r="I181" s="204" t="s">
        <v>919</v>
      </c>
      <c r="J181" s="507">
        <v>1161.95</v>
      </c>
      <c r="K181" s="204" t="s">
        <v>919</v>
      </c>
      <c r="L181" s="413">
        <f>(J181*P181)/(6353*N181)</f>
        <v>0.91448921769242875</v>
      </c>
      <c r="M181" s="153"/>
      <c r="N181" s="730">
        <f>IF(J181&lt;2000,0.5,IF(J181&lt;10000,0.6,0.62))</f>
        <v>0.5</v>
      </c>
      <c r="O181" s="169"/>
      <c r="P181" s="857">
        <v>2.5</v>
      </c>
      <c r="Q181" s="153"/>
      <c r="R181" s="858">
        <v>1</v>
      </c>
      <c r="S181" s="272"/>
      <c r="T181" s="858">
        <v>0.85499999999999998</v>
      </c>
      <c r="U181" s="411" t="s">
        <v>14</v>
      </c>
      <c r="V181" s="412" t="s">
        <v>14</v>
      </c>
    </row>
    <row r="182" spans="1:22" x14ac:dyDescent="0.3">
      <c r="A182" s="82"/>
      <c r="B182" s="82"/>
      <c r="C182" s="384"/>
      <c r="D182" s="82"/>
      <c r="E182" s="82"/>
      <c r="F182" s="82"/>
      <c r="G182" s="82"/>
      <c r="H182" s="82"/>
      <c r="I182" s="82"/>
      <c r="J182" s="82"/>
      <c r="K182" s="82"/>
      <c r="L182" s="82"/>
      <c r="M182" s="82"/>
      <c r="N182" s="82"/>
      <c r="O182" s="82"/>
      <c r="P182" s="82"/>
      <c r="Q182" s="82"/>
      <c r="R182" s="82"/>
      <c r="S182" s="82"/>
      <c r="T182" s="82"/>
    </row>
    <row r="183" spans="1:22" x14ac:dyDescent="0.3">
      <c r="A183" s="82"/>
      <c r="B183" s="85"/>
      <c r="C183" s="83"/>
      <c r="D183" s="362"/>
      <c r="E183" s="82"/>
      <c r="F183" s="82"/>
      <c r="G183" s="82"/>
      <c r="H183" s="82"/>
      <c r="I183" s="82"/>
      <c r="J183" s="82"/>
      <c r="K183" s="82"/>
      <c r="L183" s="82"/>
      <c r="M183" s="82"/>
      <c r="N183" s="82"/>
      <c r="O183" s="82"/>
      <c r="P183" s="82"/>
      <c r="Q183" s="82"/>
      <c r="R183" s="82"/>
      <c r="S183" s="82"/>
      <c r="T183" s="82"/>
    </row>
    <row r="184" spans="1:22" x14ac:dyDescent="0.3">
      <c r="A184" s="82"/>
      <c r="B184" s="189" t="s">
        <v>505</v>
      </c>
      <c r="C184" s="113" t="s">
        <v>291</v>
      </c>
      <c r="D184" s="114"/>
      <c r="E184" s="125"/>
      <c r="F184" s="142" t="s">
        <v>292</v>
      </c>
      <c r="G184" s="125"/>
      <c r="H184" s="142" t="s">
        <v>293</v>
      </c>
      <c r="I184" s="82"/>
      <c r="J184" s="82"/>
      <c r="K184" s="82"/>
      <c r="L184" s="82"/>
      <c r="O184" s="397"/>
      <c r="P184" s="397"/>
      <c r="Q184" s="397"/>
      <c r="R184" s="397"/>
      <c r="S184" s="397"/>
      <c r="T184" s="397"/>
    </row>
    <row r="185" spans="1:22" ht="15" thickBot="1" x14ac:dyDescent="0.35">
      <c r="A185" s="82"/>
      <c r="B185" s="173" t="s">
        <v>285</v>
      </c>
      <c r="C185" s="171" t="s">
        <v>286</v>
      </c>
      <c r="D185" s="211"/>
      <c r="E185" s="208"/>
      <c r="F185" s="174" t="s">
        <v>287</v>
      </c>
      <c r="G185" s="208"/>
      <c r="H185" s="174" t="s">
        <v>288</v>
      </c>
      <c r="I185" s="82"/>
      <c r="J185" s="82"/>
      <c r="K185" s="82"/>
      <c r="L185" s="82"/>
      <c r="O185" s="397"/>
      <c r="P185" s="397"/>
      <c r="Q185" s="397"/>
      <c r="R185" s="397"/>
      <c r="S185" s="397"/>
      <c r="T185" s="397"/>
    </row>
    <row r="186" spans="1:22" ht="15" thickTop="1" x14ac:dyDescent="0.3">
      <c r="A186" s="82"/>
      <c r="B186" s="124" t="s">
        <v>168</v>
      </c>
      <c r="C186" s="85" t="s">
        <v>297</v>
      </c>
      <c r="E186" s="134"/>
      <c r="F186" s="146" t="s">
        <v>298</v>
      </c>
      <c r="G186" s="134"/>
      <c r="H186" s="146" t="s">
        <v>299</v>
      </c>
      <c r="I186" s="82"/>
      <c r="J186" s="82"/>
      <c r="K186" s="82"/>
      <c r="L186" s="82"/>
      <c r="O186" s="397"/>
      <c r="P186" s="397"/>
      <c r="Q186" s="397"/>
      <c r="R186" s="397"/>
      <c r="S186" s="397"/>
      <c r="T186" s="397"/>
    </row>
    <row r="187" spans="1:22" x14ac:dyDescent="0.3">
      <c r="A187" s="82"/>
      <c r="B187" s="124" t="s">
        <v>169</v>
      </c>
      <c r="C187" s="85" t="s">
        <v>297</v>
      </c>
      <c r="E187" s="136"/>
      <c r="F187" s="146" t="s">
        <v>298</v>
      </c>
      <c r="G187" s="136"/>
      <c r="H187" s="146" t="s">
        <v>299</v>
      </c>
      <c r="I187" s="82"/>
      <c r="J187" s="82"/>
      <c r="K187" s="82"/>
      <c r="L187" s="82"/>
      <c r="O187" s="397"/>
      <c r="P187" s="397"/>
      <c r="Q187" s="397"/>
      <c r="R187" s="397"/>
      <c r="S187" s="397"/>
      <c r="T187" s="397"/>
    </row>
    <row r="188" spans="1:22" x14ac:dyDescent="0.3">
      <c r="A188" s="82"/>
      <c r="B188" s="124" t="s">
        <v>170</v>
      </c>
      <c r="C188" s="85" t="s">
        <v>297</v>
      </c>
      <c r="E188" s="136"/>
      <c r="F188" s="146" t="s">
        <v>298</v>
      </c>
      <c r="G188" s="136"/>
      <c r="H188" s="146" t="s">
        <v>299</v>
      </c>
      <c r="I188" s="82"/>
      <c r="J188" s="82"/>
      <c r="K188" s="82"/>
      <c r="L188" s="82"/>
      <c r="O188" s="397"/>
      <c r="P188" s="397"/>
      <c r="Q188" s="397"/>
      <c r="R188" s="397"/>
      <c r="S188" s="397"/>
      <c r="T188" s="397"/>
    </row>
    <row r="189" spans="1:22" x14ac:dyDescent="0.3">
      <c r="A189" s="82"/>
      <c r="B189" s="175" t="s">
        <v>171</v>
      </c>
      <c r="C189" s="150" t="s">
        <v>297</v>
      </c>
      <c r="D189" s="151"/>
      <c r="E189" s="153"/>
      <c r="F189" s="155" t="s">
        <v>298</v>
      </c>
      <c r="G189" s="153"/>
      <c r="H189" s="155" t="s">
        <v>299</v>
      </c>
      <c r="I189" s="82"/>
      <c r="J189" s="82"/>
      <c r="K189" s="82"/>
      <c r="L189" s="82"/>
      <c r="O189" s="397"/>
      <c r="P189" s="397"/>
      <c r="Q189" s="397"/>
      <c r="R189" s="397"/>
      <c r="S189" s="397"/>
      <c r="T189" s="397"/>
    </row>
    <row r="190" spans="1:22" x14ac:dyDescent="0.3">
      <c r="A190" s="82"/>
    </row>
    <row r="191" spans="1:22" x14ac:dyDescent="0.3">
      <c r="A191" s="82"/>
    </row>
    <row r="192" spans="1:22" x14ac:dyDescent="0.3">
      <c r="A192" s="82"/>
      <c r="B192" s="108" t="s">
        <v>501</v>
      </c>
      <c r="C192" s="113" t="s">
        <v>610</v>
      </c>
      <c r="D192" s="113" t="s">
        <v>433</v>
      </c>
      <c r="E192" s="125"/>
      <c r="F192" s="142" t="s">
        <v>538</v>
      </c>
      <c r="G192" s="125"/>
      <c r="H192" s="142" t="s">
        <v>295</v>
      </c>
      <c r="I192" s="125"/>
      <c r="J192" s="142" t="s">
        <v>972</v>
      </c>
      <c r="K192" s="125"/>
      <c r="L192" s="142" t="s">
        <v>973</v>
      </c>
    </row>
    <row r="193" spans="1:26" ht="15" thickBot="1" x14ac:dyDescent="0.35">
      <c r="A193" s="82"/>
      <c r="B193" s="173" t="s">
        <v>282</v>
      </c>
      <c r="C193" s="376"/>
      <c r="D193" s="211"/>
      <c r="E193" s="208"/>
      <c r="F193" s="174" t="s">
        <v>289</v>
      </c>
      <c r="G193" s="208"/>
      <c r="H193" s="174" t="s">
        <v>290</v>
      </c>
      <c r="I193" s="208"/>
      <c r="J193" s="174" t="s">
        <v>1077</v>
      </c>
      <c r="K193" s="208"/>
      <c r="L193" s="174" t="s">
        <v>1078</v>
      </c>
    </row>
    <row r="194" spans="1:26" ht="15" thickTop="1" x14ac:dyDescent="0.3">
      <c r="A194" s="82"/>
      <c r="B194" s="124" t="s">
        <v>440</v>
      </c>
      <c r="C194" s="124" t="s">
        <v>606</v>
      </c>
      <c r="D194" s="85" t="s">
        <v>792</v>
      </c>
      <c r="E194" s="134"/>
      <c r="F194" s="206" t="s">
        <v>535</v>
      </c>
      <c r="G194" s="134"/>
      <c r="H194" s="206" t="s">
        <v>480</v>
      </c>
      <c r="I194" s="409" t="s">
        <v>14</v>
      </c>
      <c r="J194" s="410" t="s">
        <v>14</v>
      </c>
      <c r="K194" s="420"/>
      <c r="L194" s="263">
        <v>30</v>
      </c>
    </row>
    <row r="195" spans="1:26" x14ac:dyDescent="0.3">
      <c r="A195" s="82"/>
      <c r="B195" s="124" t="s">
        <v>441</v>
      </c>
      <c r="C195" s="124" t="s">
        <v>607</v>
      </c>
      <c r="D195" s="85" t="s">
        <v>792</v>
      </c>
      <c r="E195" s="136"/>
      <c r="F195" s="206" t="s">
        <v>536</v>
      </c>
      <c r="G195" s="136"/>
      <c r="H195" s="206" t="s">
        <v>481</v>
      </c>
      <c r="I195" s="419"/>
      <c r="J195" s="274">
        <v>75</v>
      </c>
      <c r="K195" s="409" t="s">
        <v>14</v>
      </c>
      <c r="L195" s="410" t="s">
        <v>14</v>
      </c>
    </row>
    <row r="196" spans="1:26" x14ac:dyDescent="0.3">
      <c r="A196" s="82"/>
      <c r="B196" s="124" t="s">
        <v>442</v>
      </c>
      <c r="C196" s="124" t="s">
        <v>608</v>
      </c>
      <c r="D196" s="85" t="s">
        <v>792</v>
      </c>
      <c r="E196" s="136"/>
      <c r="F196" s="206" t="s">
        <v>537</v>
      </c>
      <c r="G196" s="136"/>
      <c r="H196" s="206" t="s">
        <v>480</v>
      </c>
      <c r="I196" s="89"/>
      <c r="J196" s="274">
        <v>80</v>
      </c>
      <c r="K196" s="89"/>
      <c r="L196" s="274">
        <v>30</v>
      </c>
    </row>
    <row r="197" spans="1:26" x14ac:dyDescent="0.3">
      <c r="A197" s="82"/>
      <c r="B197" s="175" t="s">
        <v>166</v>
      </c>
      <c r="C197" s="175" t="s">
        <v>612</v>
      </c>
      <c r="D197" s="150" t="s">
        <v>435</v>
      </c>
      <c r="E197" s="411" t="s">
        <v>14</v>
      </c>
      <c r="F197" s="412" t="s">
        <v>14</v>
      </c>
      <c r="G197" s="411" t="s">
        <v>14</v>
      </c>
      <c r="H197" s="412" t="s">
        <v>14</v>
      </c>
      <c r="I197" s="411" t="s">
        <v>14</v>
      </c>
      <c r="J197" s="412" t="s">
        <v>14</v>
      </c>
      <c r="K197" s="411" t="s">
        <v>14</v>
      </c>
      <c r="L197" s="412" t="s">
        <v>14</v>
      </c>
    </row>
    <row r="198" spans="1:26" x14ac:dyDescent="0.3">
      <c r="A198" s="82"/>
    </row>
    <row r="199" spans="1:26" x14ac:dyDescent="0.3">
      <c r="A199" s="82"/>
    </row>
    <row r="200" spans="1:26" x14ac:dyDescent="0.3">
      <c r="A200" s="24"/>
      <c r="B200" s="24" t="s">
        <v>487</v>
      </c>
      <c r="C200" s="397"/>
      <c r="D200" s="362"/>
      <c r="E200" s="362"/>
      <c r="F200" s="397"/>
      <c r="G200" s="362"/>
      <c r="H200" s="397"/>
      <c r="I200" s="362"/>
      <c r="J200" s="397"/>
      <c r="K200" s="362"/>
      <c r="L200" s="397"/>
      <c r="M200" s="362"/>
      <c r="N200" s="397"/>
    </row>
    <row r="201" spans="1:26" s="374" customFormat="1" ht="27.6" x14ac:dyDescent="0.3">
      <c r="B201" s="108" t="s">
        <v>488</v>
      </c>
      <c r="C201" s="389"/>
      <c r="D201" s="391" t="s">
        <v>433</v>
      </c>
      <c r="E201" s="390"/>
      <c r="F201" s="109" t="s">
        <v>836</v>
      </c>
      <c r="G201" s="210"/>
      <c r="H201" s="116" t="s">
        <v>489</v>
      </c>
      <c r="I201" s="231"/>
      <c r="J201" s="109" t="s">
        <v>490</v>
      </c>
      <c r="K201" s="455"/>
      <c r="L201" s="456" t="s">
        <v>491</v>
      </c>
      <c r="M201" s="231"/>
      <c r="N201" s="109" t="s">
        <v>739</v>
      </c>
      <c r="O201" s="369"/>
      <c r="P201" s="85"/>
      <c r="Q201" s="369"/>
      <c r="R201" s="85"/>
      <c r="S201" s="369"/>
      <c r="T201" s="85"/>
    </row>
    <row r="202" spans="1:26" ht="15" thickBot="1" x14ac:dyDescent="0.35">
      <c r="A202" s="397"/>
      <c r="B202" s="212"/>
      <c r="C202" s="376"/>
      <c r="D202" s="211"/>
      <c r="E202" s="375"/>
      <c r="F202" s="355" t="s">
        <v>1057</v>
      </c>
      <c r="G202" s="376"/>
      <c r="H202" s="354" t="s">
        <v>1058</v>
      </c>
      <c r="I202" s="230"/>
      <c r="J202" s="355" t="s">
        <v>1059</v>
      </c>
      <c r="K202" s="211"/>
      <c r="L202" s="354" t="s">
        <v>611</v>
      </c>
      <c r="M202" s="230"/>
      <c r="N202" s="355" t="s">
        <v>1060</v>
      </c>
    </row>
    <row r="203" spans="1:26" ht="15" thickTop="1" x14ac:dyDescent="0.3">
      <c r="A203" s="397"/>
      <c r="B203" s="356">
        <v>1</v>
      </c>
      <c r="C203" s="379"/>
      <c r="D203" s="257" t="s">
        <v>436</v>
      </c>
      <c r="E203" s="204" t="s">
        <v>919</v>
      </c>
      <c r="F203" s="196">
        <v>600000</v>
      </c>
      <c r="G203" s="164"/>
      <c r="H203" s="150">
        <v>0.8</v>
      </c>
      <c r="I203" s="165"/>
      <c r="J203" s="155" t="s">
        <v>475</v>
      </c>
      <c r="K203" s="164"/>
      <c r="L203" s="150" t="s">
        <v>493</v>
      </c>
      <c r="M203" s="165"/>
      <c r="N203" s="155">
        <v>0.25</v>
      </c>
    </row>
    <row r="204" spans="1:26" x14ac:dyDescent="0.3">
      <c r="A204" s="82"/>
    </row>
    <row r="205" spans="1:26" s="36" customFormat="1" ht="27.6" x14ac:dyDescent="0.3">
      <c r="A205" s="82"/>
      <c r="B205" s="125" t="s">
        <v>750</v>
      </c>
      <c r="C205" s="113" t="s">
        <v>751</v>
      </c>
      <c r="D205" s="113" t="s">
        <v>433</v>
      </c>
      <c r="E205" s="125"/>
      <c r="F205" s="142" t="s">
        <v>760</v>
      </c>
      <c r="G205" s="113"/>
      <c r="H205" s="113" t="s">
        <v>761</v>
      </c>
      <c r="I205" s="207"/>
      <c r="J205" s="113" t="s">
        <v>1109</v>
      </c>
      <c r="K205" s="207"/>
      <c r="L205" s="113" t="s">
        <v>764</v>
      </c>
      <c r="M205" s="207"/>
      <c r="N205" s="142" t="s">
        <v>772</v>
      </c>
      <c r="O205" s="113"/>
      <c r="P205" s="113" t="s">
        <v>773</v>
      </c>
      <c r="Q205" s="125"/>
      <c r="R205" s="142" t="s">
        <v>492</v>
      </c>
      <c r="S205" s="113"/>
      <c r="T205" s="142" t="s">
        <v>1051</v>
      </c>
      <c r="U205" s="87"/>
      <c r="V205" s="86"/>
      <c r="W205" s="87"/>
      <c r="X205" s="86"/>
      <c r="Y205" s="87"/>
      <c r="Z205" s="86"/>
    </row>
    <row r="206" spans="1:26" s="448" customFormat="1" thickBot="1" x14ac:dyDescent="0.35">
      <c r="A206" s="82"/>
      <c r="B206" s="178"/>
      <c r="C206" s="171"/>
      <c r="D206" s="172"/>
      <c r="E206" s="173"/>
      <c r="F206" s="355" t="s">
        <v>1061</v>
      </c>
      <c r="G206" s="171"/>
      <c r="H206" s="174" t="s">
        <v>1066</v>
      </c>
      <c r="I206" s="173"/>
      <c r="J206" s="174" t="s">
        <v>1110</v>
      </c>
      <c r="K206" s="173"/>
      <c r="L206" s="355" t="s">
        <v>1062</v>
      </c>
      <c r="M206" s="173"/>
      <c r="N206" s="355" t="s">
        <v>1063</v>
      </c>
      <c r="O206" s="171"/>
      <c r="P206" s="355" t="s">
        <v>1064</v>
      </c>
      <c r="Q206" s="173"/>
      <c r="R206" s="355" t="s">
        <v>1065</v>
      </c>
      <c r="S206" s="171"/>
      <c r="T206" s="174" t="s">
        <v>774</v>
      </c>
      <c r="U206" s="87"/>
      <c r="V206" s="86"/>
      <c r="W206" s="87"/>
      <c r="X206" s="86"/>
      <c r="Y206" s="87"/>
      <c r="Z206" s="86"/>
    </row>
    <row r="207" spans="1:26" s="364" customFormat="1" ht="12.75" customHeight="1" thickTop="1" x14ac:dyDescent="0.3">
      <c r="A207" s="378"/>
      <c r="B207" s="487" t="s">
        <v>936</v>
      </c>
      <c r="C207" s="493" t="s">
        <v>937</v>
      </c>
      <c r="D207" s="400" t="s">
        <v>436</v>
      </c>
      <c r="E207" s="508"/>
      <c r="F207" s="493" t="s">
        <v>494</v>
      </c>
      <c r="G207" s="508"/>
      <c r="H207" s="400" t="s">
        <v>762</v>
      </c>
      <c r="I207" s="658" t="s">
        <v>919</v>
      </c>
      <c r="J207" s="712">
        <f>F203/500.19/40</f>
        <v>29.98860433035447</v>
      </c>
      <c r="K207" s="508"/>
      <c r="L207" s="709" t="str">
        <f>ROUND(J207*P207/3960/(0.7*R207)*745.6/1000,2)&amp;" ("&amp;ROUND(P207/3960/(0.7*R207)*745.6,2)&amp;" W/gpm)"</f>
        <v>0.59 (19.68 W/gpm)</v>
      </c>
      <c r="M207" s="508"/>
      <c r="N207" s="509">
        <v>0.8</v>
      </c>
      <c r="O207" s="508"/>
      <c r="P207" s="710">
        <f>0.75*0.95/J207*3960*0.7</f>
        <v>65.860017299999981</v>
      </c>
      <c r="Q207" s="508"/>
      <c r="R207" s="509">
        <v>0.9</v>
      </c>
      <c r="S207" s="494" t="s">
        <v>14</v>
      </c>
      <c r="T207" s="478" t="s">
        <v>14</v>
      </c>
      <c r="U207" s="87"/>
      <c r="V207" s="86"/>
      <c r="W207" s="87"/>
      <c r="X207" s="86"/>
      <c r="Y207" s="87"/>
      <c r="Z207" s="86"/>
    </row>
    <row r="208" spans="1:26" x14ac:dyDescent="0.3">
      <c r="A208" s="82"/>
      <c r="P208" s="713"/>
    </row>
    <row r="209" spans="1:20" x14ac:dyDescent="0.3">
      <c r="A209" s="82"/>
    </row>
    <row r="210" spans="1:20" x14ac:dyDescent="0.3">
      <c r="A210" s="82"/>
    </row>
    <row r="211" spans="1:20" x14ac:dyDescent="0.3">
      <c r="A211" s="82"/>
    </row>
    <row r="212" spans="1:20" x14ac:dyDescent="0.3">
      <c r="A212" s="82"/>
    </row>
    <row r="213" spans="1:20" x14ac:dyDescent="0.3">
      <c r="A213" s="82"/>
    </row>
    <row r="214" spans="1:20" s="369" customFormat="1" ht="13.8" x14ac:dyDescent="0.3">
      <c r="A214" s="82"/>
      <c r="C214" s="85"/>
      <c r="E214" s="76"/>
      <c r="F214" s="371"/>
      <c r="G214" s="76"/>
      <c r="H214" s="29"/>
      <c r="J214" s="85"/>
      <c r="L214" s="85"/>
      <c r="N214" s="85"/>
      <c r="P214" s="85"/>
      <c r="R214" s="85"/>
      <c r="T214" s="85"/>
    </row>
    <row r="215" spans="1:20" s="369" customFormat="1" ht="13.8" x14ac:dyDescent="0.3">
      <c r="A215" s="82"/>
      <c r="C215" s="85"/>
      <c r="E215" s="76"/>
      <c r="F215" s="371"/>
      <c r="G215" s="76"/>
      <c r="H215" s="29"/>
      <c r="J215" s="85"/>
      <c r="L215" s="85"/>
      <c r="N215" s="85"/>
      <c r="P215" s="85"/>
      <c r="R215" s="85"/>
      <c r="T215" s="85"/>
    </row>
    <row r="216" spans="1:20" s="369" customFormat="1" ht="13.8" x14ac:dyDescent="0.3">
      <c r="A216" s="82"/>
      <c r="C216" s="85"/>
      <c r="E216" s="76"/>
      <c r="F216" s="371"/>
      <c r="G216" s="76"/>
      <c r="H216" s="29"/>
      <c r="J216" s="85"/>
      <c r="L216" s="85"/>
      <c r="N216" s="85"/>
      <c r="P216" s="85"/>
      <c r="R216" s="85"/>
      <c r="T216" s="85"/>
    </row>
    <row r="217" spans="1:20" s="369" customFormat="1" ht="13.8" x14ac:dyDescent="0.3">
      <c r="A217" s="82"/>
      <c r="C217" s="85"/>
      <c r="E217" s="76"/>
      <c r="F217" s="371"/>
      <c r="G217" s="76"/>
      <c r="H217" s="29"/>
      <c r="J217" s="85"/>
      <c r="L217" s="85"/>
      <c r="N217" s="85"/>
      <c r="P217" s="85"/>
      <c r="R217" s="85"/>
      <c r="T217" s="85"/>
    </row>
    <row r="218" spans="1:20" s="369" customFormat="1" ht="13.8" x14ac:dyDescent="0.3">
      <c r="A218" s="82"/>
      <c r="C218" s="85"/>
      <c r="E218" s="76"/>
      <c r="F218" s="371"/>
      <c r="G218" s="76"/>
      <c r="H218" s="29"/>
      <c r="J218" s="85"/>
      <c r="L218" s="85"/>
      <c r="N218" s="85"/>
      <c r="P218" s="85"/>
      <c r="R218" s="85"/>
      <c r="T218" s="85"/>
    </row>
    <row r="219" spans="1:20" s="369" customFormat="1" ht="13.8" x14ac:dyDescent="0.3">
      <c r="A219" s="82"/>
      <c r="C219" s="85"/>
      <c r="E219" s="76"/>
      <c r="F219" s="371"/>
      <c r="G219" s="76"/>
      <c r="H219" s="29"/>
      <c r="J219" s="85"/>
      <c r="L219" s="85"/>
      <c r="N219" s="85"/>
      <c r="P219" s="85"/>
      <c r="R219" s="85"/>
      <c r="T219" s="85"/>
    </row>
    <row r="220" spans="1:20" s="369" customFormat="1" ht="13.8" x14ac:dyDescent="0.3">
      <c r="A220" s="82"/>
      <c r="C220" s="85"/>
      <c r="E220" s="76"/>
      <c r="F220" s="371"/>
      <c r="G220" s="76"/>
      <c r="H220" s="29"/>
      <c r="J220" s="85"/>
      <c r="L220" s="85"/>
      <c r="N220" s="85"/>
      <c r="P220" s="85"/>
      <c r="R220" s="85"/>
      <c r="T220" s="85"/>
    </row>
    <row r="221" spans="1:20" s="369" customFormat="1" ht="13.8" x14ac:dyDescent="0.3">
      <c r="A221" s="82"/>
      <c r="C221" s="85"/>
      <c r="E221" s="76"/>
      <c r="F221" s="371"/>
      <c r="G221" s="76"/>
      <c r="H221" s="29"/>
      <c r="J221" s="85"/>
      <c r="L221" s="85"/>
      <c r="N221" s="85"/>
      <c r="P221" s="85"/>
      <c r="R221" s="85"/>
      <c r="T221" s="85"/>
    </row>
    <row r="222" spans="1:20" s="369" customFormat="1" ht="13.8" x14ac:dyDescent="0.3">
      <c r="A222" s="82"/>
      <c r="C222" s="85"/>
      <c r="E222" s="76"/>
      <c r="F222" s="371"/>
      <c r="G222" s="76"/>
      <c r="H222" s="29"/>
      <c r="J222" s="85"/>
      <c r="L222" s="85"/>
      <c r="N222" s="85"/>
      <c r="P222" s="85"/>
      <c r="R222" s="85"/>
      <c r="T222" s="85"/>
    </row>
    <row r="223" spans="1:20" s="369" customFormat="1" ht="13.8" x14ac:dyDescent="0.3">
      <c r="A223" s="82"/>
      <c r="C223" s="85"/>
      <c r="E223" s="76"/>
      <c r="F223" s="371"/>
      <c r="G223" s="76"/>
      <c r="H223" s="29"/>
      <c r="J223" s="85"/>
      <c r="L223" s="85"/>
      <c r="N223" s="85"/>
      <c r="P223" s="85"/>
      <c r="R223" s="85"/>
      <c r="T223" s="85"/>
    </row>
    <row r="224" spans="1:20" s="369" customFormat="1" ht="13.8" x14ac:dyDescent="0.3">
      <c r="A224" s="82"/>
      <c r="C224" s="85"/>
      <c r="E224" s="76"/>
      <c r="F224" s="371"/>
      <c r="G224" s="76"/>
      <c r="H224" s="29"/>
      <c r="J224" s="85"/>
      <c r="L224" s="85"/>
      <c r="N224" s="85"/>
      <c r="P224" s="85"/>
      <c r="R224" s="85"/>
      <c r="T224" s="85"/>
    </row>
    <row r="225" spans="1:20" s="369" customFormat="1" ht="13.8" x14ac:dyDescent="0.3">
      <c r="A225" s="82"/>
      <c r="C225" s="85"/>
      <c r="E225" s="76"/>
      <c r="F225" s="371"/>
      <c r="G225" s="76"/>
      <c r="H225" s="29"/>
      <c r="J225" s="85"/>
      <c r="L225" s="85"/>
      <c r="N225" s="85"/>
      <c r="P225" s="85"/>
      <c r="R225" s="85"/>
      <c r="T225" s="85"/>
    </row>
    <row r="226" spans="1:20" s="369" customFormat="1" ht="13.8" x14ac:dyDescent="0.3">
      <c r="A226" s="82"/>
      <c r="C226" s="85"/>
      <c r="E226" s="76"/>
      <c r="F226" s="371"/>
      <c r="G226" s="76"/>
      <c r="H226" s="29"/>
      <c r="J226" s="85"/>
      <c r="L226" s="85"/>
      <c r="N226" s="85"/>
      <c r="P226" s="85"/>
      <c r="R226" s="85"/>
      <c r="T226" s="85"/>
    </row>
    <row r="227" spans="1:20" s="369" customFormat="1" ht="13.8" x14ac:dyDescent="0.3">
      <c r="A227" s="82"/>
      <c r="C227" s="85"/>
      <c r="E227" s="76"/>
      <c r="F227" s="371"/>
      <c r="G227" s="76"/>
      <c r="H227" s="29"/>
      <c r="J227" s="85"/>
      <c r="L227" s="85"/>
      <c r="N227" s="85"/>
      <c r="P227" s="85"/>
      <c r="R227" s="85"/>
      <c r="T227" s="85"/>
    </row>
    <row r="228" spans="1:20" s="369" customFormat="1" ht="13.8" x14ac:dyDescent="0.3">
      <c r="A228" s="82"/>
      <c r="C228" s="85"/>
      <c r="E228" s="76"/>
      <c r="F228" s="371"/>
      <c r="G228" s="76"/>
      <c r="H228" s="29"/>
      <c r="J228" s="85"/>
      <c r="L228" s="85"/>
      <c r="N228" s="85"/>
      <c r="P228" s="85"/>
      <c r="R228" s="85"/>
      <c r="T228" s="85"/>
    </row>
  </sheetData>
  <pageMargins left="0.7" right="0.7" top="0.75" bottom="0.75" header="0.3" footer="0.3"/>
  <pageSetup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sheetPr>
  <dimension ref="A1:Y142"/>
  <sheetViews>
    <sheetView zoomScale="85" zoomScaleNormal="85" workbookViewId="0"/>
  </sheetViews>
  <sheetFormatPr defaultColWidth="9.109375" defaultRowHeight="14.4" x14ac:dyDescent="0.3"/>
  <cols>
    <col min="1" max="1" width="3.5546875" style="369" customWidth="1"/>
    <col min="2" max="2" width="27" style="369" bestFit="1" customWidth="1"/>
    <col min="3" max="3" width="30.6640625" style="85" customWidth="1"/>
    <col min="4" max="4" width="11.6640625" style="369" bestFit="1" customWidth="1"/>
    <col min="5" max="5" width="2.6640625" style="76" customWidth="1"/>
    <col min="6" max="6" width="30.6640625" style="371" customWidth="1"/>
    <col min="7" max="7" width="2.6640625" style="76" customWidth="1"/>
    <col min="8" max="8" width="27.88671875" style="29" bestFit="1" customWidth="1"/>
    <col min="9" max="9" width="2.6640625" style="369" customWidth="1"/>
    <col min="10" max="10" width="24.44140625" style="85" customWidth="1"/>
    <col min="11" max="11" width="2.6640625" style="369" customWidth="1"/>
    <col min="12" max="12" width="28.109375" style="85" customWidth="1"/>
    <col min="13" max="13" width="2.6640625" style="369" customWidth="1"/>
    <col min="14" max="14" width="26" style="85" customWidth="1"/>
    <col min="15" max="15" width="2.6640625" style="369" customWidth="1"/>
    <col min="16" max="16" width="27.6640625" style="85" customWidth="1"/>
    <col min="17" max="17" width="2.6640625" style="369" customWidth="1"/>
    <col min="18" max="18" width="22" style="85" customWidth="1"/>
    <col min="19" max="19" width="2.6640625" style="369" customWidth="1"/>
    <col min="20" max="20" width="19" style="85" customWidth="1"/>
    <col min="21" max="21" width="9.109375" style="397"/>
    <col min="22" max="22" width="12.33203125" style="397" bestFit="1" customWidth="1"/>
    <col min="23" max="23" width="9.109375" style="397"/>
    <col min="24" max="24" width="15.88671875" style="397" customWidth="1"/>
    <col min="25" max="16384" width="9.109375" style="397"/>
  </cols>
  <sheetData>
    <row r="1" spans="1:21" ht="12.75" customHeight="1" x14ac:dyDescent="0.3">
      <c r="U1" s="369"/>
    </row>
    <row r="2" spans="1:21" x14ac:dyDescent="0.3">
      <c r="B2" s="567" t="s">
        <v>5</v>
      </c>
      <c r="C2" s="568"/>
      <c r="D2" s="567"/>
      <c r="E2" s="574"/>
      <c r="F2" s="568" t="s">
        <v>6</v>
      </c>
      <c r="G2" s="369"/>
      <c r="K2" s="567"/>
      <c r="L2" s="568" t="s">
        <v>1101</v>
      </c>
    </row>
    <row r="3" spans="1:21" ht="12.75" customHeight="1" x14ac:dyDescent="0.3">
      <c r="B3" s="369" t="s">
        <v>0</v>
      </c>
      <c r="C3" s="65" t="s">
        <v>1097</v>
      </c>
      <c r="E3" s="369"/>
      <c r="F3" s="85" t="s">
        <v>8</v>
      </c>
      <c r="G3" s="369"/>
      <c r="H3" s="65"/>
      <c r="K3" s="136"/>
      <c r="L3" s="369" t="s">
        <v>1106</v>
      </c>
    </row>
    <row r="4" spans="1:21" ht="12.75" customHeight="1" x14ac:dyDescent="0.3">
      <c r="B4" s="369" t="s">
        <v>1</v>
      </c>
      <c r="C4" s="85" t="str">
        <f>C3&amp;".cibd16"</f>
        <v>020006S-OffSml-Run24.cibd16</v>
      </c>
      <c r="F4" s="85" t="s">
        <v>110</v>
      </c>
      <c r="G4" s="369"/>
      <c r="H4" s="371" t="str">
        <f>'Documentation Main Sheet'!I3</f>
        <v>Release package</v>
      </c>
      <c r="K4" s="569"/>
      <c r="L4" s="369" t="s">
        <v>1102</v>
      </c>
    </row>
    <row r="5" spans="1:21" ht="12.75" customHeight="1" x14ac:dyDescent="0.3">
      <c r="B5" s="369" t="s">
        <v>54</v>
      </c>
      <c r="C5" s="85" t="s">
        <v>56</v>
      </c>
      <c r="F5" s="85" t="s">
        <v>7</v>
      </c>
      <c r="H5" s="371" t="str">
        <f>'Documentation Main Sheet'!I4</f>
        <v>CBECC-Com 209.1.0 release</v>
      </c>
      <c r="I5" s="62"/>
      <c r="K5" s="571">
        <v>1</v>
      </c>
      <c r="L5" s="378" t="s">
        <v>1103</v>
      </c>
      <c r="P5" s="9"/>
      <c r="R5" s="9"/>
      <c r="T5" s="9"/>
    </row>
    <row r="6" spans="1:21" ht="12.75" customHeight="1" x14ac:dyDescent="0.3">
      <c r="B6" s="369" t="s">
        <v>390</v>
      </c>
      <c r="C6" s="85" t="s">
        <v>395</v>
      </c>
      <c r="F6" s="85" t="s">
        <v>2</v>
      </c>
      <c r="H6" s="394"/>
      <c r="K6" s="582">
        <v>1</v>
      </c>
      <c r="L6" s="381" t="s">
        <v>1104</v>
      </c>
    </row>
    <row r="7" spans="1:21" ht="12.75" customHeight="1" x14ac:dyDescent="0.3">
      <c r="B7" s="369" t="s">
        <v>432</v>
      </c>
      <c r="C7" s="85" t="s">
        <v>1327</v>
      </c>
      <c r="F7" s="85" t="s">
        <v>3</v>
      </c>
      <c r="H7" s="371" t="s">
        <v>4</v>
      </c>
      <c r="K7" s="583">
        <v>1</v>
      </c>
      <c r="L7" s="378" t="s">
        <v>1105</v>
      </c>
    </row>
    <row r="8" spans="1:21" ht="12.75" customHeight="1" x14ac:dyDescent="0.3">
      <c r="B8" s="369" t="s">
        <v>952</v>
      </c>
      <c r="C8" s="85" t="s">
        <v>426</v>
      </c>
      <c r="F8" s="369"/>
      <c r="G8" s="369"/>
      <c r="H8" s="369"/>
      <c r="K8" s="796">
        <v>1</v>
      </c>
      <c r="L8" s="369" t="s">
        <v>1396</v>
      </c>
    </row>
    <row r="9" spans="1:21" x14ac:dyDescent="0.3">
      <c r="F9" s="369"/>
      <c r="G9" s="369"/>
      <c r="H9" s="369"/>
    </row>
    <row r="10" spans="1:21" x14ac:dyDescent="0.3">
      <c r="A10" s="286"/>
      <c r="B10" s="287" t="s">
        <v>37</v>
      </c>
      <c r="C10" s="288"/>
      <c r="D10" s="286"/>
      <c r="E10" s="286"/>
      <c r="F10" s="289"/>
      <c r="G10" s="286"/>
      <c r="H10" s="288"/>
      <c r="I10" s="286"/>
      <c r="J10" s="288"/>
      <c r="K10" s="286"/>
      <c r="L10" s="288"/>
      <c r="M10" s="286"/>
      <c r="N10" s="288"/>
      <c r="O10" s="286"/>
      <c r="P10" s="288"/>
      <c r="Q10" s="286"/>
      <c r="R10" s="288"/>
      <c r="S10" s="286"/>
      <c r="T10" s="288"/>
    </row>
    <row r="11" spans="1:21" x14ac:dyDescent="0.3">
      <c r="A11" s="382"/>
      <c r="B11" s="382" t="s">
        <v>9</v>
      </c>
      <c r="C11" s="87"/>
      <c r="D11" s="86"/>
      <c r="E11" s="84"/>
      <c r="F11" s="85"/>
      <c r="G11" s="84"/>
      <c r="I11" s="84"/>
      <c r="K11" s="84"/>
      <c r="M11" s="84"/>
      <c r="O11" s="84"/>
      <c r="P11" s="77"/>
      <c r="Q11" s="84"/>
      <c r="R11" s="77"/>
      <c r="S11" s="84"/>
      <c r="T11" s="77"/>
    </row>
    <row r="12" spans="1:21" x14ac:dyDescent="0.3">
      <c r="B12" s="84" t="s">
        <v>18</v>
      </c>
      <c r="E12" s="369"/>
      <c r="F12" s="85"/>
      <c r="G12" s="369"/>
      <c r="H12" s="371"/>
      <c r="J12" s="32"/>
      <c r="K12" s="7"/>
      <c r="L12" s="32"/>
      <c r="M12" s="7"/>
      <c r="N12" s="32"/>
      <c r="O12" s="7"/>
      <c r="P12" s="30"/>
      <c r="Q12" s="7"/>
      <c r="R12" s="30"/>
      <c r="S12" s="84"/>
      <c r="T12" s="29"/>
    </row>
    <row r="13" spans="1:21" ht="27.6" x14ac:dyDescent="0.3">
      <c r="A13" s="84"/>
      <c r="B13" s="132" t="s">
        <v>137</v>
      </c>
      <c r="C13" s="113" t="s">
        <v>31</v>
      </c>
      <c r="D13" s="112" t="s">
        <v>433</v>
      </c>
      <c r="E13" s="112"/>
      <c r="F13" s="113" t="s">
        <v>437</v>
      </c>
      <c r="G13" s="132"/>
      <c r="H13" s="142" t="s">
        <v>11</v>
      </c>
      <c r="I13" s="112"/>
      <c r="J13" s="113" t="s">
        <v>495</v>
      </c>
      <c r="K13" s="132"/>
      <c r="L13" s="142" t="s">
        <v>22</v>
      </c>
      <c r="M13" s="132"/>
      <c r="N13" s="142" t="s">
        <v>39</v>
      </c>
      <c r="O13" s="84"/>
      <c r="P13" s="15"/>
      <c r="Q13" s="84"/>
      <c r="R13" s="36"/>
      <c r="S13" s="84"/>
      <c r="T13" s="36"/>
    </row>
    <row r="14" spans="1:21" ht="15" thickBot="1" x14ac:dyDescent="0.35">
      <c r="A14" s="76"/>
      <c r="B14" s="126"/>
      <c r="C14" s="117" t="s">
        <v>46</v>
      </c>
      <c r="D14" s="118"/>
      <c r="E14" s="119"/>
      <c r="F14" s="117"/>
      <c r="G14" s="133"/>
      <c r="H14" s="143" t="s">
        <v>26</v>
      </c>
      <c r="I14" s="119"/>
      <c r="J14" s="117" t="s">
        <v>47</v>
      </c>
      <c r="K14" s="139"/>
      <c r="L14" s="143" t="s">
        <v>28</v>
      </c>
      <c r="M14" s="139"/>
      <c r="N14" s="143" t="s">
        <v>29</v>
      </c>
      <c r="O14" s="76"/>
      <c r="P14" s="15"/>
      <c r="Q14" s="29"/>
      <c r="R14" s="29"/>
      <c r="S14" s="29"/>
      <c r="T14" s="29"/>
    </row>
    <row r="15" spans="1:21" ht="15" thickTop="1" x14ac:dyDescent="0.3">
      <c r="B15" s="123" t="s">
        <v>20</v>
      </c>
      <c r="C15" s="369" t="s">
        <v>483</v>
      </c>
      <c r="D15" s="369" t="s">
        <v>521</v>
      </c>
      <c r="E15" s="378"/>
      <c r="F15" s="371" t="s">
        <v>438</v>
      </c>
      <c r="G15" s="136"/>
      <c r="H15" s="367" t="s">
        <v>19</v>
      </c>
      <c r="I15" s="176"/>
      <c r="J15" s="31">
        <v>0.4</v>
      </c>
      <c r="K15" s="136"/>
      <c r="L15" s="147">
        <v>0.33</v>
      </c>
      <c r="M15" s="136"/>
      <c r="N15" s="147">
        <v>0.5</v>
      </c>
      <c r="O15" s="378"/>
      <c r="P15" s="15"/>
      <c r="Q15" s="85"/>
      <c r="R15" s="378"/>
      <c r="S15" s="85"/>
      <c r="T15" s="378"/>
    </row>
    <row r="16" spans="1:21" x14ac:dyDescent="0.3">
      <c r="B16" s="149" t="s">
        <v>20</v>
      </c>
      <c r="C16" s="151" t="s">
        <v>484</v>
      </c>
      <c r="D16" s="158" t="s">
        <v>436</v>
      </c>
      <c r="E16" s="159"/>
      <c r="F16" s="160" t="s">
        <v>439</v>
      </c>
      <c r="G16" s="165"/>
      <c r="H16" s="166" t="s">
        <v>19</v>
      </c>
      <c r="I16" s="164"/>
      <c r="J16" s="150">
        <v>0.55000000000000004</v>
      </c>
      <c r="K16" s="165"/>
      <c r="L16" s="163">
        <v>0.56000000000000005</v>
      </c>
      <c r="M16" s="165"/>
      <c r="N16" s="163">
        <v>0.6</v>
      </c>
      <c r="P16" s="15"/>
    </row>
    <row r="17" spans="1:20" x14ac:dyDescent="0.3">
      <c r="C17" s="371"/>
      <c r="D17" s="378"/>
      <c r="E17" s="369"/>
      <c r="G17" s="369"/>
      <c r="H17" s="85"/>
      <c r="P17" s="15"/>
    </row>
    <row r="18" spans="1:20" s="83" customFormat="1" ht="27.6" x14ac:dyDescent="0.3">
      <c r="D18" s="216" t="s">
        <v>137</v>
      </c>
      <c r="E18" s="190"/>
      <c r="F18" s="109" t="s">
        <v>512</v>
      </c>
      <c r="G18" s="183"/>
      <c r="H18" s="116" t="s">
        <v>513</v>
      </c>
      <c r="I18" s="190"/>
      <c r="J18" s="109" t="s">
        <v>514</v>
      </c>
      <c r="K18" s="183"/>
      <c r="L18" s="116" t="s">
        <v>515</v>
      </c>
      <c r="M18" s="190"/>
      <c r="N18" s="109" t="s">
        <v>516</v>
      </c>
      <c r="O18" s="39"/>
      <c r="P18" s="15"/>
      <c r="Q18" s="15"/>
      <c r="R18" s="15"/>
      <c r="S18" s="15"/>
      <c r="T18" s="15"/>
    </row>
    <row r="19" spans="1:20" s="369" customFormat="1" thickBot="1" x14ac:dyDescent="0.35">
      <c r="D19" s="236"/>
      <c r="E19" s="237"/>
      <c r="F19" s="238" t="s">
        <v>65</v>
      </c>
      <c r="G19" s="224"/>
      <c r="H19" s="118" t="s">
        <v>66</v>
      </c>
      <c r="I19" s="237"/>
      <c r="J19" s="101" t="s">
        <v>67</v>
      </c>
      <c r="K19" s="224"/>
      <c r="L19" s="215" t="s">
        <v>68</v>
      </c>
      <c r="M19" s="237"/>
      <c r="N19" s="101" t="s">
        <v>69</v>
      </c>
      <c r="O19" s="63"/>
      <c r="P19" s="63"/>
      <c r="Q19" s="63"/>
      <c r="R19" s="63"/>
      <c r="S19" s="63"/>
      <c r="T19" s="63"/>
    </row>
    <row r="20" spans="1:20" s="378" customFormat="1" thickTop="1" x14ac:dyDescent="0.3">
      <c r="C20" s="84"/>
      <c r="D20" s="233" t="s">
        <v>20</v>
      </c>
      <c r="E20" s="421"/>
      <c r="F20" s="235">
        <v>0.21</v>
      </c>
      <c r="G20" s="422"/>
      <c r="H20" s="234">
        <v>0.2</v>
      </c>
      <c r="I20" s="421"/>
      <c r="J20" s="234">
        <v>0.2</v>
      </c>
      <c r="K20" s="421"/>
      <c r="L20" s="234">
        <v>0.24</v>
      </c>
      <c r="M20" s="421"/>
      <c r="N20" s="235">
        <v>0.2</v>
      </c>
      <c r="O20" s="370"/>
      <c r="P20" s="370"/>
      <c r="Q20" s="370"/>
      <c r="R20" s="370"/>
      <c r="S20" s="370"/>
      <c r="T20" s="370"/>
    </row>
    <row r="21" spans="1:20" x14ac:dyDescent="0.3">
      <c r="C21" s="371"/>
      <c r="D21" s="378"/>
      <c r="E21" s="369"/>
      <c r="G21" s="369"/>
      <c r="H21" s="85"/>
    </row>
    <row r="22" spans="1:20" x14ac:dyDescent="0.3">
      <c r="B22" s="85"/>
      <c r="C22" s="83"/>
      <c r="D22" s="397"/>
      <c r="E22" s="369"/>
      <c r="F22" s="369"/>
      <c r="G22" s="369"/>
      <c r="H22" s="369"/>
      <c r="J22" s="369"/>
      <c r="L22" s="66"/>
      <c r="N22" s="66"/>
      <c r="P22" s="66"/>
      <c r="R22" s="66"/>
      <c r="T22" s="66"/>
    </row>
    <row r="23" spans="1:20" x14ac:dyDescent="0.3">
      <c r="A23" s="382"/>
      <c r="B23" s="382" t="s">
        <v>517</v>
      </c>
      <c r="C23" s="83"/>
      <c r="D23" s="397"/>
      <c r="E23" s="369"/>
      <c r="F23" s="369"/>
      <c r="G23" s="369"/>
      <c r="H23" s="369"/>
      <c r="J23" s="369"/>
      <c r="L23" s="66"/>
      <c r="N23" s="66"/>
      <c r="P23" s="66"/>
      <c r="R23" s="66"/>
      <c r="T23" s="66"/>
    </row>
    <row r="24" spans="1:20" ht="41.4" x14ac:dyDescent="0.3">
      <c r="A24" s="82"/>
      <c r="B24" s="108" t="s">
        <v>500</v>
      </c>
      <c r="C24" s="116" t="s">
        <v>501</v>
      </c>
      <c r="D24" s="112" t="s">
        <v>433</v>
      </c>
      <c r="E24" s="177"/>
      <c r="F24" s="142" t="s">
        <v>437</v>
      </c>
      <c r="G24" s="177"/>
      <c r="H24" s="109" t="s">
        <v>137</v>
      </c>
      <c r="I24" s="170"/>
      <c r="J24" s="109" t="s">
        <v>186</v>
      </c>
      <c r="K24" s="125"/>
      <c r="L24" s="142" t="s">
        <v>510</v>
      </c>
      <c r="M24" s="113"/>
      <c r="N24" s="113" t="s">
        <v>509</v>
      </c>
      <c r="O24" s="125"/>
      <c r="P24" s="142" t="s">
        <v>508</v>
      </c>
      <c r="Q24" s="75"/>
      <c r="R24" s="77"/>
      <c r="S24" s="75"/>
      <c r="T24" s="77"/>
    </row>
    <row r="25" spans="1:20" ht="15" thickBot="1" x14ac:dyDescent="0.35">
      <c r="A25" s="82"/>
      <c r="B25" s="173" t="s">
        <v>259</v>
      </c>
      <c r="C25" s="171" t="s">
        <v>258</v>
      </c>
      <c r="D25" s="376"/>
      <c r="E25" s="178"/>
      <c r="F25" s="377"/>
      <c r="G25" s="375"/>
      <c r="H25" s="174" t="s">
        <v>260</v>
      </c>
      <c r="I25" s="172"/>
      <c r="J25" s="174" t="s">
        <v>261</v>
      </c>
      <c r="K25" s="208"/>
      <c r="L25" s="174" t="s">
        <v>646</v>
      </c>
      <c r="M25" s="205"/>
      <c r="N25" s="171" t="s">
        <v>647</v>
      </c>
      <c r="O25" s="208"/>
      <c r="P25" s="174" t="s">
        <v>1387</v>
      </c>
      <c r="Q25" s="86"/>
      <c r="R25" s="82"/>
      <c r="S25" s="86"/>
      <c r="T25" s="82"/>
    </row>
    <row r="26" spans="1:20" ht="15" thickTop="1" x14ac:dyDescent="0.3">
      <c r="A26" s="82"/>
      <c r="B26" s="124" t="s">
        <v>168</v>
      </c>
      <c r="C26" s="85" t="s">
        <v>218</v>
      </c>
      <c r="D26" s="381" t="s">
        <v>436</v>
      </c>
      <c r="E26" s="409" t="s">
        <v>14</v>
      </c>
      <c r="F26" s="410" t="s">
        <v>14</v>
      </c>
      <c r="G26" s="134"/>
      <c r="H26" s="146" t="s">
        <v>167</v>
      </c>
      <c r="I26" s="134"/>
      <c r="J26" s="146" t="s">
        <v>187</v>
      </c>
      <c r="K26" s="134"/>
      <c r="L26" s="197">
        <v>55</v>
      </c>
      <c r="M26" s="134"/>
      <c r="N26" s="369">
        <v>95</v>
      </c>
      <c r="O26" s="134"/>
      <c r="P26" s="206" t="s">
        <v>300</v>
      </c>
      <c r="R26" s="369"/>
      <c r="T26" s="369"/>
    </row>
    <row r="27" spans="1:20" x14ac:dyDescent="0.3">
      <c r="A27" s="82"/>
      <c r="B27" s="124" t="s">
        <v>170</v>
      </c>
      <c r="C27" s="85" t="s">
        <v>219</v>
      </c>
      <c r="D27" s="381" t="s">
        <v>436</v>
      </c>
      <c r="E27" s="409" t="s">
        <v>14</v>
      </c>
      <c r="F27" s="410" t="s">
        <v>14</v>
      </c>
      <c r="G27" s="136"/>
      <c r="H27" s="146" t="s">
        <v>167</v>
      </c>
      <c r="I27" s="136"/>
      <c r="J27" s="146" t="s">
        <v>187</v>
      </c>
      <c r="K27" s="136"/>
      <c r="L27" s="206">
        <v>55</v>
      </c>
      <c r="M27" s="136"/>
      <c r="N27" s="369">
        <v>95</v>
      </c>
      <c r="O27" s="136"/>
      <c r="P27" s="206" t="s">
        <v>300</v>
      </c>
      <c r="R27" s="369"/>
      <c r="T27" s="369"/>
    </row>
    <row r="28" spans="1:20" ht="15" customHeight="1" x14ac:dyDescent="0.3">
      <c r="A28" s="82"/>
      <c r="B28" s="124" t="s">
        <v>171</v>
      </c>
      <c r="C28" s="85" t="s">
        <v>220</v>
      </c>
      <c r="D28" s="381" t="s">
        <v>436</v>
      </c>
      <c r="E28" s="409" t="s">
        <v>14</v>
      </c>
      <c r="F28" s="410" t="s">
        <v>14</v>
      </c>
      <c r="G28" s="136"/>
      <c r="H28" s="146" t="s">
        <v>167</v>
      </c>
      <c r="I28" s="136"/>
      <c r="J28" s="146" t="s">
        <v>187</v>
      </c>
      <c r="K28" s="136"/>
      <c r="L28" s="206">
        <v>55</v>
      </c>
      <c r="M28" s="136"/>
      <c r="N28" s="369">
        <v>95</v>
      </c>
      <c r="O28" s="136"/>
      <c r="P28" s="206" t="s">
        <v>300</v>
      </c>
      <c r="R28" s="369"/>
      <c r="T28" s="369"/>
    </row>
    <row r="29" spans="1:20" ht="15" customHeight="1" x14ac:dyDescent="0.3">
      <c r="A29" s="82"/>
      <c r="B29" s="124" t="s">
        <v>172</v>
      </c>
      <c r="C29" s="85" t="s">
        <v>221</v>
      </c>
      <c r="D29" s="381" t="s">
        <v>436</v>
      </c>
      <c r="E29" s="409" t="s">
        <v>14</v>
      </c>
      <c r="F29" s="410" t="s">
        <v>14</v>
      </c>
      <c r="G29" s="240"/>
      <c r="H29" s="146" t="s">
        <v>167</v>
      </c>
      <c r="I29" s="240"/>
      <c r="J29" s="146" t="s">
        <v>187</v>
      </c>
      <c r="K29" s="240"/>
      <c r="L29" s="206">
        <v>55</v>
      </c>
      <c r="M29" s="240"/>
      <c r="N29" s="369">
        <v>95</v>
      </c>
      <c r="O29" s="240"/>
      <c r="P29" s="206" t="s">
        <v>300</v>
      </c>
      <c r="R29" s="369"/>
      <c r="T29" s="369"/>
    </row>
    <row r="30" spans="1:20" x14ac:dyDescent="0.3">
      <c r="A30" s="82"/>
      <c r="B30" s="175" t="s">
        <v>169</v>
      </c>
      <c r="C30" s="150" t="s">
        <v>520</v>
      </c>
      <c r="D30" s="181" t="s">
        <v>435</v>
      </c>
      <c r="E30" s="179"/>
      <c r="F30" s="155" t="s">
        <v>519</v>
      </c>
      <c r="G30" s="153"/>
      <c r="H30" s="155" t="s">
        <v>167</v>
      </c>
      <c r="I30" s="153"/>
      <c r="J30" s="155" t="s">
        <v>187</v>
      </c>
      <c r="K30" s="153"/>
      <c r="L30" s="209">
        <v>55</v>
      </c>
      <c r="M30" s="153"/>
      <c r="N30" s="151">
        <v>95</v>
      </c>
      <c r="O30" s="153"/>
      <c r="P30" s="209" t="s">
        <v>300</v>
      </c>
      <c r="R30" s="369"/>
      <c r="T30" s="369"/>
    </row>
    <row r="31" spans="1:20" x14ac:dyDescent="0.3">
      <c r="A31" s="82"/>
      <c r="B31" s="77"/>
      <c r="C31" s="75"/>
      <c r="D31" s="29"/>
      <c r="E31" s="369"/>
      <c r="F31" s="369"/>
      <c r="G31" s="369"/>
      <c r="H31" s="369"/>
      <c r="J31" s="369"/>
      <c r="K31" s="84"/>
      <c r="L31" s="82"/>
      <c r="N31" s="369"/>
      <c r="P31" s="369"/>
      <c r="R31" s="369"/>
      <c r="T31" s="369"/>
    </row>
    <row r="32" spans="1:20" x14ac:dyDescent="0.3">
      <c r="A32" s="82"/>
      <c r="B32" s="77"/>
      <c r="C32" s="84"/>
      <c r="D32" s="82"/>
      <c r="E32" s="84"/>
      <c r="F32" s="82"/>
      <c r="G32" s="84"/>
      <c r="H32" s="82"/>
      <c r="I32" s="84"/>
      <c r="J32" s="82"/>
      <c r="K32" s="84"/>
      <c r="L32" s="82"/>
      <c r="N32" s="369"/>
      <c r="P32" s="369"/>
      <c r="R32" s="369"/>
      <c r="T32" s="369"/>
    </row>
    <row r="33" spans="1:20" ht="41.4" x14ac:dyDescent="0.3">
      <c r="A33" s="82"/>
      <c r="B33" s="108" t="s">
        <v>501</v>
      </c>
      <c r="C33" s="116" t="s">
        <v>502</v>
      </c>
      <c r="D33" s="112" t="s">
        <v>433</v>
      </c>
      <c r="E33" s="177"/>
      <c r="F33" s="110" t="s">
        <v>137</v>
      </c>
      <c r="G33" s="170"/>
      <c r="H33" s="168" t="s">
        <v>503</v>
      </c>
      <c r="I33" s="189"/>
      <c r="J33" s="110" t="s">
        <v>204</v>
      </c>
      <c r="K33" s="182"/>
      <c r="L33" s="168" t="s">
        <v>1053</v>
      </c>
      <c r="M33" s="442"/>
      <c r="N33" s="110" t="s">
        <v>1054</v>
      </c>
      <c r="O33" s="441"/>
      <c r="P33" s="110" t="s">
        <v>1055</v>
      </c>
      <c r="R33" s="369"/>
      <c r="T33" s="369"/>
    </row>
    <row r="34" spans="1:20" ht="15" thickBot="1" x14ac:dyDescent="0.35">
      <c r="A34" s="82"/>
      <c r="B34" s="173" t="s">
        <v>280</v>
      </c>
      <c r="C34" s="171" t="s">
        <v>262</v>
      </c>
      <c r="D34" s="376"/>
      <c r="E34" s="178"/>
      <c r="F34" s="174" t="s">
        <v>264</v>
      </c>
      <c r="G34" s="172"/>
      <c r="H34" s="171" t="s">
        <v>933</v>
      </c>
      <c r="I34" s="178"/>
      <c r="J34" s="174" t="s">
        <v>263</v>
      </c>
      <c r="K34" s="184"/>
      <c r="L34" s="171" t="s">
        <v>629</v>
      </c>
      <c r="M34" s="173"/>
      <c r="N34" s="174" t="s">
        <v>630</v>
      </c>
      <c r="O34" s="171"/>
      <c r="P34" s="174" t="s">
        <v>631</v>
      </c>
      <c r="R34" s="369"/>
      <c r="T34" s="369"/>
    </row>
    <row r="35" spans="1:20" ht="28.2" thickTop="1" x14ac:dyDescent="0.3">
      <c r="A35" s="82"/>
      <c r="B35" s="124" t="s">
        <v>218</v>
      </c>
      <c r="C35" s="85" t="s">
        <v>192</v>
      </c>
      <c r="D35" s="381" t="s">
        <v>792</v>
      </c>
      <c r="E35" s="134"/>
      <c r="F35" s="187" t="s">
        <v>173</v>
      </c>
      <c r="G35" s="134"/>
      <c r="H35" s="463">
        <v>10.8446</v>
      </c>
      <c r="I35" s="409" t="s">
        <v>14</v>
      </c>
      <c r="J35" s="410" t="s">
        <v>14</v>
      </c>
      <c r="K35" s="423"/>
      <c r="L35" s="85" t="s">
        <v>301</v>
      </c>
      <c r="M35" s="416"/>
      <c r="N35" s="146" t="s">
        <v>302</v>
      </c>
      <c r="O35" s="423"/>
      <c r="P35" s="146" t="s">
        <v>281</v>
      </c>
      <c r="R35" s="369"/>
      <c r="T35" s="369"/>
    </row>
    <row r="36" spans="1:20" ht="27.6" x14ac:dyDescent="0.3">
      <c r="A36" s="82"/>
      <c r="B36" s="124" t="s">
        <v>219</v>
      </c>
      <c r="C36" s="85" t="s">
        <v>194</v>
      </c>
      <c r="D36" s="381" t="s">
        <v>792</v>
      </c>
      <c r="E36" s="136"/>
      <c r="F36" s="187" t="s">
        <v>173</v>
      </c>
      <c r="G36" s="136"/>
      <c r="H36" s="463">
        <v>10.8446</v>
      </c>
      <c r="I36" s="409" t="s">
        <v>14</v>
      </c>
      <c r="J36" s="410" t="s">
        <v>14</v>
      </c>
      <c r="K36" s="424"/>
      <c r="L36" s="85" t="s">
        <v>301</v>
      </c>
      <c r="M36" s="418"/>
      <c r="N36" s="146" t="s">
        <v>302</v>
      </c>
      <c r="O36" s="424"/>
      <c r="P36" s="146" t="s">
        <v>281</v>
      </c>
      <c r="R36" s="369"/>
      <c r="T36" s="369"/>
    </row>
    <row r="37" spans="1:20" ht="27.6" x14ac:dyDescent="0.3">
      <c r="A37" s="82"/>
      <c r="B37" s="124" t="s">
        <v>220</v>
      </c>
      <c r="C37" s="85" t="s">
        <v>195</v>
      </c>
      <c r="D37" s="381" t="s">
        <v>792</v>
      </c>
      <c r="E37" s="136"/>
      <c r="F37" s="187" t="s">
        <v>173</v>
      </c>
      <c r="G37" s="136"/>
      <c r="H37" s="463">
        <v>10.8446</v>
      </c>
      <c r="I37" s="409" t="s">
        <v>14</v>
      </c>
      <c r="J37" s="410" t="s">
        <v>14</v>
      </c>
      <c r="K37" s="424"/>
      <c r="L37" s="85" t="s">
        <v>301</v>
      </c>
      <c r="M37" s="418"/>
      <c r="N37" s="146" t="s">
        <v>302</v>
      </c>
      <c r="O37" s="424"/>
      <c r="P37" s="146" t="s">
        <v>281</v>
      </c>
      <c r="R37" s="369"/>
      <c r="T37" s="369"/>
    </row>
    <row r="38" spans="1:20" ht="27.6" x14ac:dyDescent="0.3">
      <c r="A38" s="82"/>
      <c r="B38" s="124" t="s">
        <v>221</v>
      </c>
      <c r="C38" s="85" t="s">
        <v>196</v>
      </c>
      <c r="D38" s="381" t="s">
        <v>792</v>
      </c>
      <c r="E38" s="240"/>
      <c r="F38" s="187" t="s">
        <v>173</v>
      </c>
      <c r="G38" s="240"/>
      <c r="H38" s="463">
        <v>10.8446</v>
      </c>
      <c r="I38" s="409"/>
      <c r="J38" s="410"/>
      <c r="K38" s="425"/>
      <c r="L38" s="85" t="s">
        <v>301</v>
      </c>
      <c r="M38" s="419"/>
      <c r="N38" s="146" t="s">
        <v>302</v>
      </c>
      <c r="O38" s="425"/>
      <c r="P38" s="146" t="s">
        <v>281</v>
      </c>
      <c r="R38" s="369"/>
      <c r="T38" s="369"/>
    </row>
    <row r="39" spans="1:20" ht="27.6" x14ac:dyDescent="0.3">
      <c r="A39" s="82"/>
      <c r="B39" s="175" t="s">
        <v>520</v>
      </c>
      <c r="C39" s="150" t="s">
        <v>193</v>
      </c>
      <c r="D39" s="181" t="s">
        <v>435</v>
      </c>
      <c r="E39" s="153"/>
      <c r="F39" s="188" t="s">
        <v>173</v>
      </c>
      <c r="G39" s="153"/>
      <c r="H39" s="186">
        <v>13</v>
      </c>
      <c r="I39" s="411" t="s">
        <v>14</v>
      </c>
      <c r="J39" s="412" t="s">
        <v>14</v>
      </c>
      <c r="K39" s="426"/>
      <c r="L39" s="150" t="s">
        <v>455</v>
      </c>
      <c r="M39" s="417"/>
      <c r="N39" s="155" t="s">
        <v>302</v>
      </c>
      <c r="O39" s="426"/>
      <c r="P39" s="155" t="s">
        <v>281</v>
      </c>
      <c r="R39" s="369"/>
      <c r="T39" s="369"/>
    </row>
    <row r="40" spans="1:20" x14ac:dyDescent="0.3">
      <c r="A40" s="82"/>
      <c r="B40" s="77"/>
      <c r="C40" s="75"/>
      <c r="D40" s="82"/>
      <c r="E40" s="84"/>
      <c r="F40" s="82"/>
      <c r="G40" s="84"/>
      <c r="H40" s="82"/>
      <c r="I40" s="84"/>
      <c r="J40" s="82"/>
      <c r="K40" s="29"/>
      <c r="L40" s="369"/>
      <c r="N40" s="369"/>
      <c r="P40" s="369"/>
      <c r="R40" s="369"/>
      <c r="T40" s="369"/>
    </row>
    <row r="42" spans="1:20" ht="27.6" x14ac:dyDescent="0.3">
      <c r="A42" s="82"/>
      <c r="B42" s="108" t="s">
        <v>501</v>
      </c>
      <c r="C42" s="116" t="s">
        <v>504</v>
      </c>
      <c r="D42" s="112" t="s">
        <v>433</v>
      </c>
      <c r="E42" s="177"/>
      <c r="F42" s="110" t="s">
        <v>474</v>
      </c>
      <c r="G42" s="170"/>
      <c r="H42" s="168" t="s">
        <v>176</v>
      </c>
      <c r="I42" s="189"/>
      <c r="J42" s="110" t="s">
        <v>204</v>
      </c>
      <c r="K42" s="242"/>
      <c r="L42" s="110" t="s">
        <v>1056</v>
      </c>
      <c r="N42" s="369"/>
      <c r="P42" s="369"/>
      <c r="R42" s="369"/>
      <c r="T42" s="369"/>
    </row>
    <row r="43" spans="1:20" ht="15" thickBot="1" x14ac:dyDescent="0.35">
      <c r="A43" s="82"/>
      <c r="B43" s="173" t="s">
        <v>282</v>
      </c>
      <c r="C43" s="171" t="s">
        <v>265</v>
      </c>
      <c r="D43" s="171"/>
      <c r="E43" s="178"/>
      <c r="F43" s="174" t="s">
        <v>266</v>
      </c>
      <c r="G43" s="172"/>
      <c r="H43" s="171" t="s">
        <v>267</v>
      </c>
      <c r="I43" s="178"/>
      <c r="J43" s="174"/>
      <c r="K43" s="126"/>
      <c r="L43" s="174" t="s">
        <v>283</v>
      </c>
      <c r="N43" s="369"/>
      <c r="P43" s="369"/>
      <c r="R43" s="369"/>
      <c r="T43" s="369"/>
    </row>
    <row r="44" spans="1:20" ht="15" thickTop="1" x14ac:dyDescent="0.3">
      <c r="A44" s="82"/>
      <c r="B44" s="124" t="s">
        <v>218</v>
      </c>
      <c r="C44" s="85" t="s">
        <v>197</v>
      </c>
      <c r="D44" s="372" t="s">
        <v>792</v>
      </c>
      <c r="E44" s="420"/>
      <c r="F44" s="192" t="s">
        <v>815</v>
      </c>
      <c r="G44" s="423"/>
      <c r="H44" s="714">
        <v>0.8</v>
      </c>
      <c r="I44" s="409" t="s">
        <v>14</v>
      </c>
      <c r="J44" s="410" t="s">
        <v>14</v>
      </c>
      <c r="K44" s="134"/>
      <c r="L44" s="146" t="s">
        <v>284</v>
      </c>
      <c r="N44" s="369"/>
      <c r="P44" s="369"/>
      <c r="R44" s="369"/>
      <c r="T44" s="369"/>
    </row>
    <row r="45" spans="1:20" x14ac:dyDescent="0.3">
      <c r="A45" s="82"/>
      <c r="B45" s="124" t="s">
        <v>219</v>
      </c>
      <c r="C45" s="85" t="s">
        <v>199</v>
      </c>
      <c r="D45" s="372" t="s">
        <v>792</v>
      </c>
      <c r="E45" s="418"/>
      <c r="F45" s="192" t="s">
        <v>815</v>
      </c>
      <c r="G45" s="424"/>
      <c r="H45" s="714">
        <v>0.8</v>
      </c>
      <c r="I45" s="409" t="s">
        <v>14</v>
      </c>
      <c r="J45" s="410" t="s">
        <v>14</v>
      </c>
      <c r="K45" s="136"/>
      <c r="L45" s="146" t="s">
        <v>284</v>
      </c>
      <c r="N45" s="369"/>
      <c r="P45" s="369"/>
      <c r="R45" s="369"/>
      <c r="T45" s="369"/>
    </row>
    <row r="46" spans="1:20" x14ac:dyDescent="0.3">
      <c r="A46" s="82"/>
      <c r="B46" s="124" t="s">
        <v>220</v>
      </c>
      <c r="C46" s="85" t="s">
        <v>200</v>
      </c>
      <c r="D46" s="57" t="s">
        <v>792</v>
      </c>
      <c r="E46" s="418"/>
      <c r="F46" s="192" t="s">
        <v>815</v>
      </c>
      <c r="G46" s="424"/>
      <c r="H46" s="714">
        <v>0.8</v>
      </c>
      <c r="I46" s="409" t="s">
        <v>14</v>
      </c>
      <c r="J46" s="410" t="s">
        <v>14</v>
      </c>
      <c r="K46" s="136"/>
      <c r="L46" s="146" t="s">
        <v>284</v>
      </c>
      <c r="N46" s="369"/>
      <c r="P46" s="369"/>
      <c r="R46" s="369"/>
      <c r="T46" s="369"/>
    </row>
    <row r="47" spans="1:20" x14ac:dyDescent="0.3">
      <c r="A47" s="82"/>
      <c r="B47" s="124" t="s">
        <v>221</v>
      </c>
      <c r="C47" s="85" t="s">
        <v>201</v>
      </c>
      <c r="D47" s="57" t="s">
        <v>792</v>
      </c>
      <c r="E47" s="419"/>
      <c r="F47" s="192" t="s">
        <v>815</v>
      </c>
      <c r="G47" s="425"/>
      <c r="H47" s="714">
        <v>0.8</v>
      </c>
      <c r="I47" s="409" t="s">
        <v>14</v>
      </c>
      <c r="J47" s="410" t="s">
        <v>14</v>
      </c>
      <c r="K47" s="240"/>
      <c r="L47" s="146" t="s">
        <v>284</v>
      </c>
      <c r="N47" s="369"/>
      <c r="P47" s="369"/>
      <c r="R47" s="369"/>
      <c r="T47" s="369"/>
    </row>
    <row r="48" spans="1:20" x14ac:dyDescent="0.3">
      <c r="A48" s="82"/>
      <c r="B48" s="175" t="s">
        <v>520</v>
      </c>
      <c r="C48" s="150" t="s">
        <v>198</v>
      </c>
      <c r="D48" s="476" t="s">
        <v>435</v>
      </c>
      <c r="E48" s="417"/>
      <c r="F48" s="193" t="s">
        <v>815</v>
      </c>
      <c r="G48" s="426"/>
      <c r="H48" s="427">
        <f>0.0051427*(78.8)+0.3989</f>
        <v>0.80414476000000001</v>
      </c>
      <c r="I48" s="411" t="s">
        <v>14</v>
      </c>
      <c r="J48" s="412" t="s">
        <v>14</v>
      </c>
      <c r="K48" s="153"/>
      <c r="L48" s="155" t="s">
        <v>284</v>
      </c>
      <c r="N48" s="369"/>
      <c r="P48" s="369"/>
      <c r="R48" s="369"/>
      <c r="T48" s="369"/>
    </row>
    <row r="49" spans="1:22" x14ac:dyDescent="0.3">
      <c r="A49" s="82"/>
      <c r="B49" s="384"/>
      <c r="C49" s="384"/>
      <c r="D49" s="397"/>
      <c r="E49" s="362"/>
      <c r="F49" s="397"/>
      <c r="G49" s="362"/>
      <c r="H49" s="397"/>
      <c r="I49" s="362"/>
      <c r="J49" s="397"/>
      <c r="K49" s="362"/>
      <c r="L49" s="397"/>
      <c r="N49" s="369"/>
      <c r="P49" s="369"/>
      <c r="R49" s="369"/>
      <c r="T49" s="369"/>
    </row>
    <row r="50" spans="1:22" x14ac:dyDescent="0.3">
      <c r="A50" s="82"/>
      <c r="B50" s="83"/>
      <c r="C50" s="86"/>
      <c r="D50" s="82"/>
      <c r="E50" s="84"/>
      <c r="F50" s="82"/>
      <c r="G50" s="84"/>
      <c r="H50" s="82"/>
      <c r="I50" s="84"/>
      <c r="J50" s="82"/>
      <c r="K50" s="84"/>
      <c r="L50" s="82"/>
      <c r="M50" s="84"/>
      <c r="N50" s="82"/>
      <c r="O50" s="84"/>
      <c r="P50" s="82"/>
      <c r="Q50" s="84"/>
      <c r="R50" s="82"/>
      <c r="S50" s="84"/>
      <c r="T50" s="82"/>
    </row>
    <row r="51" spans="1:22" ht="27.6" x14ac:dyDescent="0.3">
      <c r="A51" s="82"/>
      <c r="B51" s="108" t="s">
        <v>501</v>
      </c>
      <c r="C51" s="116" t="s">
        <v>506</v>
      </c>
      <c r="D51" s="116" t="s">
        <v>433</v>
      </c>
      <c r="E51" s="177"/>
      <c r="F51" s="110" t="s">
        <v>184</v>
      </c>
      <c r="G51" s="113"/>
      <c r="H51" s="168" t="s">
        <v>277</v>
      </c>
      <c r="I51" s="125"/>
      <c r="J51" s="110" t="s">
        <v>511</v>
      </c>
      <c r="K51" s="125"/>
      <c r="L51" s="110" t="s">
        <v>183</v>
      </c>
      <c r="M51" s="168"/>
      <c r="N51" s="113" t="s">
        <v>205</v>
      </c>
      <c r="O51" s="189"/>
      <c r="P51" s="110" t="s">
        <v>507</v>
      </c>
      <c r="Q51" s="168"/>
      <c r="R51" s="168" t="s">
        <v>206</v>
      </c>
      <c r="S51" s="189"/>
      <c r="T51" s="110" t="s">
        <v>182</v>
      </c>
      <c r="U51" s="84"/>
      <c r="V51" s="369"/>
    </row>
    <row r="52" spans="1:22" ht="15" thickBot="1" x14ac:dyDescent="0.35">
      <c r="A52" s="82"/>
      <c r="B52" s="173" t="s">
        <v>282</v>
      </c>
      <c r="C52" s="171" t="s">
        <v>269</v>
      </c>
      <c r="D52" s="171"/>
      <c r="E52" s="178"/>
      <c r="F52" s="174" t="s">
        <v>270</v>
      </c>
      <c r="G52" s="172"/>
      <c r="H52" s="171" t="s">
        <v>271</v>
      </c>
      <c r="I52" s="178"/>
      <c r="J52" s="174"/>
      <c r="K52" s="178"/>
      <c r="L52" s="174" t="s">
        <v>272</v>
      </c>
      <c r="M52" s="172"/>
      <c r="N52" s="171" t="s">
        <v>273</v>
      </c>
      <c r="O52" s="178"/>
      <c r="P52" s="174" t="s">
        <v>274</v>
      </c>
      <c r="Q52" s="172"/>
      <c r="R52" s="171" t="s">
        <v>275</v>
      </c>
      <c r="S52" s="178"/>
      <c r="T52" s="174" t="s">
        <v>276</v>
      </c>
      <c r="U52" s="84"/>
      <c r="V52" s="369"/>
    </row>
    <row r="53" spans="1:22" ht="15" thickTop="1" x14ac:dyDescent="0.3">
      <c r="A53" s="82"/>
      <c r="B53" s="124" t="s">
        <v>218</v>
      </c>
      <c r="C53" s="85" t="s">
        <v>177</v>
      </c>
      <c r="D53" s="85" t="s">
        <v>792</v>
      </c>
      <c r="E53" s="420"/>
      <c r="F53" s="146" t="s">
        <v>485</v>
      </c>
      <c r="G53" s="420"/>
      <c r="H53" s="85" t="s">
        <v>278</v>
      </c>
      <c r="I53" s="409" t="s">
        <v>14</v>
      </c>
      <c r="J53" s="410" t="s">
        <v>14</v>
      </c>
      <c r="K53" s="134"/>
      <c r="L53" s="197">
        <v>1.6</v>
      </c>
      <c r="M53" s="428" t="s">
        <v>14</v>
      </c>
      <c r="N53" s="428" t="s">
        <v>14</v>
      </c>
      <c r="O53" s="409" t="s">
        <v>14</v>
      </c>
      <c r="P53" s="410" t="s">
        <v>14</v>
      </c>
      <c r="Q53" s="200" t="s">
        <v>919</v>
      </c>
      <c r="R53" s="90">
        <v>2</v>
      </c>
      <c r="S53" s="203" t="s">
        <v>919</v>
      </c>
      <c r="T53" s="194">
        <v>0.86499999999999999</v>
      </c>
      <c r="U53" s="84"/>
      <c r="V53" s="369"/>
    </row>
    <row r="54" spans="1:22" x14ac:dyDescent="0.3">
      <c r="A54" s="82"/>
      <c r="B54" s="124" t="s">
        <v>219</v>
      </c>
      <c r="C54" s="85" t="s">
        <v>179</v>
      </c>
      <c r="D54" s="85" t="s">
        <v>792</v>
      </c>
      <c r="E54" s="418"/>
      <c r="F54" s="146" t="s">
        <v>485</v>
      </c>
      <c r="G54" s="418"/>
      <c r="H54" s="85" t="s">
        <v>278</v>
      </c>
      <c r="I54" s="409" t="s">
        <v>14</v>
      </c>
      <c r="J54" s="410" t="s">
        <v>14</v>
      </c>
      <c r="K54" s="136"/>
      <c r="L54" s="198">
        <v>0.8</v>
      </c>
      <c r="M54" s="428" t="s">
        <v>14</v>
      </c>
      <c r="N54" s="428" t="s">
        <v>14</v>
      </c>
      <c r="O54" s="409" t="s">
        <v>14</v>
      </c>
      <c r="P54" s="410" t="s">
        <v>14</v>
      </c>
      <c r="Q54" s="201" t="s">
        <v>919</v>
      </c>
      <c r="R54" s="90">
        <v>1</v>
      </c>
      <c r="S54" s="140" t="s">
        <v>919</v>
      </c>
      <c r="T54" s="194">
        <v>0.85499999999999998</v>
      </c>
      <c r="U54" s="84"/>
      <c r="V54" s="369"/>
    </row>
    <row r="55" spans="1:22" x14ac:dyDescent="0.3">
      <c r="A55" s="82"/>
      <c r="B55" s="124" t="s">
        <v>220</v>
      </c>
      <c r="C55" s="85" t="s">
        <v>180</v>
      </c>
      <c r="D55" s="85" t="s">
        <v>792</v>
      </c>
      <c r="E55" s="418"/>
      <c r="F55" s="146" t="s">
        <v>485</v>
      </c>
      <c r="G55" s="418"/>
      <c r="H55" s="85" t="s">
        <v>278</v>
      </c>
      <c r="I55" s="409" t="s">
        <v>14</v>
      </c>
      <c r="J55" s="410" t="s">
        <v>14</v>
      </c>
      <c r="K55" s="136"/>
      <c r="L55" s="197">
        <v>1.2</v>
      </c>
      <c r="M55" s="428" t="s">
        <v>14</v>
      </c>
      <c r="N55" s="428" t="s">
        <v>14</v>
      </c>
      <c r="O55" s="409" t="s">
        <v>14</v>
      </c>
      <c r="P55" s="410" t="s">
        <v>14</v>
      </c>
      <c r="Q55" s="201" t="s">
        <v>919</v>
      </c>
      <c r="R55" s="90">
        <v>1.5</v>
      </c>
      <c r="S55" s="140" t="s">
        <v>919</v>
      </c>
      <c r="T55" s="194">
        <v>0.85499999999999998</v>
      </c>
      <c r="U55" s="84"/>
      <c r="V55" s="369"/>
    </row>
    <row r="56" spans="1:22" x14ac:dyDescent="0.3">
      <c r="A56" s="82"/>
      <c r="B56" s="124" t="s">
        <v>221</v>
      </c>
      <c r="C56" s="85" t="s">
        <v>181</v>
      </c>
      <c r="D56" s="85" t="s">
        <v>792</v>
      </c>
      <c r="E56" s="419"/>
      <c r="F56" s="146" t="s">
        <v>485</v>
      </c>
      <c r="G56" s="419"/>
      <c r="H56" s="85" t="s">
        <v>278</v>
      </c>
      <c r="I56" s="409" t="s">
        <v>14</v>
      </c>
      <c r="J56" s="410" t="s">
        <v>14</v>
      </c>
      <c r="K56" s="240"/>
      <c r="L56" s="197">
        <v>0.8</v>
      </c>
      <c r="M56" s="428"/>
      <c r="N56" s="428"/>
      <c r="O56" s="409"/>
      <c r="P56" s="410"/>
      <c r="Q56" s="248" t="s">
        <v>919</v>
      </c>
      <c r="R56" s="90">
        <v>1</v>
      </c>
      <c r="S56" s="250" t="s">
        <v>919</v>
      </c>
      <c r="T56" s="194">
        <v>0.85499999999999998</v>
      </c>
      <c r="U56" s="84"/>
      <c r="V56" s="369"/>
    </row>
    <row r="57" spans="1:22" x14ac:dyDescent="0.3">
      <c r="A57" s="82"/>
      <c r="B57" s="175" t="s">
        <v>520</v>
      </c>
      <c r="C57" s="150" t="s">
        <v>178</v>
      </c>
      <c r="D57" s="150" t="s">
        <v>435</v>
      </c>
      <c r="E57" s="417"/>
      <c r="F57" s="155" t="s">
        <v>185</v>
      </c>
      <c r="G57" s="417"/>
      <c r="H57" s="150" t="s">
        <v>278</v>
      </c>
      <c r="I57" s="411" t="s">
        <v>14</v>
      </c>
      <c r="J57" s="412" t="s">
        <v>14</v>
      </c>
      <c r="K57" s="153"/>
      <c r="L57" s="199">
        <v>1.1200000000000001</v>
      </c>
      <c r="M57" s="432" t="s">
        <v>14</v>
      </c>
      <c r="N57" s="432" t="s">
        <v>14</v>
      </c>
      <c r="O57" s="411" t="s">
        <v>14</v>
      </c>
      <c r="P57" s="412" t="s">
        <v>14</v>
      </c>
      <c r="Q57" s="202" t="s">
        <v>919</v>
      </c>
      <c r="R57" s="195">
        <v>1.5</v>
      </c>
      <c r="S57" s="204" t="s">
        <v>919</v>
      </c>
      <c r="T57" s="196">
        <v>0.85499999999999998</v>
      </c>
      <c r="U57" s="84"/>
      <c r="V57" s="369"/>
    </row>
    <row r="58" spans="1:22" x14ac:dyDescent="0.3">
      <c r="A58" s="82"/>
      <c r="B58" s="82"/>
      <c r="C58" s="384"/>
      <c r="D58" s="82"/>
      <c r="E58" s="82"/>
      <c r="F58" s="82"/>
      <c r="G58" s="82"/>
      <c r="H58" s="82"/>
      <c r="I58" s="82"/>
      <c r="J58" s="82"/>
      <c r="K58" s="82"/>
      <c r="L58" s="82"/>
      <c r="M58" s="82"/>
      <c r="N58" s="82"/>
      <c r="O58" s="82"/>
      <c r="P58" s="82"/>
      <c r="Q58" s="82"/>
      <c r="R58" s="82"/>
      <c r="S58" s="82"/>
      <c r="T58" s="369"/>
    </row>
    <row r="59" spans="1:22" x14ac:dyDescent="0.3">
      <c r="A59" s="82"/>
      <c r="B59" s="85"/>
      <c r="C59" s="83"/>
      <c r="D59" s="397"/>
      <c r="E59" s="82"/>
      <c r="F59" s="82"/>
      <c r="G59" s="82"/>
      <c r="H59" s="82"/>
      <c r="I59" s="82"/>
      <c r="J59" s="82"/>
      <c r="K59" s="82"/>
      <c r="L59" s="82"/>
      <c r="M59" s="82"/>
      <c r="N59" s="82"/>
      <c r="O59" s="82"/>
      <c r="P59" s="82"/>
      <c r="Q59" s="82"/>
      <c r="R59" s="82"/>
      <c r="S59" s="82"/>
      <c r="T59" s="82"/>
    </row>
    <row r="60" spans="1:22" x14ac:dyDescent="0.3">
      <c r="A60" s="82"/>
      <c r="B60" s="108" t="s">
        <v>505</v>
      </c>
      <c r="C60" s="113" t="s">
        <v>291</v>
      </c>
      <c r="D60" s="373"/>
      <c r="E60" s="207"/>
      <c r="F60" s="142" t="s">
        <v>292</v>
      </c>
      <c r="G60" s="125"/>
      <c r="H60" s="142" t="s">
        <v>293</v>
      </c>
      <c r="I60" s="82"/>
      <c r="J60" s="82"/>
      <c r="K60" s="82"/>
      <c r="L60" s="82"/>
      <c r="M60" s="397"/>
      <c r="N60" s="397"/>
      <c r="O60" s="397"/>
      <c r="P60" s="397"/>
      <c r="Q60" s="397"/>
      <c r="R60" s="397"/>
      <c r="S60" s="397"/>
      <c r="T60" s="397"/>
    </row>
    <row r="61" spans="1:22" ht="15" thickBot="1" x14ac:dyDescent="0.35">
      <c r="A61" s="82"/>
      <c r="B61" s="173" t="s">
        <v>268</v>
      </c>
      <c r="C61" s="171" t="s">
        <v>286</v>
      </c>
      <c r="D61" s="376"/>
      <c r="E61" s="208"/>
      <c r="F61" s="174" t="s">
        <v>287</v>
      </c>
      <c r="G61" s="208"/>
      <c r="H61" s="174" t="s">
        <v>288</v>
      </c>
      <c r="I61" s="82"/>
      <c r="J61" s="82"/>
      <c r="K61" s="82"/>
      <c r="L61" s="82"/>
      <c r="M61" s="397"/>
      <c r="N61" s="397"/>
      <c r="O61" s="397"/>
      <c r="P61" s="397"/>
      <c r="Q61" s="397"/>
      <c r="R61" s="397"/>
      <c r="S61" s="397"/>
      <c r="T61" s="397"/>
    </row>
    <row r="62" spans="1:22" ht="15" thickTop="1" x14ac:dyDescent="0.3">
      <c r="A62" s="82"/>
      <c r="B62" s="124" t="s">
        <v>168</v>
      </c>
      <c r="C62" s="85" t="s">
        <v>297</v>
      </c>
      <c r="E62" s="420"/>
      <c r="F62" s="146" t="s">
        <v>298</v>
      </c>
      <c r="G62" s="420"/>
      <c r="H62" s="146" t="s">
        <v>299</v>
      </c>
      <c r="I62" s="82"/>
      <c r="J62" s="82"/>
      <c r="K62" s="82"/>
      <c r="L62" s="82"/>
      <c r="M62" s="397"/>
      <c r="N62" s="397"/>
      <c r="O62" s="397"/>
      <c r="P62" s="397"/>
      <c r="Q62" s="397"/>
      <c r="R62" s="397"/>
      <c r="S62" s="397"/>
      <c r="T62" s="397"/>
    </row>
    <row r="63" spans="1:22" x14ac:dyDescent="0.3">
      <c r="A63" s="82"/>
      <c r="B63" s="124" t="s">
        <v>170</v>
      </c>
      <c r="C63" s="85" t="s">
        <v>297</v>
      </c>
      <c r="E63" s="418"/>
      <c r="F63" s="146" t="s">
        <v>298</v>
      </c>
      <c r="G63" s="418"/>
      <c r="H63" s="146" t="s">
        <v>299</v>
      </c>
      <c r="I63" s="82"/>
      <c r="J63" s="82"/>
      <c r="K63" s="82"/>
      <c r="L63" s="82"/>
      <c r="M63" s="397"/>
      <c r="N63" s="397"/>
      <c r="O63" s="397"/>
      <c r="P63" s="397"/>
      <c r="Q63" s="397"/>
      <c r="R63" s="397"/>
      <c r="S63" s="397"/>
      <c r="T63" s="397"/>
    </row>
    <row r="64" spans="1:22" x14ac:dyDescent="0.3">
      <c r="A64" s="82"/>
      <c r="B64" s="124" t="s">
        <v>171</v>
      </c>
      <c r="C64" s="85" t="s">
        <v>297</v>
      </c>
      <c r="E64" s="418"/>
      <c r="F64" s="146" t="s">
        <v>298</v>
      </c>
      <c r="G64" s="418"/>
      <c r="H64" s="146" t="s">
        <v>299</v>
      </c>
      <c r="I64" s="82"/>
      <c r="J64" s="82"/>
      <c r="K64" s="82"/>
      <c r="L64" s="82"/>
      <c r="M64" s="397"/>
      <c r="N64" s="397"/>
      <c r="O64" s="397"/>
      <c r="P64" s="397"/>
      <c r="Q64" s="397"/>
      <c r="R64" s="397"/>
      <c r="S64" s="397"/>
      <c r="T64" s="397"/>
    </row>
    <row r="65" spans="1:20" x14ac:dyDescent="0.3">
      <c r="A65" s="82"/>
      <c r="B65" s="124" t="s">
        <v>172</v>
      </c>
      <c r="C65" s="85" t="s">
        <v>297</v>
      </c>
      <c r="E65" s="419"/>
      <c r="F65" s="146" t="s">
        <v>298</v>
      </c>
      <c r="G65" s="419"/>
      <c r="H65" s="146" t="s">
        <v>299</v>
      </c>
      <c r="I65" s="82"/>
      <c r="J65" s="82"/>
      <c r="K65" s="82"/>
      <c r="L65" s="82"/>
      <c r="M65" s="397"/>
      <c r="N65" s="397"/>
      <c r="O65" s="397"/>
      <c r="P65" s="397"/>
      <c r="Q65" s="397"/>
      <c r="R65" s="397"/>
      <c r="S65" s="397"/>
      <c r="T65" s="397"/>
    </row>
    <row r="66" spans="1:20" x14ac:dyDescent="0.3">
      <c r="A66" s="82"/>
      <c r="B66" s="175" t="s">
        <v>169</v>
      </c>
      <c r="C66" s="150" t="s">
        <v>297</v>
      </c>
      <c r="D66" s="151"/>
      <c r="E66" s="417"/>
      <c r="F66" s="155" t="s">
        <v>298</v>
      </c>
      <c r="G66" s="417"/>
      <c r="H66" s="155" t="s">
        <v>299</v>
      </c>
      <c r="I66" s="82"/>
      <c r="J66" s="82"/>
      <c r="K66" s="82"/>
      <c r="L66" s="82"/>
      <c r="M66" s="397"/>
      <c r="N66" s="397"/>
      <c r="O66" s="397"/>
      <c r="P66" s="397"/>
      <c r="Q66" s="397"/>
      <c r="R66" s="397"/>
      <c r="S66" s="397"/>
      <c r="T66" s="397"/>
    </row>
    <row r="67" spans="1:20" x14ac:dyDescent="0.3">
      <c r="A67" s="397"/>
      <c r="B67" s="397"/>
      <c r="C67" s="397"/>
      <c r="D67" s="397"/>
      <c r="E67" s="362"/>
      <c r="F67" s="397"/>
      <c r="G67" s="362"/>
      <c r="H67" s="397"/>
      <c r="I67" s="362"/>
      <c r="J67" s="397"/>
      <c r="K67" s="362"/>
      <c r="L67" s="397"/>
      <c r="M67" s="362"/>
      <c r="N67" s="397"/>
      <c r="O67" s="121"/>
      <c r="P67" s="111"/>
      <c r="Q67" s="362"/>
      <c r="R67" s="397"/>
      <c r="S67" s="362"/>
      <c r="T67" s="397"/>
    </row>
    <row r="68" spans="1:20" x14ac:dyDescent="0.3">
      <c r="A68" s="397"/>
      <c r="B68" s="397"/>
      <c r="C68" s="397"/>
      <c r="D68" s="397"/>
      <c r="E68" s="362"/>
      <c r="F68" s="397"/>
      <c r="G68" s="362"/>
      <c r="H68" s="397"/>
      <c r="I68" s="362"/>
      <c r="J68" s="397"/>
      <c r="K68" s="362"/>
      <c r="L68" s="397"/>
      <c r="M68" s="362"/>
      <c r="N68" s="397"/>
      <c r="O68" s="362"/>
      <c r="P68" s="397"/>
      <c r="Q68" s="362"/>
      <c r="R68" s="397"/>
      <c r="S68" s="362"/>
      <c r="T68" s="397"/>
    </row>
    <row r="69" spans="1:20" s="86" customFormat="1" ht="13.8" x14ac:dyDescent="0.3">
      <c r="A69" s="291"/>
      <c r="B69" s="291" t="s">
        <v>48</v>
      </c>
      <c r="C69" s="292"/>
      <c r="D69" s="290"/>
      <c r="E69" s="292"/>
      <c r="F69" s="290"/>
      <c r="G69" s="293"/>
      <c r="H69" s="290"/>
      <c r="I69" s="292"/>
      <c r="J69" s="290"/>
      <c r="K69" s="292"/>
      <c r="L69" s="290"/>
      <c r="M69" s="290"/>
      <c r="N69" s="290"/>
      <c r="O69" s="292"/>
      <c r="P69" s="290"/>
      <c r="Q69" s="292"/>
      <c r="R69" s="292"/>
      <c r="S69" s="292"/>
      <c r="T69" s="292"/>
    </row>
    <row r="70" spans="1:20" s="86" customFormat="1" ht="13.8" x14ac:dyDescent="0.3">
      <c r="A70" s="24"/>
      <c r="B70" s="24" t="s">
        <v>9</v>
      </c>
      <c r="C70" s="87"/>
      <c r="E70" s="84"/>
      <c r="F70" s="369"/>
      <c r="G70" s="84"/>
      <c r="H70" s="369"/>
      <c r="I70" s="84"/>
      <c r="J70" s="369"/>
      <c r="K70" s="84"/>
      <c r="L70" s="369"/>
      <c r="M70" s="84"/>
      <c r="N70" s="369"/>
      <c r="O70" s="84"/>
      <c r="P70" s="369"/>
      <c r="Q70" s="84"/>
      <c r="R70" s="63"/>
      <c r="S70" s="84"/>
      <c r="T70" s="63"/>
    </row>
    <row r="71" spans="1:20" x14ac:dyDescent="0.3">
      <c r="A71" s="82"/>
      <c r="B71" s="83" t="s">
        <v>18</v>
      </c>
    </row>
    <row r="72" spans="1:20" ht="27.6" x14ac:dyDescent="0.3">
      <c r="A72" s="82"/>
      <c r="B72" s="216" t="s">
        <v>137</v>
      </c>
      <c r="C72" s="116" t="s">
        <v>31</v>
      </c>
      <c r="D72" s="112" t="s">
        <v>433</v>
      </c>
      <c r="E72" s="190"/>
      <c r="F72" s="109" t="s">
        <v>11</v>
      </c>
      <c r="G72" s="183"/>
      <c r="H72" s="116" t="s">
        <v>495</v>
      </c>
      <c r="I72" s="190"/>
      <c r="J72" s="109" t="s">
        <v>22</v>
      </c>
      <c r="K72" s="183"/>
      <c r="L72" s="109" t="s">
        <v>39</v>
      </c>
      <c r="M72" s="34"/>
      <c r="N72" s="77"/>
      <c r="O72" s="34"/>
      <c r="P72" s="77"/>
      <c r="Q72" s="34"/>
      <c r="R72" s="77"/>
      <c r="S72" s="34"/>
      <c r="T72" s="77"/>
    </row>
    <row r="73" spans="1:20" ht="15" thickBot="1" x14ac:dyDescent="0.35">
      <c r="A73" s="82"/>
      <c r="B73" s="126"/>
      <c r="C73" s="117" t="s">
        <v>46</v>
      </c>
      <c r="D73" s="118"/>
      <c r="E73" s="133"/>
      <c r="F73" s="143" t="s">
        <v>26</v>
      </c>
      <c r="G73" s="119"/>
      <c r="H73" s="117" t="s">
        <v>47</v>
      </c>
      <c r="I73" s="139"/>
      <c r="J73" s="143" t="s">
        <v>28</v>
      </c>
      <c r="K73" s="118"/>
      <c r="L73" s="143" t="s">
        <v>29</v>
      </c>
      <c r="M73" s="76"/>
      <c r="N73" s="29"/>
      <c r="O73" s="76"/>
      <c r="P73" s="29"/>
      <c r="Q73" s="29"/>
      <c r="R73" s="29"/>
      <c r="S73" s="29"/>
      <c r="T73" s="29"/>
    </row>
    <row r="74" spans="1:20" s="362" customFormat="1" thickTop="1" x14ac:dyDescent="0.3">
      <c r="A74" s="82"/>
      <c r="B74" s="123" t="s">
        <v>20</v>
      </c>
      <c r="C74" s="369" t="s">
        <v>483</v>
      </c>
      <c r="D74" s="369" t="s">
        <v>521</v>
      </c>
      <c r="E74" s="134"/>
      <c r="F74" s="367" t="s">
        <v>19</v>
      </c>
      <c r="G74" s="141"/>
      <c r="H74" s="85">
        <v>0.47</v>
      </c>
      <c r="I74" s="134"/>
      <c r="J74" s="146">
        <v>0.31</v>
      </c>
      <c r="K74" s="141"/>
      <c r="L74" s="146">
        <v>0.42</v>
      </c>
      <c r="M74" s="369"/>
      <c r="N74" s="85"/>
      <c r="O74" s="369"/>
      <c r="P74" s="85"/>
      <c r="Q74" s="369"/>
      <c r="R74" s="85"/>
      <c r="S74" s="369"/>
      <c r="T74" s="85"/>
    </row>
    <row r="75" spans="1:20" s="362" customFormat="1" ht="13.8" x14ac:dyDescent="0.3">
      <c r="A75" s="82"/>
      <c r="B75" s="149" t="s">
        <v>20</v>
      </c>
      <c r="C75" s="151" t="s">
        <v>484</v>
      </c>
      <c r="D75" s="158" t="s">
        <v>436</v>
      </c>
      <c r="E75" s="153"/>
      <c r="F75" s="166" t="s">
        <v>19</v>
      </c>
      <c r="G75" s="169"/>
      <c r="H75" s="150">
        <v>0.55000000000000004</v>
      </c>
      <c r="I75" s="153"/>
      <c r="J75" s="163">
        <v>0.56000000000000005</v>
      </c>
      <c r="K75" s="169"/>
      <c r="L75" s="163">
        <v>0.6</v>
      </c>
      <c r="M75" s="369"/>
      <c r="N75" s="85"/>
      <c r="O75" s="369"/>
      <c r="P75" s="85"/>
      <c r="Q75" s="369"/>
      <c r="R75" s="85"/>
      <c r="S75" s="369"/>
      <c r="T75" s="85"/>
    </row>
    <row r="76" spans="1:20" x14ac:dyDescent="0.3">
      <c r="C76" s="371"/>
      <c r="D76" s="378"/>
      <c r="E76" s="369"/>
      <c r="G76" s="369"/>
      <c r="H76" s="85"/>
    </row>
    <row r="77" spans="1:20" s="83" customFormat="1" ht="27.6" x14ac:dyDescent="0.3">
      <c r="D77" s="216" t="s">
        <v>137</v>
      </c>
      <c r="E77" s="190"/>
      <c r="F77" s="109" t="s">
        <v>512</v>
      </c>
      <c r="G77" s="183"/>
      <c r="H77" s="116" t="s">
        <v>513</v>
      </c>
      <c r="I77" s="190"/>
      <c r="J77" s="109" t="s">
        <v>514</v>
      </c>
      <c r="K77" s="183"/>
      <c r="L77" s="116" t="s">
        <v>515</v>
      </c>
      <c r="M77" s="190"/>
      <c r="N77" s="109" t="s">
        <v>516</v>
      </c>
      <c r="O77" s="39"/>
      <c r="P77" s="15"/>
      <c r="Q77" s="15"/>
      <c r="R77" s="15"/>
      <c r="S77" s="15"/>
      <c r="T77" s="15"/>
    </row>
    <row r="78" spans="1:20" s="369" customFormat="1" thickBot="1" x14ac:dyDescent="0.35">
      <c r="D78" s="236"/>
      <c r="E78" s="237"/>
      <c r="F78" s="238" t="s">
        <v>65</v>
      </c>
      <c r="G78" s="224"/>
      <c r="H78" s="118" t="s">
        <v>66</v>
      </c>
      <c r="I78" s="237"/>
      <c r="J78" s="101" t="s">
        <v>67</v>
      </c>
      <c r="K78" s="224"/>
      <c r="L78" s="215" t="s">
        <v>68</v>
      </c>
      <c r="M78" s="237"/>
      <c r="N78" s="101" t="s">
        <v>69</v>
      </c>
      <c r="O78" s="63"/>
      <c r="P78" s="63"/>
      <c r="Q78" s="63"/>
      <c r="R78" s="63"/>
      <c r="S78" s="63"/>
      <c r="T78" s="63"/>
    </row>
    <row r="79" spans="1:20" s="378" customFormat="1" thickTop="1" x14ac:dyDescent="0.3">
      <c r="C79" s="84"/>
      <c r="D79" s="233" t="s">
        <v>20</v>
      </c>
      <c r="E79" s="165"/>
      <c r="F79" s="235">
        <v>0.21</v>
      </c>
      <c r="G79" s="164"/>
      <c r="H79" s="234">
        <v>0.2</v>
      </c>
      <c r="I79" s="165"/>
      <c r="J79" s="234">
        <v>0.2</v>
      </c>
      <c r="K79" s="165"/>
      <c r="L79" s="234">
        <v>0.24</v>
      </c>
      <c r="M79" s="165"/>
      <c r="N79" s="235">
        <v>0.2</v>
      </c>
      <c r="O79" s="370"/>
      <c r="P79" s="370"/>
      <c r="Q79" s="370"/>
      <c r="R79" s="370"/>
      <c r="S79" s="370"/>
      <c r="T79" s="370"/>
    </row>
    <row r="80" spans="1:20" x14ac:dyDescent="0.3">
      <c r="A80" s="82"/>
      <c r="B80" s="83"/>
    </row>
    <row r="81" spans="1:25" x14ac:dyDescent="0.3">
      <c r="A81" s="82"/>
      <c r="B81" s="85"/>
      <c r="C81" s="83"/>
      <c r="D81" s="397"/>
      <c r="E81" s="369"/>
      <c r="F81" s="369"/>
      <c r="G81" s="369"/>
      <c r="H81" s="369"/>
      <c r="J81" s="369"/>
      <c r="L81" s="66"/>
      <c r="N81" s="66"/>
      <c r="P81" s="66"/>
      <c r="R81" s="66"/>
      <c r="T81" s="66"/>
    </row>
    <row r="82" spans="1:25" x14ac:dyDescent="0.3">
      <c r="A82" s="24"/>
      <c r="B82" s="24" t="s">
        <v>517</v>
      </c>
    </row>
    <row r="83" spans="1:25" ht="41.4" x14ac:dyDescent="0.3">
      <c r="A83" s="82"/>
      <c r="B83" s="108" t="s">
        <v>500</v>
      </c>
      <c r="C83" s="116" t="s">
        <v>501</v>
      </c>
      <c r="D83" s="112" t="s">
        <v>433</v>
      </c>
      <c r="E83" s="125"/>
      <c r="F83" s="142" t="s">
        <v>437</v>
      </c>
      <c r="G83" s="113"/>
      <c r="H83" s="168" t="s">
        <v>137</v>
      </c>
      <c r="I83" s="125"/>
      <c r="J83" s="110" t="s">
        <v>186</v>
      </c>
      <c r="K83" s="125"/>
      <c r="L83" s="142" t="s">
        <v>510</v>
      </c>
      <c r="M83" s="113"/>
      <c r="N83" s="113" t="s">
        <v>509</v>
      </c>
      <c r="O83" s="125"/>
      <c r="P83" s="142" t="s">
        <v>508</v>
      </c>
      <c r="Q83" s="75"/>
      <c r="R83" s="77"/>
      <c r="S83" s="75"/>
      <c r="T83" s="77"/>
    </row>
    <row r="84" spans="1:25" ht="15" thickBot="1" x14ac:dyDescent="0.35">
      <c r="A84" s="82"/>
      <c r="B84" s="173" t="s">
        <v>259</v>
      </c>
      <c r="C84" s="171" t="s">
        <v>258</v>
      </c>
      <c r="D84" s="376"/>
      <c r="E84" s="178"/>
      <c r="F84" s="174"/>
      <c r="G84" s="172"/>
      <c r="H84" s="174" t="s">
        <v>260</v>
      </c>
      <c r="I84" s="172"/>
      <c r="J84" s="174" t="s">
        <v>261</v>
      </c>
      <c r="K84" s="208"/>
      <c r="L84" s="174" t="s">
        <v>646</v>
      </c>
      <c r="M84" s="205"/>
      <c r="N84" s="171" t="s">
        <v>647</v>
      </c>
      <c r="O84" s="208"/>
      <c r="P84" s="174" t="s">
        <v>1387</v>
      </c>
      <c r="Q84" s="86"/>
      <c r="R84" s="82"/>
      <c r="S84" s="86"/>
      <c r="T84" s="82"/>
    </row>
    <row r="85" spans="1:25" ht="15" thickTop="1" x14ac:dyDescent="0.3">
      <c r="A85" s="82"/>
      <c r="B85" s="124" t="s">
        <v>168</v>
      </c>
      <c r="C85" s="85" t="s">
        <v>218</v>
      </c>
      <c r="D85" s="381" t="s">
        <v>436</v>
      </c>
      <c r="E85" s="409" t="s">
        <v>14</v>
      </c>
      <c r="F85" s="410" t="s">
        <v>14</v>
      </c>
      <c r="G85" s="141"/>
      <c r="H85" s="146" t="s">
        <v>167</v>
      </c>
      <c r="I85" s="141"/>
      <c r="J85" s="146" t="s">
        <v>187</v>
      </c>
      <c r="K85" s="141"/>
      <c r="L85" s="197">
        <v>55</v>
      </c>
      <c r="M85" s="141"/>
      <c r="N85" s="369">
        <v>95</v>
      </c>
      <c r="O85" s="349"/>
      <c r="P85" s="206" t="s">
        <v>300</v>
      </c>
      <c r="R85" s="369"/>
      <c r="T85" s="369"/>
    </row>
    <row r="86" spans="1:25" x14ac:dyDescent="0.3">
      <c r="A86" s="82"/>
      <c r="B86" s="124" t="s">
        <v>170</v>
      </c>
      <c r="C86" s="85" t="s">
        <v>219</v>
      </c>
      <c r="D86" s="381" t="s">
        <v>436</v>
      </c>
      <c r="E86" s="409" t="s">
        <v>14</v>
      </c>
      <c r="F86" s="410" t="s">
        <v>14</v>
      </c>
      <c r="G86" s="176"/>
      <c r="H86" s="146" t="s">
        <v>167</v>
      </c>
      <c r="I86" s="176"/>
      <c r="J86" s="146" t="s">
        <v>187</v>
      </c>
      <c r="K86" s="176"/>
      <c r="L86" s="206">
        <v>55</v>
      </c>
      <c r="M86" s="176"/>
      <c r="N86" s="369">
        <v>95</v>
      </c>
      <c r="O86" s="136"/>
      <c r="P86" s="206" t="s">
        <v>300</v>
      </c>
      <c r="R86" s="369"/>
      <c r="T86" s="369"/>
    </row>
    <row r="87" spans="1:25" ht="15" customHeight="1" x14ac:dyDescent="0.3">
      <c r="A87" s="82"/>
      <c r="B87" s="124" t="s">
        <v>171</v>
      </c>
      <c r="C87" s="85" t="s">
        <v>220</v>
      </c>
      <c r="D87" s="381" t="s">
        <v>436</v>
      </c>
      <c r="E87" s="409" t="s">
        <v>14</v>
      </c>
      <c r="F87" s="410" t="s">
        <v>14</v>
      </c>
      <c r="G87" s="176"/>
      <c r="H87" s="146" t="s">
        <v>167</v>
      </c>
      <c r="I87" s="176"/>
      <c r="J87" s="146" t="s">
        <v>187</v>
      </c>
      <c r="K87" s="176"/>
      <c r="L87" s="206">
        <v>55</v>
      </c>
      <c r="M87" s="176"/>
      <c r="N87" s="369">
        <v>95</v>
      </c>
      <c r="O87" s="136"/>
      <c r="P87" s="206" t="s">
        <v>300</v>
      </c>
      <c r="R87" s="369"/>
      <c r="T87" s="369"/>
    </row>
    <row r="88" spans="1:25" ht="15" customHeight="1" x14ac:dyDescent="0.3">
      <c r="A88" s="82"/>
      <c r="B88" s="124" t="s">
        <v>172</v>
      </c>
      <c r="C88" s="85" t="s">
        <v>221</v>
      </c>
      <c r="D88" s="381" t="s">
        <v>436</v>
      </c>
      <c r="E88" s="409"/>
      <c r="F88" s="410"/>
      <c r="G88" s="241"/>
      <c r="H88" s="146" t="s">
        <v>167</v>
      </c>
      <c r="I88" s="241"/>
      <c r="J88" s="146" t="s">
        <v>187</v>
      </c>
      <c r="K88" s="241"/>
      <c r="L88" s="206">
        <v>55</v>
      </c>
      <c r="M88" s="241"/>
      <c r="N88" s="369">
        <v>95</v>
      </c>
      <c r="O88" s="240"/>
      <c r="P88" s="206" t="s">
        <v>300</v>
      </c>
      <c r="R88" s="369"/>
      <c r="T88" s="369"/>
    </row>
    <row r="89" spans="1:25" x14ac:dyDescent="0.3">
      <c r="A89" s="82"/>
      <c r="B89" s="175" t="s">
        <v>169</v>
      </c>
      <c r="C89" s="150" t="s">
        <v>166</v>
      </c>
      <c r="D89" s="181" t="s">
        <v>435</v>
      </c>
      <c r="E89" s="179"/>
      <c r="F89" s="155" t="s">
        <v>519</v>
      </c>
      <c r="G89" s="169"/>
      <c r="H89" s="155" t="s">
        <v>167</v>
      </c>
      <c r="I89" s="169"/>
      <c r="J89" s="155" t="s">
        <v>187</v>
      </c>
      <c r="K89" s="169"/>
      <c r="L89" s="209">
        <v>55</v>
      </c>
      <c r="M89" s="169"/>
      <c r="N89" s="151">
        <v>95</v>
      </c>
      <c r="O89" s="153"/>
      <c r="P89" s="209" t="s">
        <v>300</v>
      </c>
      <c r="R89" s="369"/>
      <c r="T89" s="369"/>
    </row>
    <row r="90" spans="1:25" x14ac:dyDescent="0.3">
      <c r="A90" s="82"/>
      <c r="B90" s="77"/>
      <c r="C90" s="75"/>
      <c r="D90" s="29"/>
      <c r="E90" s="369"/>
      <c r="F90" s="369"/>
      <c r="G90" s="369"/>
      <c r="H90" s="369"/>
      <c r="J90" s="369"/>
      <c r="K90" s="84"/>
      <c r="L90" s="82"/>
      <c r="N90" s="369"/>
      <c r="P90" s="369"/>
      <c r="R90" s="369"/>
      <c r="T90" s="369"/>
      <c r="U90" s="369"/>
      <c r="V90" s="369"/>
      <c r="W90" s="369"/>
      <c r="X90" s="369"/>
      <c r="Y90" s="369"/>
    </row>
    <row r="91" spans="1:25" x14ac:dyDescent="0.3">
      <c r="A91" s="82"/>
      <c r="B91" s="77"/>
      <c r="C91" s="75"/>
      <c r="D91" s="29"/>
      <c r="E91" s="369"/>
      <c r="F91" s="369"/>
      <c r="G91" s="369"/>
      <c r="H91" s="369"/>
      <c r="J91" s="369"/>
      <c r="K91" s="84"/>
      <c r="L91" s="82"/>
      <c r="N91" s="369"/>
      <c r="P91" s="369"/>
      <c r="R91" s="369"/>
      <c r="T91" s="369"/>
      <c r="U91" s="369"/>
      <c r="V91" s="369"/>
      <c r="W91" s="369"/>
      <c r="X91" s="369"/>
      <c r="Y91" s="369"/>
    </row>
    <row r="92" spans="1:25" ht="25.5" customHeight="1" x14ac:dyDescent="0.3">
      <c r="A92" s="82"/>
      <c r="B92" s="189" t="s">
        <v>518</v>
      </c>
      <c r="C92" s="113" t="s">
        <v>502</v>
      </c>
      <c r="D92" s="112" t="s">
        <v>433</v>
      </c>
      <c r="E92" s="189"/>
      <c r="F92" s="110" t="s">
        <v>137</v>
      </c>
      <c r="G92" s="168"/>
      <c r="H92" s="168" t="s">
        <v>503</v>
      </c>
      <c r="I92" s="189"/>
      <c r="J92" s="110" t="s">
        <v>204</v>
      </c>
      <c r="K92" s="182"/>
      <c r="L92" s="110" t="s">
        <v>1053</v>
      </c>
      <c r="M92" s="442"/>
      <c r="N92" s="110" t="s">
        <v>1054</v>
      </c>
      <c r="O92" s="441"/>
      <c r="P92" s="110" t="s">
        <v>1055</v>
      </c>
      <c r="R92" s="369"/>
      <c r="T92" s="369"/>
      <c r="U92" s="369"/>
      <c r="V92" s="369"/>
      <c r="W92" s="369"/>
      <c r="X92" s="369"/>
      <c r="Y92" s="369"/>
    </row>
    <row r="93" spans="1:25" ht="15" thickBot="1" x14ac:dyDescent="0.35">
      <c r="A93" s="82"/>
      <c r="B93" s="173" t="s">
        <v>280</v>
      </c>
      <c r="C93" s="171" t="s">
        <v>262</v>
      </c>
      <c r="D93" s="477"/>
      <c r="E93" s="178"/>
      <c r="F93" s="174" t="s">
        <v>264</v>
      </c>
      <c r="G93" s="172"/>
      <c r="H93" s="171" t="s">
        <v>933</v>
      </c>
      <c r="I93" s="178"/>
      <c r="J93" s="174" t="s">
        <v>263</v>
      </c>
      <c r="K93" s="184"/>
      <c r="L93" s="171" t="s">
        <v>629</v>
      </c>
      <c r="M93" s="173"/>
      <c r="N93" s="174" t="s">
        <v>630</v>
      </c>
      <c r="O93" s="171"/>
      <c r="P93" s="174" t="s">
        <v>631</v>
      </c>
      <c r="R93" s="369"/>
      <c r="T93" s="369"/>
      <c r="U93" s="369"/>
      <c r="V93" s="369"/>
      <c r="W93" s="369"/>
      <c r="X93" s="369"/>
      <c r="Y93" s="369"/>
    </row>
    <row r="94" spans="1:25" ht="28.2" thickTop="1" x14ac:dyDescent="0.3">
      <c r="A94" s="82"/>
      <c r="B94" s="124" t="s">
        <v>218</v>
      </c>
      <c r="C94" s="85" t="s">
        <v>192</v>
      </c>
      <c r="D94" s="381" t="s">
        <v>436</v>
      </c>
      <c r="E94" s="349"/>
      <c r="F94" s="187" t="s">
        <v>173</v>
      </c>
      <c r="G94" s="141"/>
      <c r="H94" s="368">
        <v>10.8</v>
      </c>
      <c r="I94" s="409" t="s">
        <v>14</v>
      </c>
      <c r="J94" s="410" t="s">
        <v>14</v>
      </c>
      <c r="K94" s="141"/>
      <c r="L94" s="85" t="s">
        <v>301</v>
      </c>
      <c r="M94" s="349"/>
      <c r="N94" s="146" t="s">
        <v>302</v>
      </c>
      <c r="O94" s="141"/>
      <c r="P94" s="146" t="s">
        <v>281</v>
      </c>
      <c r="R94" s="369"/>
      <c r="T94" s="369"/>
      <c r="U94" s="369"/>
      <c r="V94" s="369"/>
      <c r="W94" s="369"/>
      <c r="X94" s="369"/>
      <c r="Y94" s="369"/>
    </row>
    <row r="95" spans="1:25" ht="27.6" x14ac:dyDescent="0.3">
      <c r="A95" s="82"/>
      <c r="B95" s="124" t="s">
        <v>219</v>
      </c>
      <c r="C95" s="85" t="s">
        <v>194</v>
      </c>
      <c r="D95" s="381" t="s">
        <v>436</v>
      </c>
      <c r="E95" s="136"/>
      <c r="F95" s="187" t="s">
        <v>173</v>
      </c>
      <c r="G95" s="176"/>
      <c r="H95" s="368">
        <v>10.8</v>
      </c>
      <c r="I95" s="409" t="s">
        <v>14</v>
      </c>
      <c r="J95" s="410" t="s">
        <v>14</v>
      </c>
      <c r="K95" s="176"/>
      <c r="L95" s="85" t="s">
        <v>301</v>
      </c>
      <c r="M95" s="136"/>
      <c r="N95" s="146" t="s">
        <v>302</v>
      </c>
      <c r="O95" s="176"/>
      <c r="P95" s="146" t="s">
        <v>281</v>
      </c>
      <c r="R95" s="369"/>
      <c r="T95" s="369"/>
      <c r="U95" s="369"/>
      <c r="V95" s="369"/>
      <c r="W95" s="369"/>
      <c r="X95" s="369"/>
      <c r="Y95" s="369"/>
    </row>
    <row r="96" spans="1:25" ht="27.6" x14ac:dyDescent="0.3">
      <c r="A96" s="82"/>
      <c r="B96" s="124" t="s">
        <v>220</v>
      </c>
      <c r="C96" s="85" t="s">
        <v>195</v>
      </c>
      <c r="D96" s="381" t="s">
        <v>436</v>
      </c>
      <c r="E96" s="136"/>
      <c r="F96" s="187" t="s">
        <v>173</v>
      </c>
      <c r="G96" s="176"/>
      <c r="H96" s="368">
        <v>10.8</v>
      </c>
      <c r="I96" s="409" t="s">
        <v>14</v>
      </c>
      <c r="J96" s="410" t="s">
        <v>14</v>
      </c>
      <c r="K96" s="176"/>
      <c r="L96" s="85" t="s">
        <v>301</v>
      </c>
      <c r="M96" s="136"/>
      <c r="N96" s="146" t="s">
        <v>302</v>
      </c>
      <c r="O96" s="176"/>
      <c r="P96" s="146" t="s">
        <v>281</v>
      </c>
      <c r="R96" s="369"/>
      <c r="T96" s="369"/>
      <c r="U96" s="369"/>
      <c r="V96" s="369"/>
      <c r="W96" s="369"/>
      <c r="X96" s="369"/>
      <c r="Y96" s="369"/>
    </row>
    <row r="97" spans="1:25" ht="27.6" x14ac:dyDescent="0.3">
      <c r="A97" s="82"/>
      <c r="B97" s="124" t="s">
        <v>221</v>
      </c>
      <c r="C97" s="85" t="s">
        <v>196</v>
      </c>
      <c r="D97" s="381" t="s">
        <v>436</v>
      </c>
      <c r="E97" s="240"/>
      <c r="F97" s="187" t="s">
        <v>173</v>
      </c>
      <c r="G97" s="241"/>
      <c r="H97" s="368">
        <v>10.8</v>
      </c>
      <c r="I97" s="409" t="s">
        <v>14</v>
      </c>
      <c r="J97" s="410" t="s">
        <v>14</v>
      </c>
      <c r="K97" s="241"/>
      <c r="L97" s="85" t="s">
        <v>301</v>
      </c>
      <c r="M97" s="240"/>
      <c r="N97" s="146" t="s">
        <v>302</v>
      </c>
      <c r="O97" s="241"/>
      <c r="P97" s="146" t="s">
        <v>281</v>
      </c>
      <c r="R97" s="369"/>
      <c r="T97" s="369"/>
      <c r="U97" s="369"/>
      <c r="V97" s="369"/>
      <c r="W97" s="369"/>
      <c r="X97" s="369"/>
      <c r="Y97" s="369"/>
    </row>
    <row r="98" spans="1:25" ht="27.6" x14ac:dyDescent="0.3">
      <c r="A98" s="82"/>
      <c r="B98" s="175" t="s">
        <v>166</v>
      </c>
      <c r="C98" s="150" t="s">
        <v>174</v>
      </c>
      <c r="D98" s="181" t="s">
        <v>435</v>
      </c>
      <c r="E98" s="153"/>
      <c r="F98" s="188" t="s">
        <v>173</v>
      </c>
      <c r="G98" s="169"/>
      <c r="H98" s="464">
        <v>10.8446</v>
      </c>
      <c r="I98" s="153"/>
      <c r="J98" s="251">
        <v>1.1499999999999999</v>
      </c>
      <c r="K98" s="169"/>
      <c r="L98" s="150" t="s">
        <v>301</v>
      </c>
      <c r="M98" s="153"/>
      <c r="N98" s="155" t="s">
        <v>302</v>
      </c>
      <c r="O98" s="169"/>
      <c r="P98" s="155" t="s">
        <v>281</v>
      </c>
      <c r="R98" s="369"/>
      <c r="T98" s="369"/>
      <c r="U98" s="369"/>
      <c r="V98" s="369"/>
      <c r="W98" s="369"/>
      <c r="X98" s="369"/>
      <c r="Y98" s="369"/>
    </row>
    <row r="99" spans="1:25" x14ac:dyDescent="0.3">
      <c r="A99" s="82"/>
      <c r="B99" s="77"/>
      <c r="C99" s="75"/>
      <c r="D99" s="82"/>
      <c r="E99" s="84"/>
      <c r="F99" s="82"/>
      <c r="G99" s="84"/>
      <c r="H99" s="82"/>
      <c r="I99" s="84"/>
      <c r="J99" s="82"/>
      <c r="K99" s="29"/>
      <c r="L99" s="369"/>
      <c r="N99" s="369"/>
      <c r="P99" s="369"/>
      <c r="R99" s="369"/>
      <c r="T99" s="369"/>
      <c r="U99" s="369"/>
      <c r="V99" s="369"/>
      <c r="W99" s="369"/>
      <c r="X99" s="369"/>
      <c r="Y99" s="369"/>
    </row>
    <row r="100" spans="1:25" x14ac:dyDescent="0.3">
      <c r="A100" s="82"/>
      <c r="B100" s="77"/>
      <c r="C100" s="75"/>
      <c r="D100" s="82"/>
      <c r="E100" s="84"/>
      <c r="F100" s="82"/>
      <c r="G100" s="84"/>
      <c r="H100" s="82"/>
      <c r="I100" s="84"/>
      <c r="J100" s="82"/>
      <c r="K100" s="29"/>
      <c r="L100" s="369"/>
      <c r="N100" s="369"/>
      <c r="P100" s="369"/>
      <c r="R100" s="369"/>
      <c r="T100" s="369"/>
      <c r="U100" s="369"/>
      <c r="V100" s="369"/>
      <c r="W100" s="369"/>
      <c r="X100" s="369"/>
      <c r="Y100" s="369"/>
    </row>
    <row r="101" spans="1:25" ht="27.6" x14ac:dyDescent="0.3">
      <c r="A101" s="82"/>
      <c r="B101" s="108" t="s">
        <v>501</v>
      </c>
      <c r="C101" s="116" t="s">
        <v>504</v>
      </c>
      <c r="D101" s="112" t="s">
        <v>433</v>
      </c>
      <c r="E101" s="189"/>
      <c r="F101" s="110" t="s">
        <v>474</v>
      </c>
      <c r="G101" s="168"/>
      <c r="H101" s="168" t="s">
        <v>176</v>
      </c>
      <c r="I101" s="189"/>
      <c r="J101" s="110" t="s">
        <v>204</v>
      </c>
      <c r="K101" s="191"/>
      <c r="L101" s="110" t="s">
        <v>1056</v>
      </c>
      <c r="N101" s="369"/>
      <c r="P101" s="369"/>
      <c r="R101" s="369"/>
      <c r="T101" s="369"/>
      <c r="U101" s="369"/>
      <c r="V101" s="369"/>
      <c r="W101" s="369"/>
      <c r="X101" s="369"/>
      <c r="Y101" s="369"/>
    </row>
    <row r="102" spans="1:25" ht="15" thickBot="1" x14ac:dyDescent="0.35">
      <c r="A102" s="82"/>
      <c r="B102" s="173" t="s">
        <v>282</v>
      </c>
      <c r="C102" s="171" t="s">
        <v>265</v>
      </c>
      <c r="D102" s="477"/>
      <c r="E102" s="178"/>
      <c r="F102" s="174" t="s">
        <v>266</v>
      </c>
      <c r="G102" s="172"/>
      <c r="H102" s="171" t="s">
        <v>267</v>
      </c>
      <c r="I102" s="178"/>
      <c r="J102" s="174"/>
      <c r="K102" s="117"/>
      <c r="L102" s="174" t="s">
        <v>283</v>
      </c>
      <c r="N102" s="369"/>
      <c r="P102" s="369"/>
      <c r="R102" s="369"/>
      <c r="T102" s="369"/>
      <c r="U102" s="369"/>
      <c r="V102" s="369"/>
      <c r="W102" s="369"/>
      <c r="X102" s="369"/>
      <c r="Y102" s="369"/>
    </row>
    <row r="103" spans="1:25" ht="15" thickTop="1" x14ac:dyDescent="0.3">
      <c r="A103" s="82"/>
      <c r="B103" s="124" t="s">
        <v>218</v>
      </c>
      <c r="C103" s="85" t="s">
        <v>197</v>
      </c>
      <c r="D103" s="381" t="s">
        <v>436</v>
      </c>
      <c r="E103" s="349"/>
      <c r="F103" s="192" t="s">
        <v>815</v>
      </c>
      <c r="G103" s="349"/>
      <c r="H103" s="52">
        <v>0.80003100000000005</v>
      </c>
      <c r="I103" s="409" t="s">
        <v>14</v>
      </c>
      <c r="J103" s="410" t="s">
        <v>14</v>
      </c>
      <c r="K103" s="349"/>
      <c r="L103" s="146" t="s">
        <v>284</v>
      </c>
      <c r="N103" s="369"/>
      <c r="P103" s="369"/>
      <c r="R103" s="369"/>
      <c r="T103" s="369"/>
      <c r="U103" s="369"/>
      <c r="V103" s="369"/>
      <c r="W103" s="369"/>
      <c r="X103" s="369"/>
      <c r="Y103" s="369"/>
    </row>
    <row r="104" spans="1:25" x14ac:dyDescent="0.3">
      <c r="A104" s="82"/>
      <c r="B104" s="124" t="s">
        <v>219</v>
      </c>
      <c r="C104" s="85" t="s">
        <v>199</v>
      </c>
      <c r="D104" s="381" t="s">
        <v>436</v>
      </c>
      <c r="E104" s="136"/>
      <c r="F104" s="192" t="s">
        <v>815</v>
      </c>
      <c r="G104" s="136"/>
      <c r="H104" s="52">
        <v>0.80003100000000005</v>
      </c>
      <c r="I104" s="409" t="s">
        <v>14</v>
      </c>
      <c r="J104" s="410" t="s">
        <v>14</v>
      </c>
      <c r="K104" s="136"/>
      <c r="L104" s="146" t="s">
        <v>284</v>
      </c>
      <c r="N104" s="369"/>
      <c r="P104" s="369"/>
      <c r="R104" s="369"/>
      <c r="T104" s="369"/>
      <c r="U104" s="369"/>
      <c r="V104" s="369"/>
      <c r="W104" s="369"/>
      <c r="X104" s="369"/>
      <c r="Y104" s="369"/>
    </row>
    <row r="105" spans="1:25" x14ac:dyDescent="0.3">
      <c r="A105" s="82"/>
      <c r="B105" s="124" t="s">
        <v>220</v>
      </c>
      <c r="C105" s="85" t="s">
        <v>200</v>
      </c>
      <c r="D105" s="381" t="s">
        <v>436</v>
      </c>
      <c r="E105" s="136"/>
      <c r="F105" s="192" t="s">
        <v>815</v>
      </c>
      <c r="G105" s="136"/>
      <c r="H105" s="52">
        <v>0.80003100000000005</v>
      </c>
      <c r="I105" s="409" t="s">
        <v>14</v>
      </c>
      <c r="J105" s="410" t="s">
        <v>14</v>
      </c>
      <c r="K105" s="136"/>
      <c r="L105" s="146" t="s">
        <v>284</v>
      </c>
      <c r="N105" s="369"/>
      <c r="P105" s="369"/>
      <c r="R105" s="369"/>
      <c r="T105" s="369"/>
      <c r="U105" s="369"/>
      <c r="V105" s="369"/>
      <c r="W105" s="369"/>
      <c r="X105" s="369"/>
      <c r="Y105" s="369"/>
    </row>
    <row r="106" spans="1:25" x14ac:dyDescent="0.3">
      <c r="A106" s="82"/>
      <c r="B106" s="124" t="s">
        <v>221</v>
      </c>
      <c r="C106" s="85" t="s">
        <v>201</v>
      </c>
      <c r="D106" s="381" t="s">
        <v>436</v>
      </c>
      <c r="E106" s="240"/>
      <c r="F106" s="192" t="s">
        <v>815</v>
      </c>
      <c r="G106" s="240"/>
      <c r="H106" s="52">
        <v>0.80003100000000005</v>
      </c>
      <c r="I106" s="409" t="s">
        <v>14</v>
      </c>
      <c r="J106" s="410" t="s">
        <v>14</v>
      </c>
      <c r="K106" s="240"/>
      <c r="L106" s="146" t="s">
        <v>284</v>
      </c>
      <c r="N106" s="369"/>
      <c r="P106" s="369"/>
      <c r="R106" s="369"/>
      <c r="T106" s="369"/>
      <c r="U106" s="369"/>
      <c r="V106" s="369"/>
      <c r="W106" s="369"/>
      <c r="X106" s="369"/>
      <c r="Y106" s="369"/>
    </row>
    <row r="107" spans="1:25" x14ac:dyDescent="0.3">
      <c r="A107" s="82"/>
      <c r="B107" s="175" t="s">
        <v>166</v>
      </c>
      <c r="C107" s="150" t="s">
        <v>175</v>
      </c>
      <c r="D107" s="181" t="s">
        <v>435</v>
      </c>
      <c r="E107" s="153"/>
      <c r="F107" s="193" t="s">
        <v>815</v>
      </c>
      <c r="G107" s="153"/>
      <c r="H107" s="228">
        <v>0.80003100000000005</v>
      </c>
      <c r="I107" s="153"/>
      <c r="J107" s="251">
        <v>1.25</v>
      </c>
      <c r="K107" s="153"/>
      <c r="L107" s="155" t="s">
        <v>284</v>
      </c>
      <c r="N107" s="369"/>
      <c r="P107" s="369"/>
      <c r="R107" s="369"/>
      <c r="T107" s="369"/>
      <c r="U107" s="369"/>
      <c r="V107" s="369"/>
      <c r="W107" s="369"/>
      <c r="X107" s="369"/>
      <c r="Y107" s="369"/>
    </row>
    <row r="108" spans="1:25" x14ac:dyDescent="0.3">
      <c r="A108" s="82"/>
      <c r="B108" s="384"/>
      <c r="C108" s="384"/>
      <c r="D108" s="397"/>
      <c r="E108" s="362"/>
      <c r="F108" s="397"/>
      <c r="G108" s="362"/>
      <c r="H108" s="397"/>
      <c r="I108" s="362"/>
      <c r="J108" s="397"/>
      <c r="K108" s="362"/>
      <c r="L108" s="397"/>
      <c r="N108" s="369"/>
      <c r="P108" s="369"/>
      <c r="R108" s="369"/>
      <c r="T108" s="369"/>
    </row>
    <row r="109" spans="1:25" x14ac:dyDescent="0.3">
      <c r="A109" s="82"/>
      <c r="B109" s="384"/>
      <c r="C109" s="384"/>
      <c r="D109" s="397"/>
      <c r="E109" s="362"/>
      <c r="F109" s="397"/>
      <c r="G109" s="362"/>
      <c r="H109" s="397"/>
      <c r="I109" s="362"/>
      <c r="J109" s="397"/>
      <c r="K109" s="362"/>
      <c r="L109" s="397"/>
      <c r="N109" s="369"/>
      <c r="P109" s="369"/>
      <c r="R109" s="369"/>
      <c r="T109" s="369"/>
    </row>
    <row r="110" spans="1:25" ht="27.6" x14ac:dyDescent="0.3">
      <c r="A110" s="82"/>
      <c r="B110" s="108" t="s">
        <v>501</v>
      </c>
      <c r="C110" s="113" t="s">
        <v>506</v>
      </c>
      <c r="D110" s="112" t="s">
        <v>433</v>
      </c>
      <c r="E110" s="125"/>
      <c r="F110" s="110" t="s">
        <v>184</v>
      </c>
      <c r="G110" s="113"/>
      <c r="H110" s="168" t="s">
        <v>277</v>
      </c>
      <c r="I110" s="125"/>
      <c r="J110" s="110" t="s">
        <v>511</v>
      </c>
      <c r="K110" s="113"/>
      <c r="L110" s="168" t="s">
        <v>183</v>
      </c>
      <c r="M110" s="189"/>
      <c r="N110" s="142" t="s">
        <v>205</v>
      </c>
      <c r="O110" s="168"/>
      <c r="P110" s="168" t="s">
        <v>507</v>
      </c>
      <c r="Q110" s="189"/>
      <c r="R110" s="110" t="s">
        <v>206</v>
      </c>
      <c r="S110" s="189"/>
      <c r="T110" s="110" t="s">
        <v>182</v>
      </c>
    </row>
    <row r="111" spans="1:25" ht="15" thickBot="1" x14ac:dyDescent="0.35">
      <c r="A111" s="82"/>
      <c r="B111" s="173" t="s">
        <v>282</v>
      </c>
      <c r="C111" s="171" t="s">
        <v>269</v>
      </c>
      <c r="D111" s="477"/>
      <c r="E111" s="178"/>
      <c r="F111" s="174" t="s">
        <v>270</v>
      </c>
      <c r="G111" s="172"/>
      <c r="H111" s="171" t="s">
        <v>271</v>
      </c>
      <c r="I111" s="178"/>
      <c r="J111" s="174"/>
      <c r="K111" s="172"/>
      <c r="L111" s="171" t="s">
        <v>272</v>
      </c>
      <c r="M111" s="178"/>
      <c r="N111" s="174" t="s">
        <v>273</v>
      </c>
      <c r="O111" s="172"/>
      <c r="P111" s="171" t="s">
        <v>274</v>
      </c>
      <c r="Q111" s="178"/>
      <c r="R111" s="174" t="s">
        <v>275</v>
      </c>
      <c r="S111" s="178"/>
      <c r="T111" s="174" t="s">
        <v>276</v>
      </c>
    </row>
    <row r="112" spans="1:25" ht="15" thickTop="1" x14ac:dyDescent="0.3">
      <c r="A112" s="82"/>
      <c r="B112" s="124" t="s">
        <v>218</v>
      </c>
      <c r="C112" s="85" t="s">
        <v>177</v>
      </c>
      <c r="D112" s="381" t="s">
        <v>436</v>
      </c>
      <c r="E112" s="349"/>
      <c r="F112" s="146" t="s">
        <v>485</v>
      </c>
      <c r="G112" s="141"/>
      <c r="H112" s="85" t="s">
        <v>278</v>
      </c>
      <c r="I112" s="203" t="s">
        <v>919</v>
      </c>
      <c r="J112" s="505">
        <v>1610.9</v>
      </c>
      <c r="K112" s="141"/>
      <c r="L112" s="198">
        <v>1.6</v>
      </c>
      <c r="M112" s="409" t="s">
        <v>14</v>
      </c>
      <c r="N112" s="410" t="s">
        <v>14</v>
      </c>
      <c r="O112" s="428" t="s">
        <v>14</v>
      </c>
      <c r="P112" s="428" t="s">
        <v>14</v>
      </c>
      <c r="Q112" s="203" t="s">
        <v>919</v>
      </c>
      <c r="R112" s="90">
        <v>2</v>
      </c>
      <c r="S112" s="203" t="s">
        <v>919</v>
      </c>
      <c r="T112" s="194">
        <v>0.86499999999999999</v>
      </c>
    </row>
    <row r="113" spans="1:20" x14ac:dyDescent="0.3">
      <c r="A113" s="82"/>
      <c r="B113" s="124" t="s">
        <v>219</v>
      </c>
      <c r="C113" s="85" t="s">
        <v>179</v>
      </c>
      <c r="D113" s="381" t="s">
        <v>436</v>
      </c>
      <c r="E113" s="136"/>
      <c r="F113" s="146" t="s">
        <v>485</v>
      </c>
      <c r="G113" s="176"/>
      <c r="H113" s="85" t="s">
        <v>278</v>
      </c>
      <c r="I113" s="140" t="s">
        <v>919</v>
      </c>
      <c r="J113" s="505">
        <v>724.41099999999994</v>
      </c>
      <c r="K113" s="176"/>
      <c r="L113" s="198">
        <v>0.8</v>
      </c>
      <c r="M113" s="409" t="s">
        <v>14</v>
      </c>
      <c r="N113" s="410" t="s">
        <v>14</v>
      </c>
      <c r="O113" s="428" t="s">
        <v>14</v>
      </c>
      <c r="P113" s="428" t="s">
        <v>14</v>
      </c>
      <c r="Q113" s="140" t="s">
        <v>919</v>
      </c>
      <c r="R113" s="90">
        <v>1</v>
      </c>
      <c r="S113" s="140" t="s">
        <v>919</v>
      </c>
      <c r="T113" s="194">
        <v>0.85499999999999998</v>
      </c>
    </row>
    <row r="114" spans="1:20" x14ac:dyDescent="0.3">
      <c r="A114" s="82"/>
      <c r="B114" s="124" t="s">
        <v>220</v>
      </c>
      <c r="C114" s="85" t="s">
        <v>180</v>
      </c>
      <c r="D114" s="381" t="s">
        <v>436</v>
      </c>
      <c r="E114" s="136"/>
      <c r="F114" s="146" t="s">
        <v>485</v>
      </c>
      <c r="G114" s="176"/>
      <c r="H114" s="85" t="s">
        <v>278</v>
      </c>
      <c r="I114" s="140" t="s">
        <v>919</v>
      </c>
      <c r="J114" s="505">
        <v>1221.17</v>
      </c>
      <c r="K114" s="176"/>
      <c r="L114" s="198">
        <v>1.2</v>
      </c>
      <c r="M114" s="409" t="s">
        <v>14</v>
      </c>
      <c r="N114" s="410" t="s">
        <v>14</v>
      </c>
      <c r="O114" s="428" t="s">
        <v>14</v>
      </c>
      <c r="P114" s="428" t="s">
        <v>14</v>
      </c>
      <c r="Q114" s="140" t="s">
        <v>919</v>
      </c>
      <c r="R114" s="90">
        <v>1.5</v>
      </c>
      <c r="S114" s="140" t="s">
        <v>919</v>
      </c>
      <c r="T114" s="194">
        <v>0.85499999999999998</v>
      </c>
    </row>
    <row r="115" spans="1:20" x14ac:dyDescent="0.3">
      <c r="A115" s="82"/>
      <c r="B115" s="124" t="s">
        <v>221</v>
      </c>
      <c r="C115" s="85" t="s">
        <v>181</v>
      </c>
      <c r="D115" s="381" t="s">
        <v>436</v>
      </c>
      <c r="E115" s="240"/>
      <c r="F115" s="146" t="s">
        <v>485</v>
      </c>
      <c r="G115" s="241"/>
      <c r="H115" s="85" t="s">
        <v>278</v>
      </c>
      <c r="I115" s="250" t="s">
        <v>919</v>
      </c>
      <c r="J115" s="505">
        <v>724.41099999999994</v>
      </c>
      <c r="K115" s="176"/>
      <c r="L115" s="198">
        <v>0.8</v>
      </c>
      <c r="M115" s="409" t="s">
        <v>14</v>
      </c>
      <c r="N115" s="410" t="s">
        <v>14</v>
      </c>
      <c r="O115" s="428" t="s">
        <v>14</v>
      </c>
      <c r="P115" s="428" t="s">
        <v>14</v>
      </c>
      <c r="Q115" s="250" t="s">
        <v>919</v>
      </c>
      <c r="R115" s="90">
        <v>1</v>
      </c>
      <c r="S115" s="250" t="s">
        <v>919</v>
      </c>
      <c r="T115" s="194">
        <v>0.85499999999999998</v>
      </c>
    </row>
    <row r="116" spans="1:20" x14ac:dyDescent="0.3">
      <c r="A116" s="82"/>
      <c r="B116" s="175" t="s">
        <v>166</v>
      </c>
      <c r="C116" s="150" t="s">
        <v>234</v>
      </c>
      <c r="D116" s="181" t="s">
        <v>435</v>
      </c>
      <c r="E116" s="153"/>
      <c r="F116" s="155" t="s">
        <v>485</v>
      </c>
      <c r="G116" s="169"/>
      <c r="H116" s="150" t="s">
        <v>279</v>
      </c>
      <c r="I116" s="204" t="s">
        <v>919</v>
      </c>
      <c r="J116" s="507">
        <v>1449.12</v>
      </c>
      <c r="K116" s="204" t="s">
        <v>919</v>
      </c>
      <c r="L116" s="566">
        <f>(J116*P116)/(6353*N116)</f>
        <v>1.1405005509208248</v>
      </c>
      <c r="M116" s="153"/>
      <c r="N116" s="730">
        <f>IF(J116&lt;2000,0.5,IF(J116&lt;10000,0.6,0.62))</f>
        <v>0.5</v>
      </c>
      <c r="O116" s="169"/>
      <c r="P116" s="857">
        <v>2.5</v>
      </c>
      <c r="Q116" s="153"/>
      <c r="R116" s="858">
        <v>1.5</v>
      </c>
      <c r="S116" s="153"/>
      <c r="T116" s="858">
        <v>0.86499999999999999</v>
      </c>
    </row>
    <row r="117" spans="1:20" x14ac:dyDescent="0.3">
      <c r="A117" s="82"/>
      <c r="B117" s="82"/>
      <c r="C117" s="384"/>
      <c r="D117" s="82"/>
      <c r="E117" s="82"/>
      <c r="F117" s="82"/>
      <c r="G117" s="82"/>
      <c r="H117" s="82"/>
      <c r="I117" s="82"/>
      <c r="J117" s="82"/>
      <c r="K117" s="82"/>
      <c r="L117" s="82"/>
      <c r="M117" s="82"/>
      <c r="N117" s="82"/>
      <c r="O117" s="82"/>
      <c r="P117" s="82"/>
      <c r="Q117" s="82"/>
      <c r="R117" s="82"/>
      <c r="S117" s="82"/>
      <c r="T117" s="82"/>
    </row>
    <row r="118" spans="1:20" x14ac:dyDescent="0.3">
      <c r="A118" s="82"/>
      <c r="B118" s="85"/>
      <c r="C118" s="83"/>
      <c r="D118" s="397"/>
      <c r="E118" s="82"/>
      <c r="F118" s="82"/>
      <c r="G118" s="82"/>
      <c r="H118" s="82"/>
      <c r="I118" s="82"/>
      <c r="J118" s="82"/>
      <c r="K118" s="82"/>
      <c r="L118" s="82"/>
      <c r="M118" s="82"/>
      <c r="N118" s="82"/>
      <c r="O118" s="82"/>
      <c r="P118" s="82"/>
      <c r="Q118" s="82"/>
      <c r="R118" s="82"/>
      <c r="S118" s="82"/>
      <c r="T118" s="82"/>
    </row>
    <row r="119" spans="1:20" x14ac:dyDescent="0.3">
      <c r="A119" s="82"/>
      <c r="B119" s="189" t="s">
        <v>505</v>
      </c>
      <c r="C119" s="113" t="s">
        <v>291</v>
      </c>
      <c r="D119" s="114"/>
      <c r="E119" s="125"/>
      <c r="F119" s="142" t="s">
        <v>292</v>
      </c>
      <c r="G119" s="125"/>
      <c r="H119" s="142" t="s">
        <v>293</v>
      </c>
      <c r="I119" s="82"/>
      <c r="J119" s="82"/>
      <c r="K119" s="82"/>
      <c r="L119" s="82"/>
      <c r="M119" s="397"/>
      <c r="N119" s="397"/>
      <c r="O119" s="397"/>
      <c r="P119" s="397"/>
      <c r="Q119" s="397"/>
      <c r="R119" s="397"/>
      <c r="S119" s="397"/>
      <c r="T119" s="397"/>
    </row>
    <row r="120" spans="1:20" ht="15" thickBot="1" x14ac:dyDescent="0.35">
      <c r="A120" s="82"/>
      <c r="B120" s="173" t="s">
        <v>285</v>
      </c>
      <c r="C120" s="171" t="s">
        <v>286</v>
      </c>
      <c r="D120" s="376"/>
      <c r="E120" s="208"/>
      <c r="F120" s="174" t="s">
        <v>287</v>
      </c>
      <c r="G120" s="208"/>
      <c r="H120" s="174" t="s">
        <v>288</v>
      </c>
      <c r="I120" s="82"/>
      <c r="J120" s="82"/>
      <c r="K120" s="82"/>
      <c r="L120" s="82"/>
      <c r="M120" s="397"/>
      <c r="N120" s="397"/>
      <c r="O120" s="397"/>
      <c r="P120" s="397"/>
      <c r="Q120" s="397"/>
      <c r="R120" s="397"/>
      <c r="S120" s="397"/>
      <c r="T120" s="397"/>
    </row>
    <row r="121" spans="1:20" ht="15" thickTop="1" x14ac:dyDescent="0.3">
      <c r="A121" s="82"/>
      <c r="B121" s="124" t="s">
        <v>168</v>
      </c>
      <c r="C121" s="85" t="s">
        <v>297</v>
      </c>
      <c r="E121" s="349"/>
      <c r="F121" s="146" t="s">
        <v>298</v>
      </c>
      <c r="G121" s="349"/>
      <c r="H121" s="146" t="s">
        <v>299</v>
      </c>
      <c r="I121" s="82"/>
      <c r="J121" s="82"/>
      <c r="K121" s="82"/>
      <c r="L121" s="82"/>
      <c r="M121" s="397"/>
      <c r="N121" s="397"/>
      <c r="O121" s="397"/>
      <c r="P121" s="397"/>
      <c r="Q121" s="397"/>
      <c r="R121" s="397"/>
      <c r="S121" s="397"/>
      <c r="T121" s="397"/>
    </row>
    <row r="122" spans="1:20" x14ac:dyDescent="0.3">
      <c r="A122" s="82"/>
      <c r="B122" s="124" t="s">
        <v>170</v>
      </c>
      <c r="C122" s="85" t="s">
        <v>297</v>
      </c>
      <c r="E122" s="136"/>
      <c r="F122" s="146" t="s">
        <v>298</v>
      </c>
      <c r="G122" s="136"/>
      <c r="H122" s="146" t="s">
        <v>299</v>
      </c>
      <c r="I122" s="82"/>
      <c r="J122" s="82"/>
      <c r="K122" s="82"/>
      <c r="L122" s="82"/>
      <c r="M122" s="397"/>
      <c r="N122" s="397"/>
      <c r="O122" s="397"/>
      <c r="P122" s="397"/>
      <c r="Q122" s="397"/>
      <c r="R122" s="397"/>
      <c r="S122" s="397"/>
      <c r="T122" s="397"/>
    </row>
    <row r="123" spans="1:20" x14ac:dyDescent="0.3">
      <c r="A123" s="82"/>
      <c r="B123" s="124" t="s">
        <v>171</v>
      </c>
      <c r="C123" s="85" t="s">
        <v>297</v>
      </c>
      <c r="E123" s="136"/>
      <c r="F123" s="146" t="s">
        <v>298</v>
      </c>
      <c r="G123" s="136"/>
      <c r="H123" s="146" t="s">
        <v>299</v>
      </c>
      <c r="I123" s="82"/>
      <c r="J123" s="82"/>
      <c r="K123" s="82"/>
      <c r="L123" s="82"/>
      <c r="M123" s="397"/>
      <c r="N123" s="397"/>
      <c r="O123" s="397"/>
      <c r="P123" s="397"/>
      <c r="Q123" s="397"/>
      <c r="R123" s="397"/>
      <c r="S123" s="397"/>
      <c r="T123" s="397"/>
    </row>
    <row r="124" spans="1:20" x14ac:dyDescent="0.3">
      <c r="A124" s="82"/>
      <c r="B124" s="124" t="s">
        <v>172</v>
      </c>
      <c r="C124" s="85" t="s">
        <v>297</v>
      </c>
      <c r="E124" s="240"/>
      <c r="F124" s="146" t="s">
        <v>298</v>
      </c>
      <c r="G124" s="240"/>
      <c r="H124" s="146" t="s">
        <v>299</v>
      </c>
      <c r="I124" s="82"/>
      <c r="J124" s="82"/>
      <c r="K124" s="82"/>
      <c r="L124" s="82"/>
      <c r="M124" s="397"/>
      <c r="N124" s="397"/>
      <c r="O124" s="397"/>
      <c r="P124" s="397"/>
      <c r="Q124" s="397"/>
      <c r="R124" s="397"/>
      <c r="S124" s="397"/>
      <c r="T124" s="397"/>
    </row>
    <row r="125" spans="1:20" x14ac:dyDescent="0.3">
      <c r="A125" s="82"/>
      <c r="B125" s="175" t="s">
        <v>169</v>
      </c>
      <c r="C125" s="150" t="s">
        <v>297</v>
      </c>
      <c r="D125" s="151"/>
      <c r="E125" s="153"/>
      <c r="F125" s="155" t="s">
        <v>298</v>
      </c>
      <c r="G125" s="153"/>
      <c r="H125" s="155" t="s">
        <v>299</v>
      </c>
      <c r="I125" s="82"/>
      <c r="J125" s="82"/>
      <c r="K125" s="82"/>
      <c r="L125" s="82"/>
      <c r="M125" s="397"/>
      <c r="N125" s="397"/>
      <c r="O125" s="397"/>
      <c r="P125" s="397"/>
      <c r="Q125" s="397"/>
      <c r="R125" s="397"/>
      <c r="S125" s="397"/>
      <c r="T125" s="397"/>
    </row>
    <row r="126" spans="1:20" x14ac:dyDescent="0.3">
      <c r="A126" s="82"/>
      <c r="Q126" s="82"/>
      <c r="R126" s="82"/>
      <c r="S126" s="82"/>
      <c r="T126" s="82"/>
    </row>
    <row r="127" spans="1:20" x14ac:dyDescent="0.3">
      <c r="A127" s="82"/>
    </row>
    <row r="128" spans="1:20" s="369" customFormat="1" ht="13.8" x14ac:dyDescent="0.3">
      <c r="A128" s="82"/>
      <c r="C128" s="85"/>
      <c r="E128" s="76"/>
      <c r="F128" s="371"/>
      <c r="G128" s="76"/>
      <c r="H128" s="29"/>
      <c r="J128" s="85"/>
      <c r="L128" s="85"/>
      <c r="N128" s="85"/>
      <c r="P128" s="85"/>
      <c r="R128" s="85"/>
      <c r="T128" s="85"/>
    </row>
    <row r="129" spans="1:20" s="369" customFormat="1" ht="13.8" x14ac:dyDescent="0.3">
      <c r="A129" s="82"/>
      <c r="C129" s="85"/>
      <c r="E129" s="76"/>
      <c r="F129" s="371"/>
      <c r="G129" s="76"/>
      <c r="H129" s="29"/>
      <c r="J129" s="85"/>
      <c r="L129" s="85"/>
      <c r="N129" s="85"/>
      <c r="P129" s="85"/>
      <c r="R129" s="85"/>
      <c r="T129" s="85"/>
    </row>
    <row r="130" spans="1:20" s="369" customFormat="1" ht="13.8" x14ac:dyDescent="0.3">
      <c r="A130" s="82"/>
      <c r="C130" s="85"/>
      <c r="E130" s="76"/>
      <c r="F130" s="371"/>
      <c r="G130" s="76"/>
      <c r="H130" s="29"/>
      <c r="J130" s="85"/>
      <c r="L130" s="85"/>
      <c r="N130" s="85"/>
      <c r="P130" s="85"/>
      <c r="R130" s="85"/>
      <c r="T130" s="85"/>
    </row>
    <row r="131" spans="1:20" s="369" customFormat="1" ht="13.8" x14ac:dyDescent="0.3">
      <c r="A131" s="82"/>
      <c r="C131" s="85"/>
      <c r="E131" s="76"/>
      <c r="F131" s="371"/>
      <c r="G131" s="76"/>
      <c r="H131" s="29"/>
      <c r="J131" s="85"/>
      <c r="L131" s="85"/>
      <c r="N131" s="85"/>
      <c r="P131" s="85"/>
      <c r="R131" s="85"/>
      <c r="T131" s="85"/>
    </row>
    <row r="132" spans="1:20" s="369" customFormat="1" ht="13.8" x14ac:dyDescent="0.3">
      <c r="A132" s="82"/>
      <c r="C132" s="85"/>
      <c r="E132" s="76"/>
      <c r="F132" s="371"/>
      <c r="G132" s="76"/>
      <c r="H132" s="29"/>
      <c r="J132" s="85"/>
      <c r="L132" s="85"/>
      <c r="N132" s="85"/>
      <c r="P132" s="85"/>
      <c r="R132" s="85"/>
      <c r="T132" s="85"/>
    </row>
    <row r="133" spans="1:20" s="369" customFormat="1" ht="13.8" x14ac:dyDescent="0.3">
      <c r="A133" s="82"/>
      <c r="C133" s="85"/>
      <c r="E133" s="76"/>
      <c r="F133" s="371"/>
      <c r="G133" s="76"/>
      <c r="H133" s="29"/>
      <c r="J133" s="85"/>
      <c r="L133" s="85"/>
      <c r="N133" s="85"/>
      <c r="P133" s="85"/>
      <c r="R133" s="85"/>
      <c r="T133" s="85"/>
    </row>
    <row r="134" spans="1:20" s="369" customFormat="1" ht="13.8" x14ac:dyDescent="0.3">
      <c r="A134" s="82"/>
      <c r="C134" s="85"/>
      <c r="E134" s="76"/>
      <c r="F134" s="371"/>
      <c r="G134" s="76"/>
      <c r="H134" s="29"/>
      <c r="J134" s="85"/>
      <c r="L134" s="85"/>
      <c r="N134" s="85"/>
      <c r="P134" s="85"/>
      <c r="R134" s="85"/>
      <c r="T134" s="85"/>
    </row>
    <row r="135" spans="1:20" s="369" customFormat="1" ht="13.8" x14ac:dyDescent="0.3">
      <c r="A135" s="82"/>
      <c r="C135" s="85"/>
      <c r="E135" s="76"/>
      <c r="F135" s="371"/>
      <c r="G135" s="76"/>
      <c r="H135" s="29"/>
      <c r="J135" s="85"/>
      <c r="L135" s="85"/>
      <c r="N135" s="85"/>
      <c r="P135" s="85"/>
      <c r="R135" s="85"/>
      <c r="T135" s="85"/>
    </row>
    <row r="136" spans="1:20" s="369" customFormat="1" ht="13.8" x14ac:dyDescent="0.3">
      <c r="A136" s="82"/>
      <c r="C136" s="85"/>
      <c r="E136" s="76"/>
      <c r="F136" s="371"/>
      <c r="G136" s="76"/>
      <c r="H136" s="29"/>
      <c r="J136" s="85"/>
      <c r="L136" s="85"/>
      <c r="N136" s="85"/>
      <c r="P136" s="85"/>
      <c r="R136" s="85"/>
      <c r="T136" s="85"/>
    </row>
    <row r="137" spans="1:20" s="369" customFormat="1" ht="13.8" x14ac:dyDescent="0.3">
      <c r="A137" s="82"/>
      <c r="C137" s="85"/>
      <c r="E137" s="76"/>
      <c r="F137" s="371"/>
      <c r="G137" s="76"/>
      <c r="H137" s="29"/>
      <c r="J137" s="85"/>
      <c r="L137" s="85"/>
      <c r="N137" s="85"/>
      <c r="P137" s="85"/>
      <c r="R137" s="85"/>
      <c r="T137" s="85"/>
    </row>
    <row r="138" spans="1:20" s="369" customFormat="1" ht="13.8" x14ac:dyDescent="0.3">
      <c r="A138" s="82"/>
      <c r="C138" s="85"/>
      <c r="E138" s="76"/>
      <c r="F138" s="371"/>
      <c r="G138" s="76"/>
      <c r="H138" s="29"/>
      <c r="J138" s="85"/>
      <c r="L138" s="85"/>
      <c r="N138" s="85"/>
      <c r="P138" s="85"/>
      <c r="R138" s="85"/>
      <c r="T138" s="85"/>
    </row>
    <row r="139" spans="1:20" s="369" customFormat="1" ht="13.8" x14ac:dyDescent="0.3">
      <c r="A139" s="82"/>
      <c r="C139" s="85"/>
      <c r="E139" s="76"/>
      <c r="F139" s="371"/>
      <c r="G139" s="76"/>
      <c r="H139" s="29"/>
      <c r="J139" s="85"/>
      <c r="L139" s="85"/>
      <c r="N139" s="85"/>
      <c r="P139" s="85"/>
      <c r="R139" s="85"/>
      <c r="T139" s="85"/>
    </row>
    <row r="140" spans="1:20" s="369" customFormat="1" ht="13.8" x14ac:dyDescent="0.3">
      <c r="A140" s="82"/>
      <c r="C140" s="85"/>
      <c r="E140" s="76"/>
      <c r="F140" s="371"/>
      <c r="G140" s="76"/>
      <c r="H140" s="29"/>
      <c r="J140" s="85"/>
      <c r="L140" s="85"/>
      <c r="N140" s="85"/>
      <c r="P140" s="85"/>
      <c r="R140" s="85"/>
      <c r="T140" s="85"/>
    </row>
    <row r="141" spans="1:20" s="369" customFormat="1" ht="13.8" x14ac:dyDescent="0.3">
      <c r="A141" s="82"/>
      <c r="C141" s="85"/>
      <c r="E141" s="76"/>
      <c r="F141" s="371"/>
      <c r="G141" s="76"/>
      <c r="H141" s="29"/>
      <c r="J141" s="85"/>
      <c r="L141" s="85"/>
      <c r="N141" s="85"/>
      <c r="P141" s="85"/>
      <c r="R141" s="85"/>
      <c r="T141" s="85"/>
    </row>
    <row r="142" spans="1:20" s="369" customFormat="1" ht="13.8" x14ac:dyDescent="0.3">
      <c r="A142" s="82"/>
      <c r="C142" s="85"/>
      <c r="E142" s="76"/>
      <c r="F142" s="371"/>
      <c r="G142" s="76"/>
      <c r="H142" s="29"/>
      <c r="J142" s="85"/>
      <c r="L142" s="85"/>
      <c r="N142" s="85"/>
      <c r="P142" s="85"/>
      <c r="R142" s="85"/>
      <c r="T142" s="85"/>
    </row>
  </sheetData>
  <pageMargins left="0.7" right="0.7" top="0.75" bottom="0.75" header="0.3" footer="0.3"/>
  <pageSetup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U60"/>
  <sheetViews>
    <sheetView zoomScale="85" zoomScaleNormal="85" workbookViewId="0"/>
  </sheetViews>
  <sheetFormatPr defaultColWidth="9.109375" defaultRowHeight="14.4" x14ac:dyDescent="0.3"/>
  <cols>
    <col min="1" max="1" width="3.5546875" style="369" customWidth="1"/>
    <col min="2" max="2" width="27" style="369" bestFit="1" customWidth="1"/>
    <col min="3" max="3" width="30.6640625" style="85" customWidth="1"/>
    <col min="4" max="4" width="11.6640625" style="369" bestFit="1" customWidth="1"/>
    <col min="5" max="5" width="2.6640625" style="76" customWidth="1"/>
    <col min="6" max="6" width="30.6640625" style="371" customWidth="1"/>
    <col min="7" max="7" width="2.6640625" style="76" customWidth="1"/>
    <col min="8" max="8" width="27.88671875" style="29" bestFit="1" customWidth="1"/>
    <col min="9" max="9" width="2.6640625" style="369" customWidth="1"/>
    <col min="10" max="10" width="24.44140625" style="85" customWidth="1"/>
    <col min="11" max="11" width="2.6640625" style="369" customWidth="1"/>
    <col min="12" max="12" width="28.109375" style="85" customWidth="1"/>
    <col min="13" max="13" width="2.6640625" style="369" customWidth="1"/>
    <col min="14" max="14" width="26" style="85" customWidth="1"/>
    <col min="15" max="15" width="2.6640625" style="369" customWidth="1"/>
    <col min="16" max="16384" width="9.109375" style="397"/>
  </cols>
  <sheetData>
    <row r="1" spans="1:21" ht="12.75" customHeight="1" x14ac:dyDescent="0.3">
      <c r="P1" s="85"/>
      <c r="Q1" s="369"/>
      <c r="R1" s="85"/>
      <c r="S1" s="369"/>
      <c r="T1" s="85"/>
      <c r="U1" s="369"/>
    </row>
    <row r="2" spans="1:21" x14ac:dyDescent="0.3">
      <c r="B2" s="567" t="s">
        <v>5</v>
      </c>
      <c r="C2" s="568"/>
      <c r="D2" s="567"/>
      <c r="E2" s="574"/>
      <c r="F2" s="568" t="s">
        <v>6</v>
      </c>
      <c r="G2" s="369"/>
      <c r="K2" s="567"/>
      <c r="L2" s="568" t="s">
        <v>1101</v>
      </c>
    </row>
    <row r="3" spans="1:21" x14ac:dyDescent="0.3">
      <c r="B3" s="369" t="s">
        <v>0</v>
      </c>
      <c r="C3" s="65" t="s">
        <v>1098</v>
      </c>
      <c r="E3" s="369"/>
      <c r="F3" s="85" t="s">
        <v>8</v>
      </c>
      <c r="G3" s="369"/>
      <c r="H3" s="65"/>
      <c r="K3" s="569"/>
      <c r="L3" s="369" t="s">
        <v>1102</v>
      </c>
    </row>
    <row r="4" spans="1:21" x14ac:dyDescent="0.3">
      <c r="B4" s="369" t="s">
        <v>1</v>
      </c>
      <c r="C4" s="85" t="str">
        <f>C3&amp;".cibd16"</f>
        <v>020006S-OffSml-Run25.cibd16</v>
      </c>
      <c r="F4" s="85" t="s">
        <v>110</v>
      </c>
      <c r="G4" s="369"/>
      <c r="H4" s="371" t="str">
        <f>'Documentation Main Sheet'!I3</f>
        <v>Release package</v>
      </c>
      <c r="K4" s="570">
        <v>1</v>
      </c>
      <c r="L4" s="378" t="s">
        <v>1103</v>
      </c>
    </row>
    <row r="5" spans="1:21" x14ac:dyDescent="0.3">
      <c r="B5" s="369" t="s">
        <v>54</v>
      </c>
      <c r="C5" s="85" t="s">
        <v>56</v>
      </c>
      <c r="F5" s="85" t="s">
        <v>7</v>
      </c>
      <c r="H5" s="371" t="str">
        <f>'Documentation Main Sheet'!I4</f>
        <v>CBECC-Com 209.1.0 release</v>
      </c>
      <c r="I5" s="62"/>
      <c r="K5" s="571">
        <v>1</v>
      </c>
      <c r="L5" s="378" t="s">
        <v>1103</v>
      </c>
    </row>
    <row r="6" spans="1:21" x14ac:dyDescent="0.3">
      <c r="B6" s="369" t="s">
        <v>390</v>
      </c>
      <c r="C6" s="85" t="s">
        <v>395</v>
      </c>
      <c r="F6" s="85" t="s">
        <v>2</v>
      </c>
      <c r="H6" s="394"/>
      <c r="K6" s="572">
        <v>1</v>
      </c>
      <c r="L6" s="381" t="s">
        <v>1104</v>
      </c>
    </row>
    <row r="7" spans="1:21" x14ac:dyDescent="0.3">
      <c r="B7" s="369" t="s">
        <v>432</v>
      </c>
      <c r="C7" s="85" t="s">
        <v>397</v>
      </c>
      <c r="F7" s="85" t="s">
        <v>3</v>
      </c>
      <c r="H7" s="371" t="s">
        <v>4</v>
      </c>
      <c r="K7" s="573">
        <v>1</v>
      </c>
      <c r="L7" s="378" t="s">
        <v>1105</v>
      </c>
    </row>
    <row r="8" spans="1:21" x14ac:dyDescent="0.3">
      <c r="B8" s="369" t="s">
        <v>952</v>
      </c>
      <c r="C8" s="85" t="s">
        <v>426</v>
      </c>
      <c r="F8" s="369"/>
      <c r="G8" s="369"/>
      <c r="H8" s="369"/>
      <c r="K8" s="796">
        <v>1</v>
      </c>
      <c r="L8" s="369" t="s">
        <v>1396</v>
      </c>
    </row>
    <row r="9" spans="1:21" x14ac:dyDescent="0.3">
      <c r="F9" s="369"/>
      <c r="G9" s="369"/>
      <c r="H9" s="369"/>
    </row>
    <row r="10" spans="1:21" x14ac:dyDescent="0.3">
      <c r="A10" s="286"/>
      <c r="B10" s="287" t="s">
        <v>37</v>
      </c>
      <c r="C10" s="288"/>
      <c r="D10" s="286"/>
      <c r="E10" s="286"/>
      <c r="F10" s="289"/>
      <c r="G10" s="286"/>
      <c r="H10" s="288"/>
      <c r="I10" s="286"/>
      <c r="J10" s="288"/>
      <c r="K10" s="286"/>
      <c r="L10" s="288"/>
      <c r="M10" s="286"/>
      <c r="N10" s="288"/>
      <c r="O10" s="397"/>
    </row>
    <row r="11" spans="1:21" x14ac:dyDescent="0.3">
      <c r="A11" s="26"/>
      <c r="B11" s="28" t="s">
        <v>9</v>
      </c>
      <c r="C11" s="87"/>
      <c r="D11" s="86"/>
      <c r="E11" s="84"/>
      <c r="F11" s="85"/>
      <c r="G11" s="84"/>
      <c r="I11" s="84"/>
      <c r="K11" s="84"/>
      <c r="M11" s="84"/>
      <c r="O11" s="397"/>
    </row>
    <row r="12" spans="1:21" x14ac:dyDescent="0.3">
      <c r="B12" s="84" t="s">
        <v>18</v>
      </c>
      <c r="E12" s="369"/>
      <c r="F12" s="85"/>
      <c r="G12" s="369"/>
      <c r="H12" s="371"/>
      <c r="J12" s="32"/>
      <c r="K12" s="7"/>
      <c r="L12" s="32"/>
      <c r="M12" s="7"/>
      <c r="N12" s="32"/>
      <c r="O12" s="397"/>
    </row>
    <row r="13" spans="1:21" ht="27.6" x14ac:dyDescent="0.3">
      <c r="A13" s="84"/>
      <c r="B13" s="132" t="s">
        <v>137</v>
      </c>
      <c r="C13" s="113" t="s">
        <v>31</v>
      </c>
      <c r="D13" s="112" t="s">
        <v>433</v>
      </c>
      <c r="E13" s="500"/>
      <c r="F13" s="113" t="s">
        <v>437</v>
      </c>
      <c r="G13" s="132"/>
      <c r="H13" s="142" t="s">
        <v>11</v>
      </c>
      <c r="I13" s="112"/>
      <c r="J13" s="113" t="s">
        <v>495</v>
      </c>
      <c r="K13" s="132"/>
      <c r="L13" s="142" t="s">
        <v>22</v>
      </c>
      <c r="M13" s="132"/>
      <c r="N13" s="142" t="s">
        <v>39</v>
      </c>
      <c r="O13" s="397"/>
    </row>
    <row r="14" spans="1:21" ht="15" thickBot="1" x14ac:dyDescent="0.35">
      <c r="A14" s="76"/>
      <c r="B14" s="126"/>
      <c r="C14" s="117" t="s">
        <v>46</v>
      </c>
      <c r="D14" s="118"/>
      <c r="E14" s="501"/>
      <c r="F14" s="503"/>
      <c r="G14" s="133"/>
      <c r="H14" s="143" t="s">
        <v>26</v>
      </c>
      <c r="I14" s="119"/>
      <c r="J14" s="117" t="s">
        <v>47</v>
      </c>
      <c r="K14" s="139"/>
      <c r="L14" s="143" t="s">
        <v>28</v>
      </c>
      <c r="M14" s="139"/>
      <c r="N14" s="143" t="s">
        <v>29</v>
      </c>
      <c r="O14" s="397"/>
    </row>
    <row r="15" spans="1:21" ht="15" thickTop="1" x14ac:dyDescent="0.3">
      <c r="B15" s="123" t="s">
        <v>20</v>
      </c>
      <c r="C15" s="369" t="s">
        <v>483</v>
      </c>
      <c r="D15" s="369" t="s">
        <v>521</v>
      </c>
      <c r="E15" s="403"/>
      <c r="F15" s="371" t="s">
        <v>931</v>
      </c>
      <c r="G15" s="136"/>
      <c r="H15" s="367" t="s">
        <v>19</v>
      </c>
      <c r="I15" s="176"/>
      <c r="J15" s="31">
        <v>0.4</v>
      </c>
      <c r="K15" s="136"/>
      <c r="L15" s="147">
        <v>0.33</v>
      </c>
      <c r="M15" s="136"/>
      <c r="N15" s="147">
        <v>0.5</v>
      </c>
    </row>
    <row r="16" spans="1:21" x14ac:dyDescent="0.3">
      <c r="B16" s="149" t="s">
        <v>20</v>
      </c>
      <c r="C16" s="151" t="s">
        <v>484</v>
      </c>
      <c r="D16" s="158" t="s">
        <v>436</v>
      </c>
      <c r="E16" s="502"/>
      <c r="F16" s="160" t="s">
        <v>439</v>
      </c>
      <c r="G16" s="165"/>
      <c r="H16" s="166" t="s">
        <v>19</v>
      </c>
      <c r="I16" s="164"/>
      <c r="J16" s="150">
        <v>0.55000000000000004</v>
      </c>
      <c r="K16" s="165"/>
      <c r="L16" s="163">
        <v>0.56000000000000005</v>
      </c>
      <c r="M16" s="165"/>
      <c r="N16" s="163">
        <v>0.6</v>
      </c>
      <c r="O16" s="397"/>
    </row>
    <row r="17" spans="1:15" x14ac:dyDescent="0.3">
      <c r="C17" s="371"/>
      <c r="D17" s="378"/>
      <c r="E17" s="369"/>
      <c r="G17" s="369"/>
      <c r="H17" s="85"/>
      <c r="O17" s="397"/>
    </row>
    <row r="18" spans="1:15" s="83" customFormat="1" ht="27.6" x14ac:dyDescent="0.3">
      <c r="D18" s="216" t="s">
        <v>137</v>
      </c>
      <c r="E18" s="190"/>
      <c r="F18" s="109" t="s">
        <v>512</v>
      </c>
      <c r="G18" s="183"/>
      <c r="H18" s="116" t="s">
        <v>513</v>
      </c>
      <c r="I18" s="190"/>
      <c r="J18" s="109" t="s">
        <v>514</v>
      </c>
      <c r="K18" s="183"/>
      <c r="L18" s="116" t="s">
        <v>515</v>
      </c>
      <c r="M18" s="190"/>
      <c r="N18" s="109" t="s">
        <v>516</v>
      </c>
      <c r="O18" s="15"/>
    </row>
    <row r="19" spans="1:15" s="369" customFormat="1" thickBot="1" x14ac:dyDescent="0.35">
      <c r="D19" s="236"/>
      <c r="E19" s="237"/>
      <c r="F19" s="238" t="s">
        <v>65</v>
      </c>
      <c r="G19" s="224"/>
      <c r="H19" s="118" t="s">
        <v>66</v>
      </c>
      <c r="I19" s="237"/>
      <c r="J19" s="101" t="s">
        <v>67</v>
      </c>
      <c r="K19" s="224"/>
      <c r="L19" s="215" t="s">
        <v>68</v>
      </c>
      <c r="M19" s="237"/>
      <c r="N19" s="101" t="s">
        <v>69</v>
      </c>
      <c r="O19" s="63"/>
    </row>
    <row r="20" spans="1:15" s="378" customFormat="1" thickTop="1" x14ac:dyDescent="0.3">
      <c r="C20" s="84"/>
      <c r="D20" s="233" t="s">
        <v>20</v>
      </c>
      <c r="E20" s="165"/>
      <c r="F20" s="235">
        <v>0.42</v>
      </c>
      <c r="G20" s="164"/>
      <c r="H20" s="234">
        <v>0.2</v>
      </c>
      <c r="I20" s="165"/>
      <c r="J20" s="234">
        <v>0.2</v>
      </c>
      <c r="K20" s="165"/>
      <c r="L20" s="234">
        <v>0.94</v>
      </c>
      <c r="M20" s="165"/>
      <c r="N20" s="235">
        <v>0.2</v>
      </c>
      <c r="O20" s="370"/>
    </row>
    <row r="21" spans="1:15" x14ac:dyDescent="0.3">
      <c r="C21" s="371"/>
      <c r="D21" s="378"/>
      <c r="E21" s="369"/>
      <c r="G21" s="369"/>
      <c r="H21" s="85"/>
      <c r="O21" s="397"/>
    </row>
    <row r="22" spans="1:15" x14ac:dyDescent="0.3">
      <c r="A22" s="397"/>
      <c r="B22" s="397"/>
      <c r="C22" s="397"/>
      <c r="D22" s="397"/>
      <c r="E22" s="362"/>
      <c r="F22" s="397"/>
      <c r="G22" s="362"/>
      <c r="H22" s="397"/>
      <c r="I22" s="362"/>
      <c r="J22" s="397"/>
      <c r="K22" s="362"/>
      <c r="L22" s="397"/>
      <c r="M22" s="362"/>
      <c r="N22" s="397"/>
      <c r="O22" s="397"/>
    </row>
    <row r="23" spans="1:15" s="86" customFormat="1" ht="13.8" x14ac:dyDescent="0.3">
      <c r="A23" s="291"/>
      <c r="B23" s="291" t="s">
        <v>48</v>
      </c>
      <c r="C23" s="292"/>
      <c r="D23" s="290"/>
      <c r="E23" s="292"/>
      <c r="F23" s="290"/>
      <c r="G23" s="293"/>
      <c r="H23" s="290"/>
      <c r="I23" s="292"/>
      <c r="J23" s="290"/>
      <c r="K23" s="292"/>
      <c r="L23" s="290"/>
      <c r="M23" s="290"/>
      <c r="N23" s="290"/>
    </row>
    <row r="24" spans="1:15" s="86" customFormat="1" ht="13.8" x14ac:dyDescent="0.3">
      <c r="A24" s="24"/>
      <c r="B24" s="24" t="s">
        <v>9</v>
      </c>
      <c r="C24" s="87"/>
      <c r="E24" s="84"/>
      <c r="F24" s="369"/>
      <c r="G24" s="84"/>
      <c r="H24" s="369"/>
      <c r="I24" s="84"/>
      <c r="J24" s="369"/>
      <c r="K24" s="84"/>
      <c r="L24" s="369"/>
      <c r="M24" s="84"/>
      <c r="N24" s="369"/>
      <c r="O24" s="63"/>
    </row>
    <row r="25" spans="1:15" x14ac:dyDescent="0.3">
      <c r="A25" s="82"/>
      <c r="B25" s="83" t="s">
        <v>18</v>
      </c>
      <c r="O25" s="397"/>
    </row>
    <row r="26" spans="1:15" ht="27.6" x14ac:dyDescent="0.3">
      <c r="A26" s="82"/>
      <c r="B26" s="216" t="s">
        <v>137</v>
      </c>
      <c r="C26" s="116" t="s">
        <v>31</v>
      </c>
      <c r="D26" s="112" t="s">
        <v>433</v>
      </c>
      <c r="E26" s="190"/>
      <c r="F26" s="109" t="s">
        <v>11</v>
      </c>
      <c r="G26" s="183"/>
      <c r="H26" s="116" t="s">
        <v>495</v>
      </c>
      <c r="I26" s="190"/>
      <c r="J26" s="109" t="s">
        <v>22</v>
      </c>
      <c r="K26" s="183"/>
      <c r="L26" s="109" t="s">
        <v>39</v>
      </c>
      <c r="M26" s="34"/>
      <c r="N26" s="77"/>
      <c r="O26" s="397"/>
    </row>
    <row r="27" spans="1:15" ht="15" thickBot="1" x14ac:dyDescent="0.35">
      <c r="A27" s="82"/>
      <c r="B27" s="126"/>
      <c r="C27" s="117" t="s">
        <v>46</v>
      </c>
      <c r="D27" s="118"/>
      <c r="E27" s="133"/>
      <c r="F27" s="143" t="s">
        <v>26</v>
      </c>
      <c r="G27" s="119"/>
      <c r="H27" s="117" t="s">
        <v>47</v>
      </c>
      <c r="I27" s="139"/>
      <c r="J27" s="143" t="s">
        <v>28</v>
      </c>
      <c r="K27" s="118"/>
      <c r="L27" s="143" t="s">
        <v>29</v>
      </c>
      <c r="M27" s="76"/>
      <c r="N27" s="29"/>
      <c r="O27" s="76"/>
    </row>
    <row r="28" spans="1:15" ht="15" thickTop="1" x14ac:dyDescent="0.3">
      <c r="A28" s="82"/>
      <c r="B28" s="123" t="s">
        <v>20</v>
      </c>
      <c r="C28" s="369" t="s">
        <v>483</v>
      </c>
      <c r="D28" s="369" t="s">
        <v>521</v>
      </c>
      <c r="E28" s="134"/>
      <c r="F28" s="367" t="s">
        <v>19</v>
      </c>
      <c r="G28" s="141"/>
      <c r="H28" s="85">
        <v>0.47</v>
      </c>
      <c r="I28" s="134"/>
      <c r="J28" s="146">
        <v>0.31</v>
      </c>
      <c r="K28" s="141"/>
      <c r="L28" s="146">
        <v>0.42</v>
      </c>
    </row>
    <row r="29" spans="1:15" x14ac:dyDescent="0.3">
      <c r="A29" s="82"/>
      <c r="B29" s="149" t="s">
        <v>20</v>
      </c>
      <c r="C29" s="151" t="s">
        <v>484</v>
      </c>
      <c r="D29" s="158" t="s">
        <v>436</v>
      </c>
      <c r="E29" s="153"/>
      <c r="F29" s="166" t="s">
        <v>19</v>
      </c>
      <c r="G29" s="169"/>
      <c r="H29" s="150">
        <v>0.55000000000000004</v>
      </c>
      <c r="I29" s="153"/>
      <c r="J29" s="163">
        <v>0.56000000000000005</v>
      </c>
      <c r="K29" s="169"/>
      <c r="L29" s="163">
        <v>0.6</v>
      </c>
    </row>
    <row r="30" spans="1:15" x14ac:dyDescent="0.3">
      <c r="C30" s="371"/>
      <c r="D30" s="378"/>
      <c r="E30" s="369"/>
      <c r="G30" s="369"/>
      <c r="H30" s="85"/>
    </row>
    <row r="31" spans="1:15" s="83" customFormat="1" ht="27.6" x14ac:dyDescent="0.3">
      <c r="D31" s="216" t="s">
        <v>137</v>
      </c>
      <c r="E31" s="190"/>
      <c r="F31" s="109" t="s">
        <v>512</v>
      </c>
      <c r="G31" s="183"/>
      <c r="H31" s="116" t="s">
        <v>513</v>
      </c>
      <c r="I31" s="190"/>
      <c r="J31" s="109" t="s">
        <v>514</v>
      </c>
      <c r="K31" s="183"/>
      <c r="L31" s="116" t="s">
        <v>515</v>
      </c>
      <c r="M31" s="190"/>
      <c r="N31" s="109" t="s">
        <v>516</v>
      </c>
      <c r="O31" s="39"/>
    </row>
    <row r="32" spans="1:15" s="369" customFormat="1" thickBot="1" x14ac:dyDescent="0.35">
      <c r="D32" s="236"/>
      <c r="E32" s="237"/>
      <c r="F32" s="238" t="s">
        <v>65</v>
      </c>
      <c r="G32" s="224"/>
      <c r="H32" s="118" t="s">
        <v>66</v>
      </c>
      <c r="I32" s="237"/>
      <c r="J32" s="101" t="s">
        <v>67</v>
      </c>
      <c r="K32" s="224"/>
      <c r="L32" s="215" t="s">
        <v>68</v>
      </c>
      <c r="M32" s="237"/>
      <c r="N32" s="101" t="s">
        <v>69</v>
      </c>
      <c r="O32" s="63"/>
    </row>
    <row r="33" spans="1:15" s="378" customFormat="1" thickTop="1" x14ac:dyDescent="0.3">
      <c r="C33" s="84"/>
      <c r="D33" s="233" t="s">
        <v>20</v>
      </c>
      <c r="E33" s="165"/>
      <c r="F33" s="235">
        <v>0.42</v>
      </c>
      <c r="G33" s="164"/>
      <c r="H33" s="234">
        <v>0.2</v>
      </c>
      <c r="I33" s="165"/>
      <c r="J33" s="234">
        <v>0.2</v>
      </c>
      <c r="K33" s="165"/>
      <c r="L33" s="234">
        <v>0.94</v>
      </c>
      <c r="M33" s="165"/>
      <c r="N33" s="235">
        <v>0.2</v>
      </c>
      <c r="O33" s="370"/>
    </row>
    <row r="34" spans="1:15" x14ac:dyDescent="0.3">
      <c r="A34" s="82"/>
      <c r="B34" s="83"/>
    </row>
    <row r="35" spans="1:15" x14ac:dyDescent="0.3">
      <c r="A35" s="82"/>
    </row>
    <row r="36" spans="1:15" x14ac:dyDescent="0.3">
      <c r="A36" s="82"/>
    </row>
    <row r="37" spans="1:15" x14ac:dyDescent="0.3">
      <c r="A37" s="82"/>
    </row>
    <row r="38" spans="1:15" x14ac:dyDescent="0.3">
      <c r="A38" s="82"/>
    </row>
    <row r="39" spans="1:15" x14ac:dyDescent="0.3">
      <c r="A39" s="82"/>
    </row>
    <row r="40" spans="1:15" x14ac:dyDescent="0.3">
      <c r="A40" s="82"/>
    </row>
    <row r="41" spans="1:15" x14ac:dyDescent="0.3">
      <c r="A41" s="82"/>
    </row>
    <row r="42" spans="1:15" x14ac:dyDescent="0.3">
      <c r="A42" s="82"/>
    </row>
    <row r="43" spans="1:15" x14ac:dyDescent="0.3">
      <c r="A43" s="82"/>
    </row>
    <row r="44" spans="1:15" x14ac:dyDescent="0.3">
      <c r="A44" s="82"/>
    </row>
    <row r="45" spans="1:15" x14ac:dyDescent="0.3">
      <c r="A45" s="82"/>
    </row>
    <row r="46" spans="1:15" s="369" customFormat="1" ht="13.8" x14ac:dyDescent="0.3">
      <c r="A46" s="82"/>
      <c r="C46" s="85"/>
      <c r="E46" s="76"/>
      <c r="F46" s="371"/>
      <c r="G46" s="76"/>
      <c r="H46" s="29"/>
      <c r="J46" s="85"/>
      <c r="L46" s="85"/>
      <c r="N46" s="85"/>
    </row>
    <row r="47" spans="1:15" s="369" customFormat="1" ht="13.8" x14ac:dyDescent="0.3">
      <c r="A47" s="82"/>
      <c r="C47" s="85"/>
      <c r="E47" s="76"/>
      <c r="F47" s="371"/>
      <c r="G47" s="76"/>
      <c r="H47" s="29"/>
      <c r="J47" s="85"/>
      <c r="L47" s="85"/>
      <c r="N47" s="85"/>
    </row>
    <row r="48" spans="1:15" s="369" customFormat="1" ht="13.8" x14ac:dyDescent="0.3">
      <c r="A48" s="82"/>
      <c r="C48" s="85"/>
      <c r="E48" s="76"/>
      <c r="F48" s="371"/>
      <c r="G48" s="76"/>
      <c r="H48" s="29"/>
      <c r="J48" s="85"/>
      <c r="L48" s="85"/>
      <c r="N48" s="85"/>
    </row>
    <row r="49" spans="1:14" s="369" customFormat="1" ht="13.8" x14ac:dyDescent="0.3">
      <c r="A49" s="82"/>
      <c r="C49" s="85"/>
      <c r="E49" s="76"/>
      <c r="F49" s="371"/>
      <c r="G49" s="76"/>
      <c r="H49" s="29"/>
      <c r="J49" s="85"/>
      <c r="L49" s="85"/>
      <c r="N49" s="85"/>
    </row>
    <row r="50" spans="1:14" s="369" customFormat="1" ht="13.8" x14ac:dyDescent="0.3">
      <c r="A50" s="82"/>
      <c r="C50" s="85"/>
      <c r="E50" s="76"/>
      <c r="F50" s="371"/>
      <c r="G50" s="76"/>
      <c r="H50" s="29"/>
      <c r="J50" s="85"/>
      <c r="L50" s="85"/>
      <c r="N50" s="85"/>
    </row>
    <row r="51" spans="1:14" s="369" customFormat="1" ht="13.8" x14ac:dyDescent="0.3">
      <c r="A51" s="82"/>
      <c r="C51" s="85"/>
      <c r="E51" s="76"/>
      <c r="F51" s="371"/>
      <c r="G51" s="76"/>
      <c r="H51" s="29"/>
      <c r="J51" s="85"/>
      <c r="L51" s="85"/>
      <c r="N51" s="85"/>
    </row>
    <row r="52" spans="1:14" s="369" customFormat="1" ht="13.8" x14ac:dyDescent="0.3">
      <c r="A52" s="82"/>
      <c r="C52" s="85"/>
      <c r="E52" s="76"/>
      <c r="F52" s="371"/>
      <c r="G52" s="76"/>
      <c r="H52" s="29"/>
      <c r="J52" s="85"/>
      <c r="L52" s="85"/>
      <c r="N52" s="85"/>
    </row>
    <row r="53" spans="1:14" s="369" customFormat="1" ht="13.8" x14ac:dyDescent="0.3">
      <c r="A53" s="82"/>
      <c r="C53" s="85"/>
      <c r="E53" s="76"/>
      <c r="F53" s="371"/>
      <c r="G53" s="76"/>
      <c r="H53" s="29"/>
      <c r="J53" s="85"/>
      <c r="L53" s="85"/>
      <c r="N53" s="85"/>
    </row>
    <row r="54" spans="1:14" s="369" customFormat="1" ht="13.8" x14ac:dyDescent="0.3">
      <c r="A54" s="82"/>
      <c r="C54" s="85"/>
      <c r="E54" s="76"/>
      <c r="F54" s="371"/>
      <c r="G54" s="76"/>
      <c r="H54" s="29"/>
      <c r="J54" s="85"/>
      <c r="L54" s="85"/>
      <c r="N54" s="85"/>
    </row>
    <row r="55" spans="1:14" s="369" customFormat="1" ht="13.8" x14ac:dyDescent="0.3">
      <c r="A55" s="82"/>
      <c r="C55" s="85"/>
      <c r="E55" s="76"/>
      <c r="F55" s="371"/>
      <c r="G55" s="76"/>
      <c r="H55" s="29"/>
      <c r="J55" s="85"/>
      <c r="L55" s="85"/>
      <c r="N55" s="85"/>
    </row>
    <row r="56" spans="1:14" s="369" customFormat="1" ht="13.8" x14ac:dyDescent="0.3">
      <c r="A56" s="82"/>
      <c r="C56" s="85"/>
      <c r="E56" s="76"/>
      <c r="F56" s="371"/>
      <c r="G56" s="76"/>
      <c r="H56" s="29"/>
      <c r="J56" s="85"/>
      <c r="L56" s="85"/>
      <c r="N56" s="85"/>
    </row>
    <row r="57" spans="1:14" s="369" customFormat="1" ht="13.8" x14ac:dyDescent="0.3">
      <c r="A57" s="82"/>
      <c r="C57" s="85"/>
      <c r="E57" s="76"/>
      <c r="F57" s="371"/>
      <c r="G57" s="76"/>
      <c r="H57" s="29"/>
      <c r="J57" s="85"/>
      <c r="L57" s="85"/>
      <c r="N57" s="85"/>
    </row>
    <row r="58" spans="1:14" s="369" customFormat="1" ht="13.8" x14ac:dyDescent="0.3">
      <c r="A58" s="82"/>
      <c r="C58" s="85"/>
      <c r="E58" s="76"/>
      <c r="F58" s="371"/>
      <c r="G58" s="76"/>
      <c r="H58" s="29"/>
      <c r="J58" s="85"/>
      <c r="L58" s="85"/>
      <c r="N58" s="85"/>
    </row>
    <row r="59" spans="1:14" s="369" customFormat="1" ht="13.8" x14ac:dyDescent="0.3">
      <c r="A59" s="82"/>
      <c r="C59" s="85"/>
      <c r="E59" s="76"/>
      <c r="F59" s="371"/>
      <c r="G59" s="76"/>
      <c r="H59" s="29"/>
      <c r="J59" s="85"/>
      <c r="L59" s="85"/>
      <c r="N59" s="85"/>
    </row>
    <row r="60" spans="1:14" s="369" customFormat="1" ht="13.8" x14ac:dyDescent="0.3">
      <c r="A60" s="82"/>
      <c r="C60" s="85"/>
      <c r="E60" s="76"/>
      <c r="F60" s="371"/>
      <c r="G60" s="76"/>
      <c r="H60" s="29"/>
      <c r="J60" s="85"/>
      <c r="L60" s="85"/>
      <c r="N60" s="85"/>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sheetPr>
  <dimension ref="A1:U60"/>
  <sheetViews>
    <sheetView zoomScale="85" zoomScaleNormal="85" workbookViewId="0"/>
  </sheetViews>
  <sheetFormatPr defaultColWidth="9.109375" defaultRowHeight="14.4" x14ac:dyDescent="0.3"/>
  <cols>
    <col min="1" max="1" width="3.6640625" style="369" customWidth="1"/>
    <col min="2" max="2" width="27" style="369" bestFit="1" customWidth="1"/>
    <col min="3" max="3" width="30.6640625" style="85" customWidth="1"/>
    <col min="4" max="4" width="11.6640625" style="369" bestFit="1" customWidth="1"/>
    <col min="5" max="5" width="2.6640625" style="76" customWidth="1"/>
    <col min="6" max="6" width="30.6640625" style="371" customWidth="1"/>
    <col min="7" max="7" width="2.6640625" style="76" customWidth="1"/>
    <col min="8" max="8" width="27.88671875" style="29" bestFit="1" customWidth="1"/>
    <col min="9" max="9" width="2.6640625" style="369" customWidth="1"/>
    <col min="10" max="10" width="24.44140625" style="85" customWidth="1"/>
    <col min="11" max="11" width="2.6640625" style="369" customWidth="1"/>
    <col min="12" max="12" width="28.109375" style="85" customWidth="1"/>
    <col min="13" max="13" width="2.6640625" style="369" customWidth="1"/>
    <col min="14" max="14" width="26" style="85" customWidth="1"/>
    <col min="15" max="15" width="2.6640625" style="369" customWidth="1"/>
    <col min="16" max="16384" width="9.109375" style="397"/>
  </cols>
  <sheetData>
    <row r="1" spans="1:21" ht="12.75" customHeight="1" x14ac:dyDescent="0.3">
      <c r="P1" s="85"/>
      <c r="Q1" s="369"/>
      <c r="R1" s="85"/>
      <c r="S1" s="369"/>
      <c r="T1" s="85"/>
      <c r="U1" s="369"/>
    </row>
    <row r="2" spans="1:21" x14ac:dyDescent="0.3">
      <c r="B2" s="567" t="s">
        <v>5</v>
      </c>
      <c r="C2" s="568"/>
      <c r="D2" s="567"/>
      <c r="E2" s="574"/>
      <c r="F2" s="568" t="s">
        <v>6</v>
      </c>
      <c r="G2" s="369"/>
      <c r="K2" s="567"/>
      <c r="L2" s="568" t="s">
        <v>1101</v>
      </c>
    </row>
    <row r="3" spans="1:21" x14ac:dyDescent="0.3">
      <c r="B3" s="369" t="s">
        <v>0</v>
      </c>
      <c r="C3" s="65" t="s">
        <v>1099</v>
      </c>
      <c r="E3" s="369"/>
      <c r="F3" s="85" t="s">
        <v>8</v>
      </c>
      <c r="G3" s="369"/>
      <c r="H3" s="65"/>
      <c r="K3" s="569"/>
      <c r="L3" s="369" t="s">
        <v>1102</v>
      </c>
    </row>
    <row r="4" spans="1:21" x14ac:dyDescent="0.3">
      <c r="B4" s="369" t="s">
        <v>1</v>
      </c>
      <c r="C4" s="85" t="str">
        <f>C3&amp;".cibd16"</f>
        <v>020006S-OffSml-Run26.cibd16</v>
      </c>
      <c r="F4" s="85" t="s">
        <v>110</v>
      </c>
      <c r="G4" s="369"/>
      <c r="H4" s="371" t="str">
        <f>'Documentation Main Sheet'!I3</f>
        <v>Release package</v>
      </c>
      <c r="K4" s="570">
        <v>1</v>
      </c>
      <c r="L4" s="378" t="s">
        <v>1103</v>
      </c>
    </row>
    <row r="5" spans="1:21" x14ac:dyDescent="0.3">
      <c r="B5" s="369" t="s">
        <v>54</v>
      </c>
      <c r="C5" s="85" t="s">
        <v>56</v>
      </c>
      <c r="F5" s="85" t="s">
        <v>7</v>
      </c>
      <c r="H5" s="371" t="str">
        <f>'Documentation Main Sheet'!I4</f>
        <v>CBECC-Com 209.1.0 release</v>
      </c>
      <c r="I5" s="62"/>
      <c r="K5" s="571">
        <v>1</v>
      </c>
      <c r="L5" s="378" t="s">
        <v>1103</v>
      </c>
    </row>
    <row r="6" spans="1:21" x14ac:dyDescent="0.3">
      <c r="B6" s="369" t="s">
        <v>390</v>
      </c>
      <c r="C6" s="85" t="s">
        <v>395</v>
      </c>
      <c r="F6" s="85" t="s">
        <v>2</v>
      </c>
      <c r="H6" s="394"/>
      <c r="K6" s="572">
        <v>1</v>
      </c>
      <c r="L6" s="381" t="s">
        <v>1104</v>
      </c>
    </row>
    <row r="7" spans="1:21" x14ac:dyDescent="0.3">
      <c r="B7" s="369" t="s">
        <v>432</v>
      </c>
      <c r="C7" s="85" t="s">
        <v>397</v>
      </c>
      <c r="F7" s="85" t="s">
        <v>3</v>
      </c>
      <c r="H7" s="371" t="s">
        <v>4</v>
      </c>
      <c r="K7" s="573">
        <v>1</v>
      </c>
      <c r="L7" s="378" t="s">
        <v>1105</v>
      </c>
    </row>
    <row r="8" spans="1:21" x14ac:dyDescent="0.3">
      <c r="B8" s="369" t="s">
        <v>952</v>
      </c>
      <c r="C8" s="85" t="s">
        <v>426</v>
      </c>
      <c r="F8" s="369"/>
      <c r="G8" s="369"/>
      <c r="H8" s="369"/>
      <c r="K8" s="796">
        <v>1</v>
      </c>
      <c r="L8" s="369" t="s">
        <v>1396</v>
      </c>
    </row>
    <row r="9" spans="1:21" x14ac:dyDescent="0.3">
      <c r="F9" s="369"/>
      <c r="G9" s="369"/>
      <c r="H9" s="369"/>
    </row>
    <row r="10" spans="1:21" x14ac:dyDescent="0.3">
      <c r="A10" s="286"/>
      <c r="B10" s="287" t="s">
        <v>37</v>
      </c>
      <c r="C10" s="288"/>
      <c r="D10" s="286"/>
      <c r="E10" s="286"/>
      <c r="F10" s="289"/>
      <c r="G10" s="286"/>
      <c r="H10" s="288"/>
      <c r="I10" s="286"/>
      <c r="J10" s="288"/>
      <c r="K10" s="286"/>
      <c r="L10" s="288"/>
      <c r="M10" s="286"/>
      <c r="N10" s="288"/>
      <c r="O10" s="397"/>
    </row>
    <row r="11" spans="1:21" x14ac:dyDescent="0.3">
      <c r="A11" s="26"/>
      <c r="B11" s="28" t="s">
        <v>9</v>
      </c>
      <c r="C11" s="87"/>
      <c r="D11" s="86"/>
      <c r="E11" s="84"/>
      <c r="F11" s="85"/>
      <c r="G11" s="84"/>
      <c r="I11" s="84"/>
      <c r="K11" s="84"/>
      <c r="M11" s="84"/>
      <c r="O11" s="397"/>
    </row>
    <row r="12" spans="1:21" x14ac:dyDescent="0.3">
      <c r="B12" s="84" t="s">
        <v>18</v>
      </c>
      <c r="E12" s="369"/>
      <c r="F12" s="85"/>
      <c r="G12" s="369"/>
      <c r="H12" s="371"/>
      <c r="J12" s="32"/>
      <c r="K12" s="7"/>
      <c r="L12" s="32"/>
      <c r="M12" s="7"/>
      <c r="N12" s="32"/>
      <c r="O12" s="397"/>
    </row>
    <row r="13" spans="1:21" ht="27.6" x14ac:dyDescent="0.3">
      <c r="A13" s="84"/>
      <c r="B13" s="132" t="s">
        <v>137</v>
      </c>
      <c r="C13" s="113" t="s">
        <v>31</v>
      </c>
      <c r="D13" s="112" t="s">
        <v>433</v>
      </c>
      <c r="E13" s="112"/>
      <c r="F13" s="113" t="s">
        <v>437</v>
      </c>
      <c r="G13" s="132"/>
      <c r="H13" s="142" t="s">
        <v>11</v>
      </c>
      <c r="I13" s="112"/>
      <c r="J13" s="113" t="s">
        <v>495</v>
      </c>
      <c r="K13" s="132"/>
      <c r="L13" s="142" t="s">
        <v>22</v>
      </c>
      <c r="M13" s="132"/>
      <c r="N13" s="142" t="s">
        <v>39</v>
      </c>
      <c r="O13" s="397"/>
    </row>
    <row r="14" spans="1:21" ht="15" thickBot="1" x14ac:dyDescent="0.35">
      <c r="A14" s="76"/>
      <c r="B14" s="126"/>
      <c r="C14" s="117" t="s">
        <v>46</v>
      </c>
      <c r="D14" s="118"/>
      <c r="E14" s="119"/>
      <c r="F14" s="503"/>
      <c r="G14" s="133"/>
      <c r="H14" s="143" t="s">
        <v>26</v>
      </c>
      <c r="I14" s="119"/>
      <c r="J14" s="117" t="s">
        <v>47</v>
      </c>
      <c r="K14" s="139"/>
      <c r="L14" s="143" t="s">
        <v>28</v>
      </c>
      <c r="M14" s="139"/>
      <c r="N14" s="143" t="s">
        <v>29</v>
      </c>
      <c r="O14" s="397"/>
    </row>
    <row r="15" spans="1:21" ht="15" thickTop="1" x14ac:dyDescent="0.3">
      <c r="B15" s="123" t="s">
        <v>20</v>
      </c>
      <c r="C15" s="369" t="s">
        <v>483</v>
      </c>
      <c r="D15" s="369" t="s">
        <v>435</v>
      </c>
      <c r="E15" s="378"/>
      <c r="F15" s="371" t="s">
        <v>931</v>
      </c>
      <c r="G15" s="136"/>
      <c r="H15" s="367" t="s">
        <v>19</v>
      </c>
      <c r="I15" s="176"/>
      <c r="J15" s="31">
        <v>0.35</v>
      </c>
      <c r="K15" s="136"/>
      <c r="L15" s="147">
        <v>0.32</v>
      </c>
      <c r="M15" s="136"/>
      <c r="N15" s="147">
        <v>0.53</v>
      </c>
    </row>
    <row r="16" spans="1:21" x14ac:dyDescent="0.3">
      <c r="B16" s="149" t="s">
        <v>20</v>
      </c>
      <c r="C16" s="151" t="s">
        <v>484</v>
      </c>
      <c r="D16" s="158" t="s">
        <v>436</v>
      </c>
      <c r="E16" s="159"/>
      <c r="F16" s="160" t="s">
        <v>439</v>
      </c>
      <c r="G16" s="165"/>
      <c r="H16" s="166" t="s">
        <v>19</v>
      </c>
      <c r="I16" s="164"/>
      <c r="J16" s="150">
        <v>0.55000000000000004</v>
      </c>
      <c r="K16" s="165"/>
      <c r="L16" s="163">
        <v>0.56000000000000005</v>
      </c>
      <c r="M16" s="165"/>
      <c r="N16" s="163">
        <v>0.6</v>
      </c>
      <c r="O16" s="397"/>
    </row>
    <row r="17" spans="1:15" x14ac:dyDescent="0.3">
      <c r="C17" s="371"/>
      <c r="D17" s="378"/>
      <c r="E17" s="369"/>
      <c r="G17" s="369"/>
      <c r="H17" s="85"/>
      <c r="O17" s="397"/>
    </row>
    <row r="18" spans="1:15" s="83" customFormat="1" ht="27.6" x14ac:dyDescent="0.3">
      <c r="D18" s="216" t="s">
        <v>137</v>
      </c>
      <c r="E18" s="190"/>
      <c r="F18" s="109" t="s">
        <v>512</v>
      </c>
      <c r="G18" s="183"/>
      <c r="H18" s="116" t="s">
        <v>513</v>
      </c>
      <c r="I18" s="190"/>
      <c r="J18" s="109" t="s">
        <v>514</v>
      </c>
      <c r="K18" s="183"/>
      <c r="L18" s="116" t="s">
        <v>515</v>
      </c>
      <c r="M18" s="190"/>
      <c r="N18" s="109" t="s">
        <v>516</v>
      </c>
      <c r="O18" s="15"/>
    </row>
    <row r="19" spans="1:15" s="369" customFormat="1" thickBot="1" x14ac:dyDescent="0.35">
      <c r="D19" s="236"/>
      <c r="E19" s="237"/>
      <c r="F19" s="238" t="s">
        <v>65</v>
      </c>
      <c r="G19" s="224"/>
      <c r="H19" s="118" t="s">
        <v>66</v>
      </c>
      <c r="I19" s="237"/>
      <c r="J19" s="101" t="s">
        <v>67</v>
      </c>
      <c r="K19" s="224"/>
      <c r="L19" s="215" t="s">
        <v>68</v>
      </c>
      <c r="M19" s="237"/>
      <c r="N19" s="101" t="s">
        <v>69</v>
      </c>
      <c r="O19" s="63"/>
    </row>
    <row r="20" spans="1:15" s="378" customFormat="1" thickTop="1" x14ac:dyDescent="0.3">
      <c r="C20" s="84"/>
      <c r="D20" s="233" t="s">
        <v>20</v>
      </c>
      <c r="E20" s="165"/>
      <c r="F20" s="235">
        <v>0.42</v>
      </c>
      <c r="G20" s="164"/>
      <c r="H20" s="234">
        <v>0.2</v>
      </c>
      <c r="I20" s="165"/>
      <c r="J20" s="234">
        <v>0.2</v>
      </c>
      <c r="K20" s="359"/>
      <c r="L20" s="234">
        <v>0.94</v>
      </c>
      <c r="M20" s="165"/>
      <c r="N20" s="235">
        <v>0.2</v>
      </c>
      <c r="O20" s="370"/>
    </row>
    <row r="21" spans="1:15" x14ac:dyDescent="0.3">
      <c r="C21" s="371"/>
      <c r="D21" s="378"/>
      <c r="E21" s="369"/>
      <c r="G21" s="369"/>
      <c r="H21" s="85"/>
      <c r="O21" s="397"/>
    </row>
    <row r="22" spans="1:15" x14ac:dyDescent="0.3">
      <c r="A22" s="397"/>
      <c r="B22" s="397"/>
      <c r="C22" s="397"/>
      <c r="D22" s="397"/>
      <c r="E22" s="362"/>
      <c r="F22" s="397"/>
      <c r="G22" s="362"/>
      <c r="H22" s="397"/>
      <c r="I22" s="362"/>
      <c r="J22" s="397"/>
      <c r="K22" s="362"/>
      <c r="L22" s="397"/>
      <c r="M22" s="362"/>
      <c r="N22" s="397"/>
      <c r="O22" s="397"/>
    </row>
    <row r="23" spans="1:15" s="86" customFormat="1" ht="13.8" x14ac:dyDescent="0.3">
      <c r="A23" s="291"/>
      <c r="B23" s="291" t="s">
        <v>48</v>
      </c>
      <c r="C23" s="292"/>
      <c r="D23" s="290"/>
      <c r="E23" s="292"/>
      <c r="F23" s="290"/>
      <c r="G23" s="293"/>
      <c r="H23" s="290"/>
      <c r="I23" s="292"/>
      <c r="J23" s="290"/>
      <c r="K23" s="292"/>
      <c r="L23" s="290"/>
      <c r="M23" s="290"/>
      <c r="N23" s="290"/>
    </row>
    <row r="24" spans="1:15" s="86" customFormat="1" ht="13.8" x14ac:dyDescent="0.3">
      <c r="A24" s="24"/>
      <c r="B24" s="24" t="s">
        <v>9</v>
      </c>
      <c r="C24" s="87"/>
      <c r="E24" s="84"/>
      <c r="F24" s="369"/>
      <c r="G24" s="84"/>
      <c r="H24" s="369"/>
      <c r="I24" s="84"/>
      <c r="J24" s="369"/>
      <c r="K24" s="84"/>
      <c r="L24" s="369"/>
      <c r="M24" s="84"/>
      <c r="N24" s="369"/>
      <c r="O24" s="63"/>
    </row>
    <row r="25" spans="1:15" x14ac:dyDescent="0.3">
      <c r="A25" s="82"/>
      <c r="B25" s="83" t="s">
        <v>18</v>
      </c>
    </row>
    <row r="26" spans="1:15" ht="27.6" x14ac:dyDescent="0.3">
      <c r="A26" s="82"/>
      <c r="B26" s="216" t="s">
        <v>137</v>
      </c>
      <c r="C26" s="116" t="s">
        <v>31</v>
      </c>
      <c r="D26" s="112" t="s">
        <v>433</v>
      </c>
      <c r="E26" s="190"/>
      <c r="F26" s="109" t="s">
        <v>11</v>
      </c>
      <c r="G26" s="183"/>
      <c r="H26" s="116" t="s">
        <v>495</v>
      </c>
      <c r="I26" s="190"/>
      <c r="J26" s="109" t="s">
        <v>22</v>
      </c>
      <c r="K26" s="183"/>
      <c r="L26" s="109" t="s">
        <v>39</v>
      </c>
      <c r="M26" s="34"/>
      <c r="N26" s="77"/>
      <c r="O26" s="34"/>
    </row>
    <row r="27" spans="1:15" ht="15" thickBot="1" x14ac:dyDescent="0.35">
      <c r="A27" s="82"/>
      <c r="B27" s="126"/>
      <c r="C27" s="117" t="s">
        <v>46</v>
      </c>
      <c r="D27" s="118"/>
      <c r="E27" s="133"/>
      <c r="F27" s="143" t="s">
        <v>26</v>
      </c>
      <c r="G27" s="119"/>
      <c r="H27" s="117" t="s">
        <v>47</v>
      </c>
      <c r="I27" s="139"/>
      <c r="J27" s="143" t="s">
        <v>28</v>
      </c>
      <c r="K27" s="118"/>
      <c r="L27" s="143" t="s">
        <v>29</v>
      </c>
      <c r="M27" s="76"/>
      <c r="N27" s="29"/>
      <c r="O27" s="76"/>
    </row>
    <row r="28" spans="1:15" ht="15" thickTop="1" x14ac:dyDescent="0.3">
      <c r="A28" s="82"/>
      <c r="B28" s="123" t="s">
        <v>20</v>
      </c>
      <c r="C28" s="369" t="s">
        <v>483</v>
      </c>
      <c r="D28" s="369" t="s">
        <v>435</v>
      </c>
      <c r="E28" s="134"/>
      <c r="F28" s="367" t="s">
        <v>19</v>
      </c>
      <c r="G28" s="141"/>
      <c r="H28" s="85">
        <v>0.36</v>
      </c>
      <c r="I28" s="134"/>
      <c r="J28" s="146">
        <v>0.25</v>
      </c>
      <c r="K28" s="141"/>
      <c r="L28" s="146">
        <v>0.42</v>
      </c>
    </row>
    <row r="29" spans="1:15" x14ac:dyDescent="0.3">
      <c r="A29" s="82"/>
      <c r="B29" s="149" t="s">
        <v>20</v>
      </c>
      <c r="C29" s="151" t="s">
        <v>484</v>
      </c>
      <c r="D29" s="158" t="s">
        <v>436</v>
      </c>
      <c r="E29" s="153"/>
      <c r="F29" s="166" t="s">
        <v>19</v>
      </c>
      <c r="G29" s="169"/>
      <c r="H29" s="150">
        <v>0.55000000000000004</v>
      </c>
      <c r="I29" s="153"/>
      <c r="J29" s="163">
        <v>0.56000000000000005</v>
      </c>
      <c r="K29" s="169"/>
      <c r="L29" s="163">
        <v>0.6</v>
      </c>
    </row>
    <row r="30" spans="1:15" x14ac:dyDescent="0.3">
      <c r="C30" s="371"/>
      <c r="D30" s="378"/>
      <c r="E30" s="369"/>
      <c r="G30" s="369"/>
      <c r="H30" s="85"/>
    </row>
    <row r="31" spans="1:15" s="83" customFormat="1" ht="27.6" x14ac:dyDescent="0.3">
      <c r="D31" s="216" t="s">
        <v>137</v>
      </c>
      <c r="E31" s="190"/>
      <c r="F31" s="109" t="s">
        <v>512</v>
      </c>
      <c r="G31" s="183"/>
      <c r="H31" s="116" t="s">
        <v>513</v>
      </c>
      <c r="I31" s="190"/>
      <c r="J31" s="109" t="s">
        <v>514</v>
      </c>
      <c r="K31" s="183"/>
      <c r="L31" s="116" t="s">
        <v>515</v>
      </c>
      <c r="M31" s="190"/>
      <c r="N31" s="109" t="s">
        <v>516</v>
      </c>
      <c r="O31" s="39"/>
    </row>
    <row r="32" spans="1:15" s="369" customFormat="1" thickBot="1" x14ac:dyDescent="0.35">
      <c r="D32" s="236"/>
      <c r="E32" s="237"/>
      <c r="F32" s="238" t="s">
        <v>65</v>
      </c>
      <c r="G32" s="224"/>
      <c r="H32" s="118" t="s">
        <v>66</v>
      </c>
      <c r="I32" s="237"/>
      <c r="J32" s="101" t="s">
        <v>67</v>
      </c>
      <c r="K32" s="224"/>
      <c r="L32" s="215" t="s">
        <v>68</v>
      </c>
      <c r="M32" s="237"/>
      <c r="N32" s="101" t="s">
        <v>69</v>
      </c>
      <c r="O32" s="63"/>
    </row>
    <row r="33" spans="1:16" s="378" customFormat="1" thickTop="1" x14ac:dyDescent="0.3">
      <c r="C33" s="84"/>
      <c r="D33" s="233" t="s">
        <v>20</v>
      </c>
      <c r="E33" s="153"/>
      <c r="F33" s="235">
        <v>0.4</v>
      </c>
      <c r="G33" s="153"/>
      <c r="H33" s="234">
        <v>0.2</v>
      </c>
      <c r="I33" s="886"/>
      <c r="J33" s="234">
        <v>0.2</v>
      </c>
      <c r="K33" s="886"/>
      <c r="L33" s="234">
        <v>0.87</v>
      </c>
      <c r="M33" s="886"/>
      <c r="N33" s="235">
        <v>0.2</v>
      </c>
      <c r="O33" s="370"/>
      <c r="P33" s="67"/>
    </row>
    <row r="34" spans="1:16" x14ac:dyDescent="0.3">
      <c r="A34" s="82"/>
      <c r="B34" s="83"/>
    </row>
    <row r="35" spans="1:16" x14ac:dyDescent="0.3">
      <c r="A35" s="82"/>
      <c r="F35" s="29"/>
      <c r="J35" s="29"/>
      <c r="L35" s="29"/>
      <c r="N35" s="29"/>
    </row>
    <row r="36" spans="1:16" x14ac:dyDescent="0.3">
      <c r="A36" s="82"/>
      <c r="F36" s="29"/>
    </row>
    <row r="37" spans="1:16" x14ac:dyDescent="0.3">
      <c r="A37" s="82"/>
      <c r="F37" s="29"/>
    </row>
    <row r="38" spans="1:16" x14ac:dyDescent="0.3">
      <c r="A38" s="82"/>
      <c r="F38" s="29"/>
    </row>
    <row r="39" spans="1:16" x14ac:dyDescent="0.3">
      <c r="A39" s="82"/>
      <c r="F39" s="29"/>
    </row>
    <row r="40" spans="1:16" x14ac:dyDescent="0.3">
      <c r="A40" s="82"/>
    </row>
    <row r="41" spans="1:16" x14ac:dyDescent="0.3">
      <c r="A41" s="82"/>
    </row>
    <row r="42" spans="1:16" x14ac:dyDescent="0.3">
      <c r="A42" s="82"/>
    </row>
    <row r="43" spans="1:16" x14ac:dyDescent="0.3">
      <c r="A43" s="82"/>
    </row>
    <row r="44" spans="1:16" x14ac:dyDescent="0.3">
      <c r="A44" s="82"/>
    </row>
    <row r="45" spans="1:16" x14ac:dyDescent="0.3">
      <c r="A45" s="82"/>
    </row>
    <row r="46" spans="1:16" s="369" customFormat="1" ht="13.8" x14ac:dyDescent="0.3">
      <c r="A46" s="82"/>
      <c r="C46" s="85"/>
      <c r="E46" s="76"/>
      <c r="F46" s="371"/>
      <c r="G46" s="76"/>
      <c r="H46" s="29"/>
      <c r="J46" s="85"/>
      <c r="L46" s="85"/>
      <c r="N46" s="85"/>
    </row>
    <row r="47" spans="1:16" s="369" customFormat="1" ht="13.8" x14ac:dyDescent="0.3">
      <c r="A47" s="82"/>
      <c r="C47" s="85"/>
      <c r="E47" s="76"/>
      <c r="F47" s="371"/>
      <c r="G47" s="76"/>
      <c r="H47" s="29"/>
      <c r="J47" s="85"/>
      <c r="L47" s="85"/>
      <c r="N47" s="85"/>
    </row>
    <row r="48" spans="1:16" s="369" customFormat="1" ht="13.8" x14ac:dyDescent="0.3">
      <c r="A48" s="82"/>
      <c r="C48" s="85"/>
      <c r="E48" s="76"/>
      <c r="F48" s="371"/>
      <c r="G48" s="76"/>
      <c r="H48" s="29"/>
      <c r="J48" s="85"/>
      <c r="L48" s="85"/>
      <c r="N48" s="85"/>
    </row>
    <row r="49" spans="1:14" s="369" customFormat="1" ht="13.8" x14ac:dyDescent="0.3">
      <c r="A49" s="82"/>
      <c r="C49" s="85"/>
      <c r="E49" s="76"/>
      <c r="F49" s="371"/>
      <c r="G49" s="76"/>
      <c r="H49" s="29"/>
      <c r="J49" s="85"/>
      <c r="L49" s="85"/>
      <c r="N49" s="85"/>
    </row>
    <row r="50" spans="1:14" s="369" customFormat="1" ht="13.8" x14ac:dyDescent="0.3">
      <c r="A50" s="82"/>
      <c r="C50" s="85"/>
      <c r="E50" s="76"/>
      <c r="F50" s="371"/>
      <c r="G50" s="76"/>
      <c r="H50" s="29"/>
      <c r="J50" s="85"/>
      <c r="L50" s="85"/>
      <c r="N50" s="85"/>
    </row>
    <row r="51" spans="1:14" s="369" customFormat="1" ht="13.8" x14ac:dyDescent="0.3">
      <c r="A51" s="82"/>
      <c r="C51" s="85"/>
      <c r="E51" s="76"/>
      <c r="F51" s="371"/>
      <c r="G51" s="76"/>
      <c r="H51" s="29"/>
      <c r="J51" s="85"/>
      <c r="L51" s="85"/>
      <c r="N51" s="85"/>
    </row>
    <row r="52" spans="1:14" s="369" customFormat="1" ht="13.8" x14ac:dyDescent="0.3">
      <c r="A52" s="82"/>
      <c r="C52" s="85"/>
      <c r="E52" s="76"/>
      <c r="F52" s="371"/>
      <c r="G52" s="76"/>
      <c r="H52" s="29"/>
      <c r="J52" s="85"/>
      <c r="L52" s="85"/>
      <c r="N52" s="85"/>
    </row>
    <row r="53" spans="1:14" s="369" customFormat="1" ht="13.8" x14ac:dyDescent="0.3">
      <c r="A53" s="82"/>
      <c r="C53" s="85"/>
      <c r="E53" s="76"/>
      <c r="F53" s="371"/>
      <c r="G53" s="76"/>
      <c r="H53" s="29"/>
      <c r="J53" s="85"/>
      <c r="L53" s="85"/>
      <c r="N53" s="85"/>
    </row>
    <row r="54" spans="1:14" s="369" customFormat="1" ht="13.8" x14ac:dyDescent="0.3">
      <c r="A54" s="82"/>
      <c r="C54" s="85"/>
      <c r="E54" s="76"/>
      <c r="F54" s="371"/>
      <c r="G54" s="76"/>
      <c r="H54" s="29"/>
      <c r="J54" s="85"/>
      <c r="L54" s="85"/>
      <c r="N54" s="85"/>
    </row>
    <row r="55" spans="1:14" s="369" customFormat="1" ht="13.8" x14ac:dyDescent="0.3">
      <c r="A55" s="82"/>
      <c r="C55" s="85"/>
      <c r="E55" s="76"/>
      <c r="F55" s="371"/>
      <c r="G55" s="76"/>
      <c r="H55" s="29"/>
      <c r="J55" s="85"/>
      <c r="L55" s="85"/>
      <c r="N55" s="85"/>
    </row>
    <row r="56" spans="1:14" s="369" customFormat="1" ht="13.8" x14ac:dyDescent="0.3">
      <c r="A56" s="82"/>
      <c r="C56" s="85"/>
      <c r="E56" s="76"/>
      <c r="F56" s="371"/>
      <c r="G56" s="76"/>
      <c r="H56" s="29"/>
      <c r="J56" s="85"/>
      <c r="L56" s="85"/>
      <c r="N56" s="85"/>
    </row>
    <row r="57" spans="1:14" s="369" customFormat="1" ht="13.8" x14ac:dyDescent="0.3">
      <c r="A57" s="82"/>
      <c r="C57" s="85"/>
      <c r="E57" s="76"/>
      <c r="F57" s="371"/>
      <c r="G57" s="76"/>
      <c r="H57" s="29"/>
      <c r="J57" s="85"/>
      <c r="L57" s="85"/>
      <c r="N57" s="85"/>
    </row>
    <row r="58" spans="1:14" s="369" customFormat="1" ht="13.8" x14ac:dyDescent="0.3">
      <c r="A58" s="82"/>
      <c r="C58" s="85"/>
      <c r="E58" s="76"/>
      <c r="F58" s="371"/>
      <c r="G58" s="76"/>
      <c r="H58" s="29"/>
      <c r="J58" s="85"/>
      <c r="L58" s="85"/>
      <c r="N58" s="85"/>
    </row>
    <row r="59" spans="1:14" s="369" customFormat="1" ht="13.8" x14ac:dyDescent="0.3">
      <c r="A59" s="82"/>
      <c r="C59" s="85"/>
      <c r="E59" s="76"/>
      <c r="F59" s="371"/>
      <c r="G59" s="76"/>
      <c r="H59" s="29"/>
      <c r="J59" s="85"/>
      <c r="L59" s="85"/>
      <c r="N59" s="85"/>
    </row>
    <row r="60" spans="1:14" s="369" customFormat="1" ht="13.8" x14ac:dyDescent="0.3">
      <c r="A60" s="82"/>
      <c r="C60" s="85"/>
      <c r="E60" s="76"/>
      <c r="F60" s="371"/>
      <c r="G60" s="76"/>
      <c r="H60" s="29"/>
      <c r="J60" s="85"/>
      <c r="L60" s="85"/>
      <c r="N60" s="85"/>
    </row>
  </sheetData>
  <pageMargins left="0.7" right="0.7" top="0.75" bottom="0.75" header="0.3" footer="0.3"/>
  <pageSetup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sheetPr>
  <dimension ref="A1:Z139"/>
  <sheetViews>
    <sheetView zoomScale="85" zoomScaleNormal="85" workbookViewId="0"/>
  </sheetViews>
  <sheetFormatPr defaultColWidth="9.109375" defaultRowHeight="14.4" x14ac:dyDescent="0.3"/>
  <cols>
    <col min="1" max="1" width="3.6640625" style="369" customWidth="1"/>
    <col min="2" max="2" width="27" style="369" bestFit="1" customWidth="1"/>
    <col min="3" max="3" width="30.6640625" style="85" customWidth="1"/>
    <col min="4" max="4" width="11.6640625" style="369" bestFit="1" customWidth="1"/>
    <col min="5" max="5" width="2.6640625" style="76" customWidth="1"/>
    <col min="6" max="6" width="30.6640625" style="371" customWidth="1"/>
    <col min="7" max="7" width="2.6640625" style="76" customWidth="1"/>
    <col min="8" max="8" width="27.88671875" style="29" bestFit="1" customWidth="1"/>
    <col min="9" max="9" width="2.6640625" style="369" customWidth="1"/>
    <col min="10" max="10" width="22.109375" style="85" customWidth="1"/>
    <col min="11" max="11" width="2.6640625" style="369" customWidth="1"/>
    <col min="12" max="12" width="28.109375" style="85" customWidth="1"/>
    <col min="13" max="13" width="2.6640625" style="369" customWidth="1"/>
    <col min="14" max="14" width="26" style="85" customWidth="1"/>
    <col min="15" max="15" width="2.6640625" style="369" customWidth="1"/>
    <col min="16" max="16" width="27.6640625" style="85" customWidth="1"/>
    <col min="17" max="17" width="2.6640625" style="369" customWidth="1"/>
    <col min="18" max="18" width="22" style="85" customWidth="1"/>
    <col min="19" max="19" width="2.6640625" style="369" customWidth="1"/>
    <col min="20" max="20" width="19" style="85" customWidth="1"/>
    <col min="21" max="21" width="9.109375" style="397"/>
    <col min="22" max="22" width="10.5546875" style="397" bestFit="1" customWidth="1"/>
    <col min="23" max="16384" width="9.109375" style="397"/>
  </cols>
  <sheetData>
    <row r="1" spans="1:21" ht="12.75" customHeight="1" x14ac:dyDescent="0.3">
      <c r="U1" s="369"/>
    </row>
    <row r="2" spans="1:21" x14ac:dyDescent="0.3">
      <c r="B2" s="567" t="s">
        <v>5</v>
      </c>
      <c r="C2" s="568"/>
      <c r="D2" s="567"/>
      <c r="E2" s="574"/>
      <c r="F2" s="568" t="s">
        <v>6</v>
      </c>
      <c r="G2" s="369"/>
      <c r="K2" s="567"/>
      <c r="L2" s="568" t="s">
        <v>1101</v>
      </c>
    </row>
    <row r="3" spans="1:21" x14ac:dyDescent="0.3">
      <c r="B3" s="369" t="s">
        <v>0</v>
      </c>
      <c r="C3" s="65" t="s">
        <v>1100</v>
      </c>
      <c r="E3" s="369"/>
      <c r="F3" s="85" t="s">
        <v>8</v>
      </c>
      <c r="G3" s="369"/>
      <c r="H3" s="65"/>
      <c r="J3" s="407"/>
      <c r="K3" s="715"/>
      <c r="L3" s="369" t="s">
        <v>1102</v>
      </c>
    </row>
    <row r="4" spans="1:21" x14ac:dyDescent="0.3">
      <c r="B4" s="369" t="s">
        <v>1</v>
      </c>
      <c r="C4" s="85" t="str">
        <f>C3&amp;".cibd16"</f>
        <v>050006S-RetlMed-Run27.cibd16</v>
      </c>
      <c r="F4" s="85" t="s">
        <v>110</v>
      </c>
      <c r="G4" s="369"/>
      <c r="H4" s="396" t="str">
        <f>'Documentation Main Sheet'!I3</f>
        <v>Release package</v>
      </c>
      <c r="J4" s="407"/>
      <c r="K4" s="570">
        <v>1</v>
      </c>
      <c r="L4" s="378" t="s">
        <v>1103</v>
      </c>
    </row>
    <row r="5" spans="1:21" x14ac:dyDescent="0.3">
      <c r="B5" s="369" t="s">
        <v>54</v>
      </c>
      <c r="C5" s="85" t="s">
        <v>56</v>
      </c>
      <c r="F5" s="85" t="s">
        <v>7</v>
      </c>
      <c r="H5" s="396" t="str">
        <f>'Documentation Main Sheet'!I4</f>
        <v>CBECC-Com 209.1.0 release</v>
      </c>
      <c r="I5" s="62"/>
      <c r="J5" s="407"/>
      <c r="K5" s="571">
        <v>1</v>
      </c>
      <c r="L5" s="378" t="s">
        <v>1103</v>
      </c>
      <c r="P5" s="9"/>
      <c r="R5" s="9"/>
      <c r="T5" s="9"/>
    </row>
    <row r="6" spans="1:21" x14ac:dyDescent="0.3">
      <c r="B6" s="369" t="s">
        <v>390</v>
      </c>
      <c r="C6" s="85" t="s">
        <v>395</v>
      </c>
      <c r="F6" s="85" t="s">
        <v>2</v>
      </c>
      <c r="H6" s="394"/>
      <c r="J6" s="408"/>
      <c r="K6" s="572">
        <v>1</v>
      </c>
      <c r="L6" s="381" t="s">
        <v>1104</v>
      </c>
    </row>
    <row r="7" spans="1:21" x14ac:dyDescent="0.3">
      <c r="B7" s="369" t="s">
        <v>432</v>
      </c>
      <c r="C7" s="85" t="s">
        <v>1327</v>
      </c>
      <c r="F7" s="85" t="s">
        <v>3</v>
      </c>
      <c r="H7" s="396" t="str">
        <f>'Documentation Main Sheet'!I6</f>
        <v>Jireh Peng</v>
      </c>
      <c r="K7" s="573">
        <v>1</v>
      </c>
      <c r="L7" s="378" t="s">
        <v>1105</v>
      </c>
    </row>
    <row r="8" spans="1:21" x14ac:dyDescent="0.3">
      <c r="B8" s="369" t="s">
        <v>952</v>
      </c>
      <c r="C8" s="85" t="s">
        <v>428</v>
      </c>
      <c r="F8" s="369"/>
      <c r="G8" s="369"/>
      <c r="H8" s="369"/>
      <c r="K8" s="796">
        <v>1</v>
      </c>
      <c r="L8" s="369" t="s">
        <v>1396</v>
      </c>
    </row>
    <row r="9" spans="1:21" x14ac:dyDescent="0.3">
      <c r="F9" s="369"/>
      <c r="G9" s="369"/>
      <c r="H9" s="369"/>
    </row>
    <row r="10" spans="1:21" x14ac:dyDescent="0.3">
      <c r="A10" s="286"/>
      <c r="B10" s="287" t="s">
        <v>37</v>
      </c>
      <c r="C10" s="288"/>
      <c r="D10" s="286"/>
      <c r="E10" s="286"/>
      <c r="F10" s="289"/>
      <c r="G10" s="286"/>
      <c r="H10" s="288"/>
      <c r="I10" s="286"/>
      <c r="J10" s="288"/>
      <c r="K10" s="286"/>
      <c r="L10" s="288"/>
      <c r="M10" s="286"/>
      <c r="N10" s="288"/>
      <c r="O10" s="286"/>
      <c r="P10" s="288"/>
      <c r="Q10" s="286"/>
      <c r="R10" s="288"/>
      <c r="S10" s="286"/>
      <c r="T10" s="288"/>
    </row>
    <row r="11" spans="1:21" ht="15" customHeight="1" x14ac:dyDescent="0.3">
      <c r="A11" s="26"/>
      <c r="B11" s="28" t="s">
        <v>9</v>
      </c>
      <c r="C11" s="87"/>
      <c r="D11" s="86"/>
      <c r="E11" s="84"/>
      <c r="F11" s="85"/>
      <c r="G11" s="84"/>
      <c r="I11" s="84"/>
      <c r="K11" s="84"/>
      <c r="M11" s="84"/>
      <c r="O11" s="84"/>
      <c r="P11" s="77"/>
      <c r="Q11" s="84"/>
      <c r="R11" s="77"/>
      <c r="S11" s="84"/>
      <c r="T11" s="77"/>
    </row>
    <row r="12" spans="1:21" x14ac:dyDescent="0.3">
      <c r="B12" s="84" t="s">
        <v>18</v>
      </c>
      <c r="E12" s="369"/>
      <c r="F12" s="85"/>
      <c r="G12" s="369"/>
      <c r="H12" s="371"/>
      <c r="J12" s="32"/>
      <c r="K12" s="7"/>
      <c r="L12" s="32"/>
      <c r="M12" s="7"/>
      <c r="N12" s="32"/>
      <c r="O12" s="7"/>
      <c r="P12" s="30"/>
      <c r="Q12" s="7"/>
      <c r="R12" s="30"/>
      <c r="S12" s="84"/>
      <c r="T12" s="29"/>
    </row>
    <row r="13" spans="1:21" ht="27.6" x14ac:dyDescent="0.3">
      <c r="A13" s="84"/>
      <c r="B13" s="132" t="s">
        <v>137</v>
      </c>
      <c r="C13" s="113" t="s">
        <v>31</v>
      </c>
      <c r="D13" s="112" t="s">
        <v>433</v>
      </c>
      <c r="E13" s="112"/>
      <c r="F13" s="113" t="s">
        <v>437</v>
      </c>
      <c r="G13" s="132"/>
      <c r="H13" s="142" t="s">
        <v>11</v>
      </c>
      <c r="I13" s="112"/>
      <c r="J13" s="113" t="s">
        <v>495</v>
      </c>
      <c r="K13" s="132"/>
      <c r="L13" s="142" t="s">
        <v>22</v>
      </c>
      <c r="M13" s="132"/>
      <c r="N13" s="142" t="s">
        <v>39</v>
      </c>
      <c r="O13" s="84"/>
      <c r="P13" s="36"/>
      <c r="Q13" s="84"/>
      <c r="S13" s="84"/>
      <c r="T13" s="36"/>
    </row>
    <row r="14" spans="1:21" ht="15" thickBot="1" x14ac:dyDescent="0.35">
      <c r="A14" s="76"/>
      <c r="B14" s="126"/>
      <c r="C14" s="117" t="s">
        <v>46</v>
      </c>
      <c r="D14" s="118"/>
      <c r="E14" s="119"/>
      <c r="F14" s="117"/>
      <c r="G14" s="133"/>
      <c r="H14" s="143" t="s">
        <v>26</v>
      </c>
      <c r="I14" s="119"/>
      <c r="J14" s="117" t="s">
        <v>47</v>
      </c>
      <c r="K14" s="139"/>
      <c r="L14" s="143" t="s">
        <v>28</v>
      </c>
      <c r="M14" s="139"/>
      <c r="N14" s="143" t="s">
        <v>29</v>
      </c>
      <c r="O14" s="76"/>
      <c r="P14" s="29"/>
      <c r="Q14" s="29"/>
      <c r="S14" s="29"/>
      <c r="T14" s="29"/>
    </row>
    <row r="15" spans="1:21" ht="15" thickTop="1" x14ac:dyDescent="0.3">
      <c r="B15" s="149" t="s">
        <v>20</v>
      </c>
      <c r="C15" s="151" t="s">
        <v>533</v>
      </c>
      <c r="D15" s="158" t="s">
        <v>435</v>
      </c>
      <c r="E15" s="159"/>
      <c r="F15" s="160" t="s">
        <v>613</v>
      </c>
      <c r="G15" s="165"/>
      <c r="H15" s="166" t="s">
        <v>19</v>
      </c>
      <c r="I15" s="164"/>
      <c r="J15" s="150">
        <v>0.35</v>
      </c>
      <c r="K15" s="165"/>
      <c r="L15" s="163">
        <v>0.32</v>
      </c>
      <c r="M15" s="165"/>
      <c r="N15" s="163">
        <v>0.53</v>
      </c>
    </row>
    <row r="16" spans="1:21" x14ac:dyDescent="0.3">
      <c r="C16" s="371"/>
      <c r="D16" s="378"/>
      <c r="E16" s="369"/>
      <c r="G16" s="369"/>
      <c r="H16" s="85"/>
    </row>
    <row r="17" spans="1:20" s="83" customFormat="1" ht="27.6" x14ac:dyDescent="0.3">
      <c r="D17" s="216" t="s">
        <v>137</v>
      </c>
      <c r="E17" s="190"/>
      <c r="F17" s="109" t="s">
        <v>512</v>
      </c>
      <c r="G17" s="183"/>
      <c r="H17" s="116" t="s">
        <v>513</v>
      </c>
      <c r="I17" s="190"/>
      <c r="J17" s="109" t="s">
        <v>514</v>
      </c>
      <c r="K17" s="183"/>
      <c r="L17" s="116" t="s">
        <v>515</v>
      </c>
      <c r="M17" s="190"/>
      <c r="N17" s="109" t="s">
        <v>516</v>
      </c>
      <c r="O17" s="39"/>
      <c r="P17" s="15"/>
      <c r="Q17" s="15"/>
      <c r="S17" s="15"/>
      <c r="T17" s="15"/>
    </row>
    <row r="18" spans="1:20" s="369" customFormat="1" thickBot="1" x14ac:dyDescent="0.35">
      <c r="D18" s="236"/>
      <c r="E18" s="237"/>
      <c r="F18" s="238" t="s">
        <v>65</v>
      </c>
      <c r="G18" s="224"/>
      <c r="H18" s="118" t="s">
        <v>66</v>
      </c>
      <c r="I18" s="237"/>
      <c r="J18" s="101" t="s">
        <v>67</v>
      </c>
      <c r="K18" s="224"/>
      <c r="L18" s="215" t="s">
        <v>68</v>
      </c>
      <c r="M18" s="237"/>
      <c r="N18" s="101" t="s">
        <v>69</v>
      </c>
      <c r="O18" s="63"/>
      <c r="P18" s="63"/>
      <c r="Q18" s="63"/>
      <c r="S18" s="63"/>
      <c r="T18" s="63"/>
    </row>
    <row r="19" spans="1:20" s="378" customFormat="1" thickTop="1" x14ac:dyDescent="0.3">
      <c r="C19" s="84"/>
      <c r="D19" s="233" t="s">
        <v>20</v>
      </c>
      <c r="E19" s="165"/>
      <c r="F19" s="235">
        <v>0.37159999999999999</v>
      </c>
      <c r="G19" s="164"/>
      <c r="H19" s="234">
        <v>0</v>
      </c>
      <c r="I19" s="165"/>
      <c r="J19" s="234">
        <v>0</v>
      </c>
      <c r="K19" s="359"/>
      <c r="L19" s="234">
        <v>0.46029999999999999</v>
      </c>
      <c r="M19" s="165"/>
      <c r="N19" s="235">
        <v>0</v>
      </c>
      <c r="O19" s="370"/>
      <c r="P19" s="370"/>
      <c r="Q19" s="370"/>
      <c r="R19" s="370"/>
      <c r="S19" s="370"/>
      <c r="T19" s="370"/>
    </row>
    <row r="20" spans="1:20" s="378" customFormat="1" ht="13.8" x14ac:dyDescent="0.3">
      <c r="O20" s="370"/>
      <c r="P20" s="370"/>
      <c r="Q20" s="370"/>
      <c r="R20" s="370"/>
      <c r="S20" s="370"/>
      <c r="T20" s="370"/>
    </row>
    <row r="21" spans="1:20" s="82" customFormat="1" ht="13.8" x14ac:dyDescent="0.3">
      <c r="A21" s="26"/>
      <c r="B21" s="28" t="s">
        <v>114</v>
      </c>
      <c r="D21" s="86"/>
      <c r="E21" s="84"/>
      <c r="G21" s="86"/>
      <c r="H21" s="84"/>
      <c r="J21" s="86"/>
      <c r="K21" s="84"/>
      <c r="M21" s="86"/>
      <c r="N21" s="84"/>
      <c r="P21" s="86"/>
      <c r="Q21" s="84"/>
      <c r="S21" s="86"/>
      <c r="T21" s="84"/>
    </row>
    <row r="22" spans="1:20" s="82" customFormat="1" ht="13.8" x14ac:dyDescent="0.3">
      <c r="B22" s="77" t="s">
        <v>212</v>
      </c>
      <c r="D22" s="86"/>
      <c r="E22" s="84"/>
      <c r="G22" s="86"/>
      <c r="H22" s="84"/>
      <c r="J22" s="86"/>
      <c r="K22" s="84"/>
      <c r="M22" s="86"/>
      <c r="N22" s="84"/>
      <c r="P22" s="86"/>
      <c r="Q22" s="84"/>
      <c r="S22" s="86"/>
      <c r="T22" s="84"/>
    </row>
    <row r="23" spans="1:20" s="85" customFormat="1" ht="38.25" customHeight="1" x14ac:dyDescent="0.3">
      <c r="B23" s="108" t="s">
        <v>138</v>
      </c>
      <c r="C23" s="116" t="s">
        <v>190</v>
      </c>
      <c r="D23" s="112" t="s">
        <v>433</v>
      </c>
      <c r="E23" s="280"/>
      <c r="F23" s="110" t="s">
        <v>163</v>
      </c>
      <c r="G23" s="393"/>
      <c r="H23" s="110" t="s">
        <v>523</v>
      </c>
      <c r="I23" s="182"/>
      <c r="J23" s="168" t="s">
        <v>524</v>
      </c>
      <c r="K23" s="393"/>
      <c r="L23" s="110" t="s">
        <v>123</v>
      </c>
      <c r="M23" s="182"/>
      <c r="N23" s="110" t="s">
        <v>161</v>
      </c>
      <c r="O23" s="280"/>
      <c r="P23" s="110" t="s">
        <v>602</v>
      </c>
      <c r="Q23" s="87"/>
      <c r="R23" s="87"/>
      <c r="S23" s="87"/>
      <c r="T23" s="87"/>
    </row>
    <row r="24" spans="1:20" s="369" customFormat="1" thickBot="1" x14ac:dyDescent="0.35">
      <c r="B24" s="100" t="s">
        <v>213</v>
      </c>
      <c r="C24" s="117"/>
      <c r="D24" s="118"/>
      <c r="E24" s="100"/>
      <c r="F24" s="101" t="s">
        <v>149</v>
      </c>
      <c r="G24" s="100"/>
      <c r="H24" s="101" t="s">
        <v>149</v>
      </c>
      <c r="I24" s="215"/>
      <c r="J24" s="215" t="s">
        <v>149</v>
      </c>
      <c r="K24" s="100"/>
      <c r="L24" s="101" t="s">
        <v>150</v>
      </c>
      <c r="M24" s="215"/>
      <c r="N24" s="244"/>
      <c r="O24" s="100"/>
      <c r="P24" s="101" t="s">
        <v>320</v>
      </c>
      <c r="Q24" s="87"/>
      <c r="R24" s="87"/>
      <c r="S24" s="87"/>
      <c r="T24" s="87"/>
    </row>
    <row r="25" spans="1:20" s="369" customFormat="1" thickTop="1" x14ac:dyDescent="0.3">
      <c r="B25" s="124" t="s">
        <v>209</v>
      </c>
      <c r="C25" s="85" t="s">
        <v>119</v>
      </c>
      <c r="D25" s="68" t="s">
        <v>435</v>
      </c>
      <c r="E25" s="317"/>
      <c r="F25" s="717">
        <v>1.2</v>
      </c>
      <c r="G25" s="409" t="s">
        <v>14</v>
      </c>
      <c r="H25" s="410" t="s">
        <v>14</v>
      </c>
      <c r="I25" s="141"/>
      <c r="J25" s="1">
        <v>1.2</v>
      </c>
      <c r="K25" s="134"/>
      <c r="L25" s="197" t="s">
        <v>129</v>
      </c>
      <c r="M25" s="176"/>
      <c r="N25" s="366" t="s">
        <v>1328</v>
      </c>
      <c r="O25" s="409" t="s">
        <v>14</v>
      </c>
      <c r="P25" s="410" t="s">
        <v>14</v>
      </c>
      <c r="Q25" s="87"/>
      <c r="R25" s="87"/>
      <c r="S25" s="87"/>
      <c r="T25" s="87"/>
    </row>
    <row r="26" spans="1:20" s="369" customFormat="1" ht="27.6" x14ac:dyDescent="0.3">
      <c r="B26" s="124" t="s">
        <v>210</v>
      </c>
      <c r="C26" s="247" t="s">
        <v>116</v>
      </c>
      <c r="D26" s="68" t="s">
        <v>435</v>
      </c>
      <c r="E26" s="327"/>
      <c r="F26" s="717">
        <v>1.6</v>
      </c>
      <c r="G26" s="327"/>
      <c r="H26" s="255">
        <v>0.75</v>
      </c>
      <c r="I26" s="176"/>
      <c r="J26" s="1">
        <v>2.35</v>
      </c>
      <c r="K26" s="136"/>
      <c r="L26" s="197" t="s">
        <v>129</v>
      </c>
      <c r="M26" s="176"/>
      <c r="N26" s="366" t="s">
        <v>162</v>
      </c>
      <c r="O26" s="176"/>
      <c r="P26" s="366">
        <v>810</v>
      </c>
      <c r="Q26" s="87"/>
      <c r="R26" s="87"/>
      <c r="S26" s="87"/>
      <c r="T26" s="87"/>
    </row>
    <row r="27" spans="1:20" s="369" customFormat="1" ht="27.6" x14ac:dyDescent="0.3">
      <c r="B27" s="175" t="s">
        <v>211</v>
      </c>
      <c r="C27" s="253" t="s">
        <v>116</v>
      </c>
      <c r="D27" s="716" t="s">
        <v>435</v>
      </c>
      <c r="E27" s="334"/>
      <c r="F27" s="859">
        <v>1.1499999999999999</v>
      </c>
      <c r="G27" s="411" t="s">
        <v>14</v>
      </c>
      <c r="H27" s="412" t="s">
        <v>14</v>
      </c>
      <c r="I27" s="169"/>
      <c r="J27" s="234">
        <v>1.1499999999999999</v>
      </c>
      <c r="K27" s="153"/>
      <c r="L27" s="199" t="s">
        <v>129</v>
      </c>
      <c r="M27" s="153"/>
      <c r="N27" s="402" t="s">
        <v>1328</v>
      </c>
      <c r="O27" s="411" t="s">
        <v>14</v>
      </c>
      <c r="P27" s="412" t="s">
        <v>14</v>
      </c>
      <c r="Q27" s="87"/>
      <c r="R27" s="87"/>
      <c r="S27" s="87"/>
      <c r="T27" s="87"/>
    </row>
    <row r="29" spans="1:20" x14ac:dyDescent="0.3">
      <c r="B29" s="85"/>
      <c r="C29" s="83"/>
      <c r="D29" s="397"/>
      <c r="E29" s="369"/>
      <c r="F29" s="369"/>
      <c r="G29" s="369"/>
      <c r="H29" s="369"/>
      <c r="J29" s="369"/>
      <c r="L29" s="66"/>
      <c r="N29" s="66"/>
      <c r="P29" s="66"/>
      <c r="R29" s="66"/>
      <c r="T29" s="66"/>
    </row>
    <row r="30" spans="1:20" x14ac:dyDescent="0.3">
      <c r="A30" s="26"/>
      <c r="B30" s="28" t="s">
        <v>517</v>
      </c>
      <c r="C30" s="83"/>
      <c r="D30" s="397"/>
      <c r="E30" s="369"/>
      <c r="F30" s="369"/>
      <c r="G30" s="369"/>
      <c r="H30" s="369"/>
      <c r="J30" s="369"/>
      <c r="L30" s="66"/>
      <c r="N30" s="66"/>
      <c r="P30" s="66"/>
      <c r="R30" s="66"/>
      <c r="T30" s="66"/>
    </row>
    <row r="31" spans="1:20" ht="41.4" x14ac:dyDescent="0.3">
      <c r="A31" s="82"/>
      <c r="B31" s="108" t="s">
        <v>500</v>
      </c>
      <c r="C31" s="116" t="s">
        <v>501</v>
      </c>
      <c r="D31" s="112" t="s">
        <v>433</v>
      </c>
      <c r="E31" s="177"/>
      <c r="F31" s="142" t="s">
        <v>437</v>
      </c>
      <c r="G31" s="177"/>
      <c r="H31" s="109" t="s">
        <v>137</v>
      </c>
      <c r="I31" s="170"/>
      <c r="J31" s="109" t="s">
        <v>186</v>
      </c>
      <c r="K31" s="125"/>
      <c r="L31" s="142" t="s">
        <v>510</v>
      </c>
      <c r="M31" s="113"/>
      <c r="N31" s="113" t="s">
        <v>509</v>
      </c>
      <c r="O31" s="207"/>
      <c r="P31" s="142" t="s">
        <v>508</v>
      </c>
      <c r="Q31" s="75"/>
      <c r="R31" s="77"/>
      <c r="S31" s="75"/>
      <c r="T31" s="77"/>
    </row>
    <row r="32" spans="1:20" ht="15" thickBot="1" x14ac:dyDescent="0.35">
      <c r="A32" s="82"/>
      <c r="B32" s="173" t="s">
        <v>259</v>
      </c>
      <c r="C32" s="171" t="s">
        <v>258</v>
      </c>
      <c r="D32" s="376"/>
      <c r="E32" s="178"/>
      <c r="F32" s="377"/>
      <c r="G32" s="375"/>
      <c r="H32" s="174" t="s">
        <v>260</v>
      </c>
      <c r="I32" s="172"/>
      <c r="J32" s="174" t="s">
        <v>261</v>
      </c>
      <c r="K32" s="208"/>
      <c r="L32" s="174" t="s">
        <v>646</v>
      </c>
      <c r="M32" s="205"/>
      <c r="N32" s="171" t="s">
        <v>647</v>
      </c>
      <c r="O32" s="208"/>
      <c r="P32" s="174" t="s">
        <v>1387</v>
      </c>
      <c r="Q32" s="86"/>
      <c r="R32" s="82"/>
      <c r="S32" s="86"/>
      <c r="T32" s="82"/>
    </row>
    <row r="33" spans="1:22" ht="15" thickTop="1" x14ac:dyDescent="0.3">
      <c r="A33" s="82"/>
      <c r="B33" s="175" t="s">
        <v>525</v>
      </c>
      <c r="C33" s="150" t="s">
        <v>526</v>
      </c>
      <c r="D33" s="181" t="s">
        <v>435</v>
      </c>
      <c r="E33" s="179"/>
      <c r="F33" s="155" t="s">
        <v>527</v>
      </c>
      <c r="G33" s="153"/>
      <c r="H33" s="155" t="s">
        <v>167</v>
      </c>
      <c r="I33" s="169"/>
      <c r="J33" s="155" t="s">
        <v>528</v>
      </c>
      <c r="K33" s="153"/>
      <c r="L33" s="209">
        <v>55</v>
      </c>
      <c r="M33" s="169"/>
      <c r="N33" s="151">
        <v>95</v>
      </c>
      <c r="O33" s="153"/>
      <c r="P33" s="209" t="s">
        <v>300</v>
      </c>
      <c r="R33" s="369"/>
      <c r="T33" s="369"/>
    </row>
    <row r="34" spans="1:22" x14ac:dyDescent="0.3">
      <c r="A34" s="82"/>
      <c r="B34" s="77"/>
      <c r="C34" s="75"/>
      <c r="D34" s="29"/>
      <c r="E34" s="369"/>
      <c r="F34" s="369"/>
      <c r="G34" s="369"/>
      <c r="H34" s="369"/>
      <c r="J34" s="369"/>
      <c r="K34" s="84"/>
      <c r="L34" s="82"/>
      <c r="N34" s="369"/>
      <c r="P34" s="369"/>
      <c r="R34" s="369"/>
      <c r="T34" s="369"/>
    </row>
    <row r="35" spans="1:22" x14ac:dyDescent="0.3">
      <c r="A35" s="82"/>
      <c r="B35" s="77"/>
      <c r="C35" s="84"/>
      <c r="D35" s="82"/>
      <c r="E35" s="84"/>
      <c r="F35" s="82"/>
      <c r="G35" s="84"/>
      <c r="H35" s="82"/>
      <c r="I35" s="84"/>
      <c r="J35" s="82"/>
      <c r="K35" s="84"/>
      <c r="L35" s="82"/>
      <c r="N35" s="369"/>
      <c r="P35" s="369"/>
      <c r="R35" s="369"/>
      <c r="T35" s="369"/>
    </row>
    <row r="36" spans="1:22" ht="41.4" x14ac:dyDescent="0.3">
      <c r="A36" s="82"/>
      <c r="B36" s="108" t="s">
        <v>501</v>
      </c>
      <c r="C36" s="116" t="s">
        <v>502</v>
      </c>
      <c r="D36" s="112" t="s">
        <v>433</v>
      </c>
      <c r="E36" s="177"/>
      <c r="F36" s="110" t="s">
        <v>137</v>
      </c>
      <c r="G36" s="170"/>
      <c r="H36" s="168" t="s">
        <v>503</v>
      </c>
      <c r="I36" s="189"/>
      <c r="J36" s="168" t="s">
        <v>1125</v>
      </c>
      <c r="K36" s="189"/>
      <c r="L36" s="110" t="s">
        <v>204</v>
      </c>
      <c r="M36" s="182"/>
      <c r="N36" s="110" t="s">
        <v>1053</v>
      </c>
      <c r="O36" s="442"/>
      <c r="P36" s="110" t="s">
        <v>1054</v>
      </c>
      <c r="Q36" s="441"/>
      <c r="R36" s="110" t="s">
        <v>1055</v>
      </c>
      <c r="T36" s="369"/>
      <c r="U36" s="369"/>
      <c r="V36" s="369"/>
    </row>
    <row r="37" spans="1:22" ht="15" thickBot="1" x14ac:dyDescent="0.35">
      <c r="A37" s="82"/>
      <c r="B37" s="173" t="s">
        <v>280</v>
      </c>
      <c r="C37" s="171" t="s">
        <v>262</v>
      </c>
      <c r="D37" s="376"/>
      <c r="E37" s="178"/>
      <c r="F37" s="174" t="s">
        <v>264</v>
      </c>
      <c r="G37" s="172"/>
      <c r="H37" s="171" t="s">
        <v>933</v>
      </c>
      <c r="I37" s="178"/>
      <c r="J37" s="171" t="s">
        <v>1126</v>
      </c>
      <c r="K37" s="178"/>
      <c r="L37" s="174" t="s">
        <v>263</v>
      </c>
      <c r="M37" s="184"/>
      <c r="N37" s="171" t="s">
        <v>629</v>
      </c>
      <c r="O37" s="173"/>
      <c r="P37" s="174" t="s">
        <v>630</v>
      </c>
      <c r="Q37" s="171"/>
      <c r="R37" s="174" t="s">
        <v>631</v>
      </c>
      <c r="T37" s="369"/>
      <c r="U37" s="369"/>
      <c r="V37" s="369"/>
    </row>
    <row r="38" spans="1:22" ht="15" customHeight="1" thickTop="1" x14ac:dyDescent="0.3">
      <c r="A38" s="82"/>
      <c r="B38" s="175" t="s">
        <v>526</v>
      </c>
      <c r="C38" s="150" t="s">
        <v>529</v>
      </c>
      <c r="D38" s="181" t="s">
        <v>435</v>
      </c>
      <c r="E38" s="153"/>
      <c r="F38" s="188" t="s">
        <v>173</v>
      </c>
      <c r="G38" s="169"/>
      <c r="H38" s="186">
        <v>11</v>
      </c>
      <c r="I38" s="153"/>
      <c r="J38" s="150">
        <v>12.7</v>
      </c>
      <c r="K38" s="411" t="s">
        <v>14</v>
      </c>
      <c r="L38" s="412" t="s">
        <v>14</v>
      </c>
      <c r="M38" s="169"/>
      <c r="N38" s="150" t="s">
        <v>454</v>
      </c>
      <c r="O38" s="153"/>
      <c r="P38" s="155" t="s">
        <v>530</v>
      </c>
      <c r="Q38" s="169"/>
      <c r="R38" s="155" t="s">
        <v>281</v>
      </c>
      <c r="T38" s="369"/>
      <c r="U38" s="369"/>
      <c r="V38" s="369"/>
    </row>
    <row r="39" spans="1:22" x14ac:dyDescent="0.3">
      <c r="A39" s="82"/>
      <c r="B39" s="77"/>
      <c r="C39" s="75"/>
      <c r="D39" s="82"/>
      <c r="E39" s="84"/>
      <c r="F39" s="82"/>
      <c r="G39" s="84"/>
      <c r="H39" s="82"/>
      <c r="I39" s="84"/>
      <c r="J39" s="82"/>
      <c r="K39" s="29"/>
      <c r="L39" s="369"/>
      <c r="N39" s="369"/>
      <c r="P39" s="369"/>
      <c r="R39" s="369"/>
      <c r="T39" s="369"/>
    </row>
    <row r="41" spans="1:22" ht="27.6" x14ac:dyDescent="0.3">
      <c r="A41" s="82"/>
      <c r="B41" s="108" t="s">
        <v>501</v>
      </c>
      <c r="C41" s="116" t="s">
        <v>504</v>
      </c>
      <c r="D41" s="112" t="s">
        <v>433</v>
      </c>
      <c r="E41" s="177"/>
      <c r="F41" s="110" t="s">
        <v>474</v>
      </c>
      <c r="G41" s="170"/>
      <c r="H41" s="168" t="s">
        <v>176</v>
      </c>
      <c r="I41" s="189"/>
      <c r="J41" s="110" t="s">
        <v>204</v>
      </c>
      <c r="K41" s="191"/>
      <c r="L41" s="110" t="s">
        <v>1056</v>
      </c>
      <c r="N41" s="369"/>
      <c r="P41" s="369"/>
      <c r="R41" s="369"/>
      <c r="T41" s="369"/>
    </row>
    <row r="42" spans="1:22" ht="15" thickBot="1" x14ac:dyDescent="0.35">
      <c r="A42" s="82"/>
      <c r="B42" s="173" t="s">
        <v>282</v>
      </c>
      <c r="C42" s="171" t="s">
        <v>265</v>
      </c>
      <c r="D42" s="171"/>
      <c r="E42" s="178"/>
      <c r="F42" s="174" t="s">
        <v>266</v>
      </c>
      <c r="G42" s="172"/>
      <c r="H42" s="171" t="s">
        <v>267</v>
      </c>
      <c r="I42" s="178"/>
      <c r="J42" s="174"/>
      <c r="K42" s="117"/>
      <c r="L42" s="174" t="s">
        <v>283</v>
      </c>
      <c r="N42" s="369"/>
      <c r="P42" s="369"/>
      <c r="R42" s="369"/>
      <c r="T42" s="369"/>
    </row>
    <row r="43" spans="1:22" ht="15" customHeight="1" thickTop="1" x14ac:dyDescent="0.3">
      <c r="A43" s="82"/>
      <c r="B43" s="175" t="s">
        <v>526</v>
      </c>
      <c r="C43" s="150" t="s">
        <v>531</v>
      </c>
      <c r="D43" s="357" t="s">
        <v>435</v>
      </c>
      <c r="E43" s="153"/>
      <c r="F43" s="193" t="s">
        <v>815</v>
      </c>
      <c r="G43" s="169"/>
      <c r="H43" s="469">
        <f>0.0051427*(78)+0.3989</f>
        <v>0.80003059999999993</v>
      </c>
      <c r="I43" s="411" t="s">
        <v>14</v>
      </c>
      <c r="J43" s="412" t="s">
        <v>14</v>
      </c>
      <c r="K43" s="169"/>
      <c r="L43" s="155" t="s">
        <v>284</v>
      </c>
      <c r="N43" s="369"/>
      <c r="P43" s="369"/>
      <c r="R43" s="369"/>
      <c r="T43" s="369"/>
    </row>
    <row r="44" spans="1:22" x14ac:dyDescent="0.3">
      <c r="A44" s="82"/>
      <c r="B44" s="384"/>
      <c r="C44" s="384"/>
      <c r="D44" s="397"/>
      <c r="E44" s="362"/>
      <c r="F44" s="397"/>
      <c r="G44" s="362"/>
      <c r="H44" s="397"/>
      <c r="I44" s="362"/>
      <c r="J44" s="397"/>
      <c r="K44" s="362"/>
      <c r="L44" s="397"/>
      <c r="N44" s="369"/>
      <c r="P44" s="369"/>
      <c r="R44" s="369"/>
      <c r="T44" s="369"/>
    </row>
    <row r="45" spans="1:22" x14ac:dyDescent="0.3">
      <c r="A45" s="82"/>
      <c r="B45" s="83"/>
      <c r="C45" s="86"/>
      <c r="D45" s="82"/>
      <c r="E45" s="84"/>
      <c r="F45" s="82"/>
      <c r="G45" s="84"/>
      <c r="H45" s="82"/>
      <c r="I45" s="84"/>
      <c r="J45" s="82"/>
      <c r="K45" s="84"/>
      <c r="L45" s="82"/>
      <c r="M45" s="84"/>
      <c r="N45" s="82"/>
      <c r="O45" s="84"/>
      <c r="P45" s="82"/>
      <c r="Q45" s="84"/>
      <c r="R45" s="82"/>
      <c r="S45" s="84"/>
      <c r="T45" s="82"/>
    </row>
    <row r="46" spans="1:22" ht="27.6" x14ac:dyDescent="0.3">
      <c r="A46" s="82"/>
      <c r="B46" s="108" t="s">
        <v>501</v>
      </c>
      <c r="C46" s="116" t="s">
        <v>506</v>
      </c>
      <c r="D46" s="112" t="s">
        <v>433</v>
      </c>
      <c r="E46" s="177"/>
      <c r="F46" s="110" t="s">
        <v>184</v>
      </c>
      <c r="G46" s="113"/>
      <c r="H46" s="168" t="s">
        <v>277</v>
      </c>
      <c r="I46" s="125"/>
      <c r="J46" s="110" t="s">
        <v>511</v>
      </c>
      <c r="K46" s="125"/>
      <c r="L46" s="110" t="s">
        <v>183</v>
      </c>
      <c r="M46" s="168"/>
      <c r="N46" s="113" t="s">
        <v>205</v>
      </c>
      <c r="O46" s="189"/>
      <c r="P46" s="110" t="s">
        <v>507</v>
      </c>
      <c r="Q46" s="168"/>
      <c r="R46" s="168" t="s">
        <v>206</v>
      </c>
      <c r="S46" s="189"/>
      <c r="T46" s="110" t="s">
        <v>182</v>
      </c>
      <c r="U46" s="84"/>
      <c r="V46" s="369"/>
    </row>
    <row r="47" spans="1:22" ht="15" thickBot="1" x14ac:dyDescent="0.35">
      <c r="A47" s="82"/>
      <c r="B47" s="173" t="s">
        <v>282</v>
      </c>
      <c r="C47" s="171" t="s">
        <v>269</v>
      </c>
      <c r="D47" s="171"/>
      <c r="E47" s="178"/>
      <c r="F47" s="174" t="s">
        <v>270</v>
      </c>
      <c r="G47" s="172"/>
      <c r="H47" s="171" t="s">
        <v>271</v>
      </c>
      <c r="I47" s="178"/>
      <c r="J47" s="174"/>
      <c r="K47" s="178"/>
      <c r="L47" s="174" t="s">
        <v>272</v>
      </c>
      <c r="M47" s="172"/>
      <c r="N47" s="171" t="s">
        <v>273</v>
      </c>
      <c r="O47" s="178"/>
      <c r="P47" s="174" t="s">
        <v>274</v>
      </c>
      <c r="Q47" s="172"/>
      <c r="R47" s="171" t="s">
        <v>275</v>
      </c>
      <c r="S47" s="178"/>
      <c r="T47" s="174" t="s">
        <v>276</v>
      </c>
      <c r="U47" s="84"/>
      <c r="V47" s="369"/>
    </row>
    <row r="48" spans="1:22" ht="15" customHeight="1" thickTop="1" x14ac:dyDescent="0.3">
      <c r="A48" s="82"/>
      <c r="B48" s="175" t="s">
        <v>526</v>
      </c>
      <c r="C48" s="150" t="s">
        <v>532</v>
      </c>
      <c r="D48" s="150" t="s">
        <v>435</v>
      </c>
      <c r="E48" s="153"/>
      <c r="F48" s="155" t="s">
        <v>185</v>
      </c>
      <c r="G48" s="169"/>
      <c r="H48" s="150" t="s">
        <v>278</v>
      </c>
      <c r="I48" s="411" t="s">
        <v>14</v>
      </c>
      <c r="J48" s="412" t="s">
        <v>14</v>
      </c>
      <c r="K48" s="153"/>
      <c r="L48" s="199">
        <v>3.2</v>
      </c>
      <c r="M48" s="432" t="s">
        <v>14</v>
      </c>
      <c r="N48" s="432" t="s">
        <v>14</v>
      </c>
      <c r="O48" s="411" t="s">
        <v>14</v>
      </c>
      <c r="P48" s="412" t="s">
        <v>14</v>
      </c>
      <c r="Q48" s="202" t="s">
        <v>919</v>
      </c>
      <c r="R48" s="195">
        <v>3</v>
      </c>
      <c r="S48" s="204" t="s">
        <v>919</v>
      </c>
      <c r="T48" s="196">
        <v>0.89500000000000002</v>
      </c>
      <c r="U48" s="84"/>
      <c r="V48" s="369"/>
    </row>
    <row r="49" spans="1:20" x14ac:dyDescent="0.3">
      <c r="A49" s="82"/>
      <c r="B49" s="82"/>
      <c r="C49" s="384"/>
      <c r="D49" s="82"/>
      <c r="E49" s="82"/>
      <c r="F49" s="82"/>
      <c r="G49" s="82"/>
      <c r="H49" s="82"/>
      <c r="I49" s="82"/>
      <c r="J49" s="82"/>
      <c r="K49" s="82"/>
      <c r="L49" s="82"/>
      <c r="M49" s="82"/>
      <c r="N49" s="82"/>
      <c r="O49" s="82"/>
      <c r="P49" s="82"/>
      <c r="Q49" s="82"/>
      <c r="R49" s="82"/>
      <c r="S49" s="82"/>
      <c r="T49" s="369"/>
    </row>
    <row r="50" spans="1:20" x14ac:dyDescent="0.3">
      <c r="A50" s="397"/>
      <c r="B50" s="397"/>
      <c r="C50" s="397"/>
      <c r="D50" s="397"/>
      <c r="E50" s="362"/>
      <c r="F50" s="397"/>
      <c r="G50" s="362"/>
      <c r="H50" s="397"/>
      <c r="I50" s="362"/>
      <c r="J50" s="397"/>
      <c r="K50" s="397"/>
      <c r="L50" s="397"/>
      <c r="M50" s="362"/>
      <c r="N50" s="397"/>
      <c r="O50" s="121"/>
      <c r="P50" s="111"/>
      <c r="Q50" s="82"/>
      <c r="R50" s="82"/>
      <c r="S50" s="82"/>
      <c r="T50" s="82"/>
    </row>
    <row r="51" spans="1:20" x14ac:dyDescent="0.3">
      <c r="A51" s="397"/>
      <c r="B51" s="108" t="s">
        <v>501</v>
      </c>
      <c r="C51" s="113" t="s">
        <v>610</v>
      </c>
      <c r="D51" s="112" t="s">
        <v>433</v>
      </c>
      <c r="E51" s="207"/>
      <c r="F51" s="142" t="s">
        <v>538</v>
      </c>
      <c r="G51" s="125"/>
      <c r="H51" s="142" t="s">
        <v>295</v>
      </c>
      <c r="I51" s="362"/>
      <c r="J51" s="397"/>
      <c r="K51" s="397"/>
      <c r="L51" s="397"/>
      <c r="M51" s="362"/>
      <c r="N51" s="397"/>
      <c r="O51" s="121"/>
      <c r="P51" s="111"/>
      <c r="Q51" s="82"/>
      <c r="R51" s="82"/>
      <c r="S51" s="82"/>
      <c r="T51" s="82"/>
    </row>
    <row r="52" spans="1:20" ht="15" thickBot="1" x14ac:dyDescent="0.35">
      <c r="A52" s="397"/>
      <c r="B52" s="173" t="s">
        <v>282</v>
      </c>
      <c r="C52" s="171"/>
      <c r="D52" s="174"/>
      <c r="E52" s="205"/>
      <c r="F52" s="174" t="s">
        <v>289</v>
      </c>
      <c r="G52" s="208"/>
      <c r="H52" s="174" t="s">
        <v>290</v>
      </c>
      <c r="I52" s="362"/>
      <c r="J52" s="397"/>
      <c r="K52" s="397"/>
      <c r="L52" s="397"/>
      <c r="M52" s="362"/>
      <c r="N52" s="397"/>
      <c r="O52" s="121"/>
      <c r="P52" s="111"/>
      <c r="Q52" s="82"/>
      <c r="R52" s="82"/>
      <c r="S52" s="82"/>
      <c r="T52" s="82"/>
    </row>
    <row r="53" spans="1:20" ht="15" thickTop="1" x14ac:dyDescent="0.3">
      <c r="A53" s="397"/>
      <c r="B53" s="175" t="s">
        <v>526</v>
      </c>
      <c r="C53" s="261" t="s">
        <v>614</v>
      </c>
      <c r="D53" s="257" t="s">
        <v>435</v>
      </c>
      <c r="E53" s="169"/>
      <c r="F53" s="155" t="s">
        <v>388</v>
      </c>
      <c r="G53" s="432" t="s">
        <v>14</v>
      </c>
      <c r="H53" s="478" t="s">
        <v>14</v>
      </c>
      <c r="I53" s="362"/>
      <c r="J53" s="397"/>
      <c r="K53" s="397"/>
      <c r="L53" s="397"/>
      <c r="M53" s="362"/>
      <c r="N53" s="397"/>
      <c r="O53" s="121"/>
      <c r="P53" s="111"/>
      <c r="Q53" s="82"/>
      <c r="R53" s="82"/>
      <c r="S53" s="82"/>
      <c r="T53" s="82"/>
    </row>
    <row r="54" spans="1:20" x14ac:dyDescent="0.3">
      <c r="A54" s="397"/>
      <c r="B54" s="85"/>
      <c r="D54" s="85"/>
      <c r="E54" s="85"/>
      <c r="F54" s="85"/>
      <c r="G54" s="85"/>
      <c r="H54" s="85"/>
      <c r="I54" s="85"/>
      <c r="J54" s="397"/>
      <c r="K54" s="397"/>
      <c r="L54" s="397"/>
      <c r="M54" s="362"/>
      <c r="N54" s="397"/>
      <c r="O54" s="121"/>
      <c r="P54" s="111"/>
      <c r="Q54" s="82"/>
      <c r="R54" s="82"/>
      <c r="S54" s="82"/>
      <c r="T54" s="82"/>
    </row>
    <row r="55" spans="1:20" x14ac:dyDescent="0.3">
      <c r="A55" s="82"/>
      <c r="B55" s="85"/>
      <c r="C55" s="83"/>
      <c r="D55" s="397"/>
      <c r="E55" s="82"/>
      <c r="F55" s="82"/>
      <c r="G55" s="82"/>
      <c r="H55" s="82"/>
      <c r="I55" s="82"/>
      <c r="J55" s="82"/>
      <c r="K55" s="82"/>
      <c r="L55" s="82"/>
      <c r="M55" s="82"/>
      <c r="N55" s="82"/>
      <c r="O55" s="82"/>
      <c r="P55" s="82"/>
      <c r="Q55" s="82"/>
      <c r="R55" s="82"/>
      <c r="S55" s="82"/>
      <c r="T55" s="82"/>
    </row>
    <row r="56" spans="1:20" x14ac:dyDescent="0.3">
      <c r="A56" s="82"/>
      <c r="B56" s="108" t="s">
        <v>505</v>
      </c>
      <c r="C56" s="113" t="s">
        <v>291</v>
      </c>
      <c r="D56" s="373"/>
      <c r="E56" s="207"/>
      <c r="F56" s="142" t="s">
        <v>292</v>
      </c>
      <c r="G56" s="125"/>
      <c r="H56" s="142" t="s">
        <v>293</v>
      </c>
      <c r="I56" s="397"/>
      <c r="J56" s="397"/>
      <c r="K56" s="397"/>
      <c r="L56" s="397"/>
      <c r="M56" s="82"/>
      <c r="N56" s="82"/>
      <c r="O56" s="397"/>
      <c r="P56" s="397"/>
      <c r="Q56" s="397"/>
      <c r="R56" s="397"/>
      <c r="S56" s="397"/>
      <c r="T56" s="397"/>
    </row>
    <row r="57" spans="1:20" ht="15" thickBot="1" x14ac:dyDescent="0.35">
      <c r="A57" s="82"/>
      <c r="B57" s="173" t="s">
        <v>285</v>
      </c>
      <c r="C57" s="171" t="s">
        <v>286</v>
      </c>
      <c r="D57" s="376"/>
      <c r="E57" s="208"/>
      <c r="F57" s="174" t="s">
        <v>287</v>
      </c>
      <c r="G57" s="208"/>
      <c r="H57" s="174" t="s">
        <v>288</v>
      </c>
      <c r="I57" s="397"/>
      <c r="J57" s="397"/>
      <c r="K57" s="397"/>
      <c r="L57" s="397"/>
      <c r="M57" s="82"/>
      <c r="N57" s="82"/>
      <c r="O57" s="397"/>
      <c r="P57" s="397"/>
      <c r="Q57" s="397"/>
      <c r="R57" s="397"/>
      <c r="S57" s="397"/>
      <c r="T57" s="397"/>
    </row>
    <row r="58" spans="1:20" ht="15" thickTop="1" x14ac:dyDescent="0.3">
      <c r="A58" s="82"/>
      <c r="B58" s="124" t="s">
        <v>209</v>
      </c>
      <c r="C58" s="85" t="s">
        <v>296</v>
      </c>
      <c r="E58" s="409" t="s">
        <v>14</v>
      </c>
      <c r="F58" s="410" t="s">
        <v>14</v>
      </c>
      <c r="G58" s="409" t="s">
        <v>14</v>
      </c>
      <c r="H58" s="410" t="s">
        <v>14</v>
      </c>
      <c r="I58" s="397"/>
      <c r="J58" s="397"/>
      <c r="K58" s="397"/>
      <c r="L58" s="397"/>
      <c r="M58" s="82"/>
      <c r="N58" s="82"/>
      <c r="O58" s="397"/>
      <c r="P58" s="397"/>
      <c r="Q58" s="397"/>
      <c r="R58" s="397"/>
      <c r="S58" s="397"/>
      <c r="T58" s="397"/>
    </row>
    <row r="59" spans="1:20" x14ac:dyDescent="0.3">
      <c r="A59" s="82"/>
      <c r="B59" s="124" t="s">
        <v>210</v>
      </c>
      <c r="C59" s="85" t="s">
        <v>297</v>
      </c>
      <c r="E59" s="136"/>
      <c r="F59" s="146" t="s">
        <v>415</v>
      </c>
      <c r="G59" s="136"/>
      <c r="H59" s="146" t="s">
        <v>416</v>
      </c>
      <c r="I59" s="397"/>
      <c r="J59" s="397"/>
      <c r="K59" s="397"/>
      <c r="L59" s="397"/>
      <c r="M59" s="82"/>
      <c r="N59" s="82"/>
      <c r="O59" s="397"/>
      <c r="P59" s="397"/>
      <c r="Q59" s="397"/>
      <c r="R59" s="397"/>
      <c r="S59" s="397"/>
      <c r="T59" s="397"/>
    </row>
    <row r="60" spans="1:20" x14ac:dyDescent="0.3">
      <c r="A60" s="82"/>
      <c r="B60" s="175" t="s">
        <v>211</v>
      </c>
      <c r="C60" s="150" t="s">
        <v>297</v>
      </c>
      <c r="D60" s="151"/>
      <c r="E60" s="153"/>
      <c r="F60" s="155" t="s">
        <v>415</v>
      </c>
      <c r="G60" s="153"/>
      <c r="H60" s="155" t="s">
        <v>416</v>
      </c>
      <c r="I60" s="397"/>
      <c r="J60" s="397"/>
      <c r="K60" s="397"/>
      <c r="L60" s="397"/>
      <c r="M60" s="82"/>
      <c r="N60" s="82"/>
      <c r="O60" s="397"/>
      <c r="P60" s="397"/>
      <c r="Q60" s="397"/>
      <c r="R60" s="397"/>
      <c r="S60" s="397"/>
      <c r="T60" s="397"/>
    </row>
    <row r="61" spans="1:20" x14ac:dyDescent="0.3">
      <c r="A61" s="397"/>
      <c r="B61" s="397"/>
      <c r="C61" s="397"/>
      <c r="D61" s="397"/>
      <c r="E61" s="397"/>
      <c r="F61" s="397"/>
      <c r="G61" s="397"/>
      <c r="H61" s="397"/>
      <c r="I61" s="362"/>
      <c r="J61" s="397"/>
      <c r="K61" s="397"/>
      <c r="L61" s="397"/>
      <c r="M61" s="362"/>
      <c r="N61" s="397"/>
      <c r="O61" s="121"/>
      <c r="P61" s="111"/>
      <c r="Q61" s="82"/>
      <c r="R61" s="82"/>
      <c r="S61" s="82"/>
      <c r="T61" s="82"/>
    </row>
    <row r="62" spans="1:20" s="86" customFormat="1" ht="13.8" x14ac:dyDescent="0.3">
      <c r="A62" s="82"/>
      <c r="B62" s="85"/>
      <c r="C62" s="83"/>
      <c r="E62" s="362"/>
      <c r="G62" s="25"/>
      <c r="I62" s="87"/>
      <c r="K62" s="87"/>
      <c r="M62" s="87"/>
      <c r="O62" s="87"/>
      <c r="Q62" s="87"/>
      <c r="S62" s="87"/>
    </row>
    <row r="63" spans="1:20" s="86" customFormat="1" ht="13.8" x14ac:dyDescent="0.3">
      <c r="A63" s="291"/>
      <c r="B63" s="291" t="s">
        <v>48</v>
      </c>
      <c r="C63" s="292"/>
      <c r="D63" s="290"/>
      <c r="E63" s="292"/>
      <c r="F63" s="290"/>
      <c r="G63" s="293"/>
      <c r="H63" s="290"/>
      <c r="I63" s="292"/>
      <c r="J63" s="290"/>
      <c r="K63" s="292"/>
      <c r="L63" s="290"/>
      <c r="M63" s="290"/>
      <c r="N63" s="290"/>
      <c r="O63" s="292"/>
      <c r="P63" s="290"/>
      <c r="Q63" s="292"/>
      <c r="R63" s="292"/>
      <c r="S63" s="292"/>
      <c r="T63" s="292"/>
    </row>
    <row r="64" spans="1:20" s="86" customFormat="1" ht="13.8" x14ac:dyDescent="0.3">
      <c r="A64" s="24"/>
      <c r="B64" s="24" t="s">
        <v>9</v>
      </c>
      <c r="C64" s="87"/>
      <c r="E64" s="84"/>
      <c r="F64" s="369"/>
      <c r="G64" s="84"/>
      <c r="H64" s="369"/>
      <c r="I64" s="84"/>
      <c r="J64" s="369"/>
      <c r="K64" s="84"/>
      <c r="L64" s="369"/>
      <c r="M64" s="84"/>
      <c r="N64" s="369"/>
      <c r="O64" s="84"/>
      <c r="P64" s="369"/>
      <c r="Q64" s="84"/>
      <c r="R64" s="63"/>
      <c r="S64" s="84"/>
      <c r="T64" s="63"/>
    </row>
    <row r="65" spans="1:20" x14ac:dyDescent="0.3">
      <c r="A65" s="82"/>
      <c r="B65" s="83" t="s">
        <v>18</v>
      </c>
    </row>
    <row r="66" spans="1:20" ht="27.6" x14ac:dyDescent="0.3">
      <c r="A66" s="82"/>
      <c r="B66" s="216" t="s">
        <v>137</v>
      </c>
      <c r="C66" s="116" t="s">
        <v>31</v>
      </c>
      <c r="D66" s="112" t="s">
        <v>433</v>
      </c>
      <c r="E66" s="190"/>
      <c r="F66" s="109" t="s">
        <v>11</v>
      </c>
      <c r="G66" s="183"/>
      <c r="H66" s="116" t="s">
        <v>495</v>
      </c>
      <c r="I66" s="190"/>
      <c r="J66" s="109" t="s">
        <v>22</v>
      </c>
      <c r="K66" s="183"/>
      <c r="L66" s="109" t="s">
        <v>39</v>
      </c>
      <c r="M66" s="34"/>
      <c r="N66" s="77"/>
      <c r="O66" s="34"/>
      <c r="P66" s="77"/>
      <c r="Q66" s="34"/>
      <c r="R66" s="77"/>
      <c r="S66" s="34"/>
      <c r="T66" s="77"/>
    </row>
    <row r="67" spans="1:20" ht="15" thickBot="1" x14ac:dyDescent="0.35">
      <c r="A67" s="82"/>
      <c r="B67" s="126"/>
      <c r="C67" s="117" t="s">
        <v>46</v>
      </c>
      <c r="D67" s="118"/>
      <c r="E67" s="133"/>
      <c r="F67" s="143" t="s">
        <v>26</v>
      </c>
      <c r="G67" s="119"/>
      <c r="H67" s="117" t="s">
        <v>47</v>
      </c>
      <c r="I67" s="139"/>
      <c r="J67" s="143" t="s">
        <v>28</v>
      </c>
      <c r="K67" s="118"/>
      <c r="L67" s="143" t="s">
        <v>29</v>
      </c>
      <c r="M67" s="76"/>
      <c r="N67" s="29"/>
      <c r="O67" s="76"/>
      <c r="P67" s="29"/>
      <c r="Q67" s="29"/>
      <c r="R67" s="29"/>
      <c r="S67" s="29"/>
      <c r="T67" s="29"/>
    </row>
    <row r="68" spans="1:20" ht="15" thickTop="1" x14ac:dyDescent="0.3">
      <c r="A68" s="82"/>
      <c r="B68" s="149" t="s">
        <v>20</v>
      </c>
      <c r="C68" s="151" t="s">
        <v>533</v>
      </c>
      <c r="D68" s="158" t="s">
        <v>435</v>
      </c>
      <c r="E68" s="153"/>
      <c r="F68" s="166" t="s">
        <v>19</v>
      </c>
      <c r="G68" s="169"/>
      <c r="H68" s="150">
        <v>0.36</v>
      </c>
      <c r="I68" s="153"/>
      <c r="J68" s="163">
        <v>0.25</v>
      </c>
      <c r="K68" s="169"/>
      <c r="L68" s="163">
        <v>0.42</v>
      </c>
    </row>
    <row r="69" spans="1:20" x14ac:dyDescent="0.3">
      <c r="C69" s="371"/>
      <c r="D69" s="378"/>
      <c r="E69" s="369"/>
      <c r="G69" s="369"/>
      <c r="H69" s="85"/>
    </row>
    <row r="70" spans="1:20" s="83" customFormat="1" ht="27.6" x14ac:dyDescent="0.3">
      <c r="D70" s="216" t="s">
        <v>137</v>
      </c>
      <c r="E70" s="190"/>
      <c r="F70" s="109" t="s">
        <v>512</v>
      </c>
      <c r="G70" s="183"/>
      <c r="H70" s="116" t="s">
        <v>513</v>
      </c>
      <c r="I70" s="190"/>
      <c r="J70" s="109" t="s">
        <v>514</v>
      </c>
      <c r="K70" s="183"/>
      <c r="L70" s="116" t="s">
        <v>515</v>
      </c>
      <c r="M70" s="190"/>
      <c r="N70" s="109" t="s">
        <v>516</v>
      </c>
      <c r="O70" s="39"/>
      <c r="P70" s="15"/>
      <c r="Q70" s="15"/>
      <c r="R70" s="15"/>
      <c r="S70" s="15"/>
      <c r="T70" s="15"/>
    </row>
    <row r="71" spans="1:20" s="369" customFormat="1" thickBot="1" x14ac:dyDescent="0.35">
      <c r="D71" s="236"/>
      <c r="E71" s="237"/>
      <c r="F71" s="238" t="s">
        <v>65</v>
      </c>
      <c r="G71" s="224"/>
      <c r="H71" s="118" t="s">
        <v>66</v>
      </c>
      <c r="I71" s="237"/>
      <c r="J71" s="101" t="s">
        <v>67</v>
      </c>
      <c r="K71" s="224"/>
      <c r="L71" s="215" t="s">
        <v>68</v>
      </c>
      <c r="M71" s="237"/>
      <c r="N71" s="101" t="s">
        <v>69</v>
      </c>
      <c r="O71" s="63"/>
      <c r="P71" s="63"/>
      <c r="Q71" s="63"/>
      <c r="R71" s="63"/>
      <c r="S71" s="63"/>
      <c r="T71" s="63"/>
    </row>
    <row r="72" spans="1:20" s="378" customFormat="1" thickTop="1" x14ac:dyDescent="0.3">
      <c r="C72" s="84"/>
      <c r="D72" s="233" t="s">
        <v>20</v>
      </c>
      <c r="E72" s="165"/>
      <c r="F72" s="235">
        <v>0.37159999999999999</v>
      </c>
      <c r="G72" s="164"/>
      <c r="H72" s="234">
        <v>0</v>
      </c>
      <c r="I72" s="165"/>
      <c r="J72" s="234">
        <v>0</v>
      </c>
      <c r="K72" s="165"/>
      <c r="L72" s="234">
        <v>0.46029999999999999</v>
      </c>
      <c r="M72" s="165"/>
      <c r="N72" s="235">
        <v>0</v>
      </c>
      <c r="O72" s="370"/>
      <c r="P72" s="370"/>
      <c r="Q72" s="370"/>
      <c r="R72" s="370"/>
      <c r="S72" s="370"/>
      <c r="T72" s="370"/>
    </row>
    <row r="73" spans="1:20" x14ac:dyDescent="0.3">
      <c r="A73" s="82"/>
      <c r="B73" s="83"/>
    </row>
    <row r="74" spans="1:20" s="82" customFormat="1" ht="13.8" x14ac:dyDescent="0.3">
      <c r="A74" s="24"/>
      <c r="B74" s="24" t="s">
        <v>114</v>
      </c>
      <c r="D74" s="86"/>
      <c r="E74" s="84"/>
      <c r="G74" s="86"/>
      <c r="H74" s="84"/>
      <c r="J74" s="86"/>
      <c r="K74" s="84"/>
      <c r="M74" s="86"/>
      <c r="N74" s="84"/>
      <c r="P74" s="86"/>
      <c r="Q74" s="84"/>
      <c r="S74" s="86"/>
      <c r="T74" s="84"/>
    </row>
    <row r="75" spans="1:20" s="82" customFormat="1" ht="13.8" x14ac:dyDescent="0.3">
      <c r="B75" s="77" t="s">
        <v>212</v>
      </c>
      <c r="D75" s="86"/>
      <c r="E75" s="84"/>
      <c r="G75" s="86"/>
      <c r="H75" s="84"/>
      <c r="J75" s="86"/>
      <c r="K75" s="84"/>
      <c r="M75" s="86"/>
      <c r="N75" s="84"/>
      <c r="P75" s="86"/>
      <c r="Q75" s="84"/>
      <c r="S75" s="86"/>
      <c r="T75" s="84"/>
    </row>
    <row r="76" spans="1:20" s="85" customFormat="1" ht="38.25" customHeight="1" x14ac:dyDescent="0.3">
      <c r="B76" s="108" t="s">
        <v>138</v>
      </c>
      <c r="C76" s="116" t="s">
        <v>190</v>
      </c>
      <c r="D76" s="112" t="s">
        <v>433</v>
      </c>
      <c r="E76" s="280"/>
      <c r="F76" s="110" t="s">
        <v>163</v>
      </c>
      <c r="G76" s="393"/>
      <c r="H76" s="110" t="s">
        <v>523</v>
      </c>
      <c r="I76" s="182"/>
      <c r="J76" s="168" t="s">
        <v>524</v>
      </c>
      <c r="K76" s="393"/>
      <c r="L76" s="110" t="s">
        <v>123</v>
      </c>
      <c r="M76" s="182"/>
      <c r="N76" s="110" t="s">
        <v>161</v>
      </c>
      <c r="O76" s="280"/>
      <c r="P76" s="110" t="s">
        <v>602</v>
      </c>
      <c r="Q76" s="87"/>
      <c r="R76" s="87"/>
      <c r="S76" s="87"/>
      <c r="T76" s="87"/>
    </row>
    <row r="77" spans="1:20" s="369" customFormat="1" thickBot="1" x14ac:dyDescent="0.35">
      <c r="B77" s="100" t="s">
        <v>213</v>
      </c>
      <c r="C77" s="117"/>
      <c r="D77" s="118"/>
      <c r="E77" s="100"/>
      <c r="F77" s="101" t="s">
        <v>149</v>
      </c>
      <c r="G77" s="100"/>
      <c r="H77" s="101" t="s">
        <v>149</v>
      </c>
      <c r="I77" s="215"/>
      <c r="J77" s="215" t="s">
        <v>149</v>
      </c>
      <c r="K77" s="100"/>
      <c r="L77" s="101" t="s">
        <v>150</v>
      </c>
      <c r="M77" s="215"/>
      <c r="N77" s="244"/>
      <c r="O77" s="100"/>
      <c r="P77" s="101" t="s">
        <v>320</v>
      </c>
      <c r="Q77" s="87"/>
      <c r="R77" s="87"/>
      <c r="S77" s="87"/>
      <c r="T77" s="87"/>
    </row>
    <row r="78" spans="1:20" s="369" customFormat="1" thickTop="1" x14ac:dyDescent="0.3">
      <c r="B78" s="124" t="s">
        <v>209</v>
      </c>
      <c r="C78" s="85" t="s">
        <v>119</v>
      </c>
      <c r="D78" s="68" t="s">
        <v>435</v>
      </c>
      <c r="E78" s="317"/>
      <c r="F78" s="717">
        <v>0.95</v>
      </c>
      <c r="G78" s="409" t="s">
        <v>14</v>
      </c>
      <c r="H78" s="410" t="s">
        <v>14</v>
      </c>
      <c r="I78" s="141"/>
      <c r="J78" s="1">
        <v>0.95</v>
      </c>
      <c r="K78" s="134"/>
      <c r="L78" s="197" t="s">
        <v>129</v>
      </c>
      <c r="M78" s="349"/>
      <c r="N78" s="609" t="s">
        <v>1328</v>
      </c>
      <c r="O78" s="409" t="s">
        <v>14</v>
      </c>
      <c r="P78" s="410" t="s">
        <v>14</v>
      </c>
      <c r="Q78" s="87"/>
      <c r="R78" s="87"/>
      <c r="S78" s="87"/>
      <c r="T78" s="87"/>
    </row>
    <row r="79" spans="1:20" s="369" customFormat="1" ht="27.6" x14ac:dyDescent="0.3">
      <c r="B79" s="124" t="s">
        <v>210</v>
      </c>
      <c r="C79" s="247" t="s">
        <v>116</v>
      </c>
      <c r="D79" s="68" t="s">
        <v>435</v>
      </c>
      <c r="E79" s="327"/>
      <c r="F79" s="717">
        <v>1.34</v>
      </c>
      <c r="G79" s="327"/>
      <c r="H79" s="717">
        <f>1*0.77*810/1623.3</f>
        <v>0.38421733505821476</v>
      </c>
      <c r="I79" s="176"/>
      <c r="J79" s="1">
        <v>1.72</v>
      </c>
      <c r="K79" s="136"/>
      <c r="L79" s="197" t="s">
        <v>129</v>
      </c>
      <c r="M79" s="136"/>
      <c r="N79" s="366" t="s">
        <v>162</v>
      </c>
      <c r="O79" s="176"/>
      <c r="P79" s="366">
        <v>810</v>
      </c>
      <c r="Q79" s="87"/>
      <c r="R79" s="87"/>
      <c r="S79" s="87"/>
      <c r="T79" s="87"/>
    </row>
    <row r="80" spans="1:20" s="369" customFormat="1" ht="27.6" x14ac:dyDescent="0.3">
      <c r="B80" s="175" t="s">
        <v>211</v>
      </c>
      <c r="C80" s="253" t="s">
        <v>116</v>
      </c>
      <c r="D80" s="716" t="s">
        <v>435</v>
      </c>
      <c r="E80" s="334"/>
      <c r="F80" s="859">
        <v>1.2</v>
      </c>
      <c r="G80" s="411" t="s">
        <v>14</v>
      </c>
      <c r="H80" s="412" t="s">
        <v>14</v>
      </c>
      <c r="I80" s="169"/>
      <c r="J80" s="234">
        <v>1.2</v>
      </c>
      <c r="K80" s="153"/>
      <c r="L80" s="199" t="s">
        <v>129</v>
      </c>
      <c r="M80" s="153"/>
      <c r="N80" s="402" t="s">
        <v>1328</v>
      </c>
      <c r="O80" s="411" t="s">
        <v>14</v>
      </c>
      <c r="P80" s="412" t="s">
        <v>14</v>
      </c>
      <c r="Q80" s="87"/>
      <c r="R80" s="87"/>
      <c r="S80" s="87"/>
      <c r="T80" s="87"/>
    </row>
    <row r="82" spans="1:26" x14ac:dyDescent="0.3">
      <c r="A82" s="82"/>
      <c r="B82" s="85"/>
      <c r="C82" s="83"/>
      <c r="D82" s="397"/>
      <c r="E82" s="369"/>
      <c r="F82" s="369"/>
      <c r="G82" s="369"/>
      <c r="H82" s="369"/>
      <c r="J82" s="369"/>
      <c r="L82" s="66"/>
      <c r="N82" s="66"/>
      <c r="P82" s="66"/>
    </row>
    <row r="83" spans="1:26" x14ac:dyDescent="0.3">
      <c r="A83" s="24"/>
      <c r="B83" s="24" t="s">
        <v>517</v>
      </c>
    </row>
    <row r="84" spans="1:26" ht="41.4" x14ac:dyDescent="0.3">
      <c r="A84" s="82"/>
      <c r="B84" s="108" t="s">
        <v>500</v>
      </c>
      <c r="C84" s="116" t="s">
        <v>501</v>
      </c>
      <c r="D84" s="112" t="s">
        <v>433</v>
      </c>
      <c r="E84" s="125"/>
      <c r="F84" s="142" t="s">
        <v>437</v>
      </c>
      <c r="G84" s="113"/>
      <c r="H84" s="168" t="s">
        <v>137</v>
      </c>
      <c r="I84" s="125"/>
      <c r="J84" s="110" t="s">
        <v>186</v>
      </c>
      <c r="K84" s="125"/>
      <c r="L84" s="142" t="s">
        <v>510</v>
      </c>
      <c r="M84" s="113"/>
      <c r="N84" s="113" t="s">
        <v>509</v>
      </c>
      <c r="O84" s="207"/>
      <c r="P84" s="142" t="s">
        <v>508</v>
      </c>
      <c r="Q84" s="75"/>
      <c r="R84" s="403"/>
      <c r="S84" s="403"/>
      <c r="T84" s="403"/>
      <c r="U84" s="369"/>
      <c r="V84" s="403"/>
      <c r="X84" s="403"/>
    </row>
    <row r="85" spans="1:26" ht="15" thickBot="1" x14ac:dyDescent="0.35">
      <c r="A85" s="82"/>
      <c r="B85" s="173" t="s">
        <v>259</v>
      </c>
      <c r="C85" s="171" t="s">
        <v>258</v>
      </c>
      <c r="D85" s="376"/>
      <c r="E85" s="178"/>
      <c r="F85" s="174"/>
      <c r="G85" s="172"/>
      <c r="H85" s="174" t="s">
        <v>260</v>
      </c>
      <c r="I85" s="178"/>
      <c r="J85" s="174" t="s">
        <v>261</v>
      </c>
      <c r="K85" s="208"/>
      <c r="L85" s="174" t="s">
        <v>646</v>
      </c>
      <c r="M85" s="205"/>
      <c r="N85" s="171" t="s">
        <v>647</v>
      </c>
      <c r="O85" s="208"/>
      <c r="P85" s="174" t="s">
        <v>1387</v>
      </c>
      <c r="Q85" s="86"/>
      <c r="R85" s="718"/>
      <c r="S85" s="719"/>
      <c r="T85" s="719"/>
      <c r="U85" s="720"/>
      <c r="V85" s="721"/>
      <c r="W85" s="720"/>
      <c r="X85" s="718"/>
    </row>
    <row r="86" spans="1:26" ht="15" thickTop="1" x14ac:dyDescent="0.3">
      <c r="A86" s="82"/>
      <c r="B86" s="175" t="s">
        <v>525</v>
      </c>
      <c r="C86" s="150" t="s">
        <v>166</v>
      </c>
      <c r="D86" s="151" t="s">
        <v>435</v>
      </c>
      <c r="E86" s="179"/>
      <c r="F86" s="155" t="s">
        <v>527</v>
      </c>
      <c r="G86" s="169"/>
      <c r="H86" s="150" t="s">
        <v>167</v>
      </c>
      <c r="I86" s="153"/>
      <c r="J86" s="155" t="s">
        <v>528</v>
      </c>
      <c r="K86" s="153"/>
      <c r="L86" s="209">
        <v>55</v>
      </c>
      <c r="M86" s="169"/>
      <c r="N86" s="151">
        <v>95</v>
      </c>
      <c r="O86" s="153"/>
      <c r="P86" s="209" t="s">
        <v>300</v>
      </c>
      <c r="R86" s="718"/>
      <c r="S86" s="719"/>
      <c r="T86" s="719"/>
      <c r="U86" s="720"/>
      <c r="V86" s="721"/>
      <c r="W86" s="720"/>
      <c r="X86" s="718"/>
    </row>
    <row r="87" spans="1:26" x14ac:dyDescent="0.3">
      <c r="A87" s="82"/>
      <c r="B87" s="77"/>
      <c r="C87" s="75"/>
      <c r="D87" s="29"/>
      <c r="E87" s="369"/>
      <c r="F87" s="369"/>
      <c r="G87" s="369"/>
      <c r="H87" s="369"/>
      <c r="J87" s="369"/>
      <c r="K87" s="84"/>
      <c r="L87" s="82"/>
      <c r="N87" s="369"/>
      <c r="P87" s="369"/>
    </row>
    <row r="88" spans="1:26" x14ac:dyDescent="0.3">
      <c r="A88" s="82"/>
      <c r="B88" s="77"/>
      <c r="C88" s="75"/>
      <c r="D88" s="29"/>
      <c r="E88" s="369"/>
      <c r="F88" s="369"/>
      <c r="G88" s="369"/>
      <c r="H88" s="369"/>
      <c r="J88" s="369"/>
      <c r="K88" s="84"/>
      <c r="L88" s="82"/>
      <c r="N88" s="369"/>
      <c r="P88" s="369"/>
      <c r="R88" s="369"/>
      <c r="T88" s="369"/>
      <c r="U88" s="369"/>
      <c r="V88" s="369"/>
      <c r="W88" s="369"/>
      <c r="X88" s="369"/>
      <c r="Y88" s="369"/>
      <c r="Z88" s="369"/>
    </row>
    <row r="89" spans="1:26" ht="41.4" x14ac:dyDescent="0.3">
      <c r="A89" s="82"/>
      <c r="B89" s="189" t="s">
        <v>518</v>
      </c>
      <c r="C89" s="113" t="s">
        <v>502</v>
      </c>
      <c r="D89" s="112" t="s">
        <v>433</v>
      </c>
      <c r="E89" s="189"/>
      <c r="F89" s="110" t="s">
        <v>137</v>
      </c>
      <c r="G89" s="168"/>
      <c r="H89" s="168" t="s">
        <v>503</v>
      </c>
      <c r="I89" s="189"/>
      <c r="J89" s="110" t="s">
        <v>204</v>
      </c>
      <c r="K89" s="182"/>
      <c r="L89" s="110" t="s">
        <v>1053</v>
      </c>
      <c r="M89" s="442"/>
      <c r="N89" s="110" t="s">
        <v>1054</v>
      </c>
      <c r="O89" s="441"/>
      <c r="P89" s="110" t="s">
        <v>1055</v>
      </c>
      <c r="R89" s="369"/>
      <c r="T89" s="369"/>
      <c r="U89" s="369"/>
      <c r="V89" s="369"/>
      <c r="W89" s="369"/>
      <c r="X89" s="369"/>
      <c r="Y89" s="369"/>
      <c r="Z89" s="369"/>
    </row>
    <row r="90" spans="1:26" ht="15" thickBot="1" x14ac:dyDescent="0.35">
      <c r="A90" s="82"/>
      <c r="B90" s="173" t="s">
        <v>280</v>
      </c>
      <c r="C90" s="171" t="s">
        <v>262</v>
      </c>
      <c r="D90" s="376"/>
      <c r="E90" s="178"/>
      <c r="F90" s="174" t="s">
        <v>264</v>
      </c>
      <c r="G90" s="172"/>
      <c r="H90" s="171" t="s">
        <v>933</v>
      </c>
      <c r="I90" s="178"/>
      <c r="J90" s="174" t="s">
        <v>263</v>
      </c>
      <c r="K90" s="184"/>
      <c r="L90" s="171" t="s">
        <v>629</v>
      </c>
      <c r="M90" s="173"/>
      <c r="N90" s="174" t="s">
        <v>630</v>
      </c>
      <c r="O90" s="171"/>
      <c r="P90" s="174" t="s">
        <v>631</v>
      </c>
      <c r="R90" s="369"/>
      <c r="T90" s="369"/>
      <c r="U90" s="369"/>
      <c r="V90" s="369"/>
      <c r="W90" s="369"/>
      <c r="X90" s="369"/>
      <c r="Y90" s="369"/>
      <c r="Z90" s="369"/>
    </row>
    <row r="91" spans="1:26" ht="15" customHeight="1" thickTop="1" x14ac:dyDescent="0.3">
      <c r="A91" s="82"/>
      <c r="B91" s="175" t="s">
        <v>166</v>
      </c>
      <c r="C91" s="150" t="s">
        <v>174</v>
      </c>
      <c r="D91" s="151" t="s">
        <v>435</v>
      </c>
      <c r="E91" s="153"/>
      <c r="F91" s="188" t="s">
        <v>173</v>
      </c>
      <c r="G91" s="169"/>
      <c r="H91" s="186">
        <v>10.8</v>
      </c>
      <c r="I91" s="359"/>
      <c r="J91" s="186">
        <v>1.1499999999999999</v>
      </c>
      <c r="K91" s="359"/>
      <c r="L91" s="150" t="s">
        <v>454</v>
      </c>
      <c r="M91" s="153"/>
      <c r="N91" s="155" t="s">
        <v>530</v>
      </c>
      <c r="O91" s="169"/>
      <c r="P91" s="155" t="s">
        <v>281</v>
      </c>
      <c r="R91" s="369"/>
      <c r="T91" s="369"/>
      <c r="U91" s="369"/>
      <c r="V91" s="369"/>
      <c r="W91" s="369"/>
      <c r="X91" s="369"/>
      <c r="Y91" s="369"/>
      <c r="Z91" s="369"/>
    </row>
    <row r="92" spans="1:26" x14ac:dyDescent="0.3">
      <c r="A92" s="82"/>
      <c r="B92" s="77"/>
      <c r="C92" s="75"/>
      <c r="D92" s="82"/>
      <c r="E92" s="84"/>
      <c r="F92" s="82"/>
      <c r="G92" s="84"/>
      <c r="H92" s="82"/>
      <c r="I92" s="84"/>
      <c r="J92" s="82"/>
      <c r="K92" s="29"/>
      <c r="L92" s="369"/>
      <c r="N92" s="369"/>
      <c r="P92" s="369"/>
      <c r="R92" s="369"/>
      <c r="T92" s="369"/>
      <c r="U92" s="369"/>
      <c r="V92" s="369"/>
      <c r="W92" s="369"/>
      <c r="X92" s="369"/>
      <c r="Y92" s="369"/>
      <c r="Z92" s="369"/>
    </row>
    <row r="93" spans="1:26" x14ac:dyDescent="0.3">
      <c r="A93" s="82"/>
      <c r="B93" s="77"/>
      <c r="C93" s="75"/>
      <c r="D93" s="82"/>
      <c r="E93" s="84"/>
      <c r="F93" s="82"/>
      <c r="G93" s="84"/>
      <c r="H93" s="82"/>
      <c r="I93" s="84"/>
      <c r="J93" s="82"/>
      <c r="K93" s="29"/>
      <c r="L93" s="369"/>
      <c r="N93" s="369"/>
      <c r="P93" s="369"/>
      <c r="R93" s="369"/>
      <c r="T93" s="369"/>
      <c r="U93" s="369"/>
      <c r="V93" s="369"/>
      <c r="W93" s="369"/>
      <c r="X93" s="369"/>
      <c r="Y93" s="369"/>
      <c r="Z93" s="369"/>
    </row>
    <row r="94" spans="1:26" ht="27.6" x14ac:dyDescent="0.3">
      <c r="A94" s="82"/>
      <c r="B94" s="108" t="s">
        <v>501</v>
      </c>
      <c r="C94" s="116" t="s">
        <v>504</v>
      </c>
      <c r="D94" s="112" t="s">
        <v>433</v>
      </c>
      <c r="E94" s="189"/>
      <c r="F94" s="110" t="s">
        <v>474</v>
      </c>
      <c r="G94" s="168"/>
      <c r="H94" s="168" t="s">
        <v>176</v>
      </c>
      <c r="I94" s="189"/>
      <c r="J94" s="110" t="s">
        <v>204</v>
      </c>
      <c r="K94" s="191"/>
      <c r="L94" s="110" t="s">
        <v>1056</v>
      </c>
      <c r="N94" s="369"/>
      <c r="P94" s="369"/>
      <c r="R94" s="369"/>
      <c r="T94" s="369"/>
      <c r="U94" s="369"/>
      <c r="V94" s="369"/>
      <c r="W94" s="369"/>
      <c r="X94" s="369"/>
      <c r="Y94" s="369"/>
      <c r="Z94" s="369"/>
    </row>
    <row r="95" spans="1:26" ht="15" thickBot="1" x14ac:dyDescent="0.35">
      <c r="A95" s="82"/>
      <c r="B95" s="173" t="s">
        <v>282</v>
      </c>
      <c r="C95" s="171" t="s">
        <v>265</v>
      </c>
      <c r="D95" s="171"/>
      <c r="E95" s="178"/>
      <c r="F95" s="174" t="s">
        <v>266</v>
      </c>
      <c r="G95" s="172"/>
      <c r="H95" s="171" t="s">
        <v>267</v>
      </c>
      <c r="I95" s="178"/>
      <c r="J95" s="174"/>
      <c r="K95" s="117"/>
      <c r="L95" s="174" t="s">
        <v>283</v>
      </c>
      <c r="N95" s="369"/>
      <c r="P95" s="369"/>
      <c r="R95" s="369"/>
      <c r="T95" s="369"/>
      <c r="U95" s="369"/>
      <c r="V95" s="369"/>
      <c r="W95" s="369"/>
      <c r="X95" s="369"/>
      <c r="Y95" s="369"/>
      <c r="Z95" s="369"/>
    </row>
    <row r="96" spans="1:26" ht="15" thickTop="1" x14ac:dyDescent="0.3">
      <c r="A96" s="82"/>
      <c r="B96" s="226" t="s">
        <v>166</v>
      </c>
      <c r="C96" s="227" t="s">
        <v>175</v>
      </c>
      <c r="D96" s="181" t="s">
        <v>435</v>
      </c>
      <c r="E96" s="153"/>
      <c r="F96" s="193" t="s">
        <v>815</v>
      </c>
      <c r="G96" s="169"/>
      <c r="H96" s="228">
        <v>0.8</v>
      </c>
      <c r="I96" s="153"/>
      <c r="J96" s="251">
        <v>1.25</v>
      </c>
      <c r="K96" s="169"/>
      <c r="L96" s="155" t="s">
        <v>284</v>
      </c>
      <c r="N96" s="369"/>
      <c r="P96" s="369"/>
      <c r="R96" s="369"/>
      <c r="T96" s="369"/>
      <c r="U96" s="369"/>
      <c r="V96" s="369"/>
      <c r="W96" s="369"/>
      <c r="X96" s="369"/>
      <c r="Y96" s="369"/>
      <c r="Z96" s="369"/>
    </row>
    <row r="97" spans="1:26" x14ac:dyDescent="0.3">
      <c r="A97" s="82"/>
      <c r="B97" s="384"/>
      <c r="C97" s="384"/>
      <c r="D97" s="397"/>
      <c r="E97" s="362"/>
      <c r="F97" s="397"/>
      <c r="G97" s="362"/>
      <c r="H97" s="397"/>
      <c r="I97" s="362"/>
      <c r="J97" s="397"/>
      <c r="K97" s="362"/>
      <c r="L97" s="397"/>
      <c r="N97" s="369"/>
      <c r="P97" s="369"/>
      <c r="R97" s="369"/>
      <c r="T97" s="369"/>
      <c r="U97" s="369"/>
      <c r="V97" s="369"/>
      <c r="W97" s="369"/>
      <c r="X97" s="369"/>
      <c r="Y97" s="369"/>
      <c r="Z97" s="369"/>
    </row>
    <row r="98" spans="1:26" x14ac:dyDescent="0.3">
      <c r="A98" s="82"/>
      <c r="B98" s="384"/>
      <c r="C98" s="384"/>
      <c r="D98" s="397"/>
      <c r="E98" s="362"/>
      <c r="F98" s="397"/>
      <c r="G98" s="362"/>
      <c r="H98" s="397"/>
      <c r="I98" s="362"/>
      <c r="J98" s="397"/>
      <c r="K98" s="362"/>
      <c r="L98" s="397"/>
      <c r="N98" s="369"/>
      <c r="P98" s="369"/>
      <c r="R98" s="369"/>
      <c r="T98" s="369"/>
    </row>
    <row r="99" spans="1:26" ht="27.6" x14ac:dyDescent="0.3">
      <c r="A99" s="82"/>
      <c r="B99" s="108" t="s">
        <v>501</v>
      </c>
      <c r="C99" s="113" t="s">
        <v>506</v>
      </c>
      <c r="D99" s="112" t="s">
        <v>433</v>
      </c>
      <c r="E99" s="125"/>
      <c r="F99" s="110" t="s">
        <v>184</v>
      </c>
      <c r="G99" s="113"/>
      <c r="H99" s="168" t="s">
        <v>277</v>
      </c>
      <c r="I99" s="125"/>
      <c r="J99" s="110" t="s">
        <v>511</v>
      </c>
      <c r="K99" s="113"/>
      <c r="L99" s="168" t="s">
        <v>183</v>
      </c>
      <c r="M99" s="189"/>
      <c r="N99" s="142" t="s">
        <v>205</v>
      </c>
      <c r="O99" s="168"/>
      <c r="P99" s="168" t="s">
        <v>507</v>
      </c>
      <c r="Q99" s="189"/>
      <c r="R99" s="110" t="s">
        <v>206</v>
      </c>
      <c r="S99" s="189"/>
      <c r="T99" s="110" t="s">
        <v>182</v>
      </c>
    </row>
    <row r="100" spans="1:26" ht="15" thickBot="1" x14ac:dyDescent="0.35">
      <c r="A100" s="82"/>
      <c r="B100" s="173" t="s">
        <v>282</v>
      </c>
      <c r="C100" s="171" t="s">
        <v>269</v>
      </c>
      <c r="D100" s="171"/>
      <c r="E100" s="178"/>
      <c r="F100" s="174" t="s">
        <v>270</v>
      </c>
      <c r="G100" s="172"/>
      <c r="H100" s="171" t="s">
        <v>271</v>
      </c>
      <c r="I100" s="178"/>
      <c r="J100" s="174"/>
      <c r="K100" s="172"/>
      <c r="L100" s="171" t="s">
        <v>272</v>
      </c>
      <c r="M100" s="178"/>
      <c r="N100" s="174" t="s">
        <v>273</v>
      </c>
      <c r="O100" s="172"/>
      <c r="P100" s="171" t="s">
        <v>274</v>
      </c>
      <c r="Q100" s="178"/>
      <c r="R100" s="174" t="s">
        <v>275</v>
      </c>
      <c r="S100" s="178"/>
      <c r="T100" s="174" t="s">
        <v>276</v>
      </c>
    </row>
    <row r="101" spans="1:26" ht="15" thickTop="1" x14ac:dyDescent="0.3">
      <c r="A101" s="82"/>
      <c r="B101" s="124" t="s">
        <v>166</v>
      </c>
      <c r="C101" s="85" t="s">
        <v>234</v>
      </c>
      <c r="D101" s="381" t="s">
        <v>435</v>
      </c>
      <c r="E101" s="240"/>
      <c r="F101" s="367" t="s">
        <v>485</v>
      </c>
      <c r="G101" s="241"/>
      <c r="H101" s="85" t="s">
        <v>279</v>
      </c>
      <c r="I101" s="479" t="s">
        <v>919</v>
      </c>
      <c r="J101" s="90">
        <v>6028.04</v>
      </c>
      <c r="K101" s="479" t="s">
        <v>919</v>
      </c>
      <c r="L101" s="443">
        <f>(J101*P101)/(6353*N101)</f>
        <v>4.7442468125295134</v>
      </c>
      <c r="M101" s="240"/>
      <c r="N101" s="787">
        <f>IF(J101&lt;2000,0.5,IF(J101&lt;10000,0.6,0.62))</f>
        <v>0.6</v>
      </c>
      <c r="O101" s="241"/>
      <c r="P101" s="860">
        <v>3</v>
      </c>
      <c r="Q101" s="240"/>
      <c r="R101" s="861">
        <v>5</v>
      </c>
      <c r="S101" s="240"/>
      <c r="T101" s="861">
        <v>0.89500000000000002</v>
      </c>
    </row>
    <row r="102" spans="1:26" s="362" customFormat="1" ht="15.75" customHeight="1" x14ac:dyDescent="0.3">
      <c r="A102" s="82"/>
      <c r="B102" s="284" t="s">
        <v>166</v>
      </c>
      <c r="C102" s="160" t="s">
        <v>791</v>
      </c>
      <c r="D102" s="476" t="s">
        <v>435</v>
      </c>
      <c r="E102" s="154"/>
      <c r="F102" s="160" t="s">
        <v>482</v>
      </c>
      <c r="G102" s="154"/>
      <c r="H102" s="160" t="s">
        <v>279</v>
      </c>
      <c r="I102" s="204" t="s">
        <v>919</v>
      </c>
      <c r="J102" s="195">
        <v>5865.71</v>
      </c>
      <c r="K102" s="204" t="s">
        <v>919</v>
      </c>
      <c r="L102" s="566">
        <f>(J102*P102)/(6353*N102)</f>
        <v>1.7311831024712734</v>
      </c>
      <c r="M102" s="153"/>
      <c r="N102" s="724">
        <f>IF(J102&lt;10000,0.4,0.5)</f>
        <v>0.4</v>
      </c>
      <c r="O102" s="153"/>
      <c r="P102" s="862">
        <f>IF(J349&lt;10000,0.75,1)</f>
        <v>0.75</v>
      </c>
      <c r="Q102" s="153"/>
      <c r="R102" s="857">
        <v>2</v>
      </c>
      <c r="S102" s="153"/>
      <c r="T102" s="858">
        <v>0.86499999999999999</v>
      </c>
    </row>
    <row r="103" spans="1:26" x14ac:dyDescent="0.3">
      <c r="A103" s="82"/>
      <c r="B103" s="82"/>
      <c r="C103" s="384"/>
      <c r="D103" s="82"/>
      <c r="E103" s="82"/>
      <c r="F103" s="82"/>
      <c r="G103" s="82"/>
      <c r="H103" s="82"/>
      <c r="I103" s="82"/>
      <c r="J103" s="82"/>
      <c r="K103" s="82"/>
      <c r="L103" s="82"/>
      <c r="M103" s="82"/>
      <c r="N103" s="82"/>
      <c r="O103" s="82"/>
      <c r="P103" s="82"/>
      <c r="Q103" s="82"/>
      <c r="R103" s="82"/>
      <c r="S103" s="82"/>
      <c r="T103" s="82"/>
    </row>
    <row r="104" spans="1:26" x14ac:dyDescent="0.3">
      <c r="A104" s="397"/>
      <c r="B104" s="397"/>
      <c r="C104" s="397"/>
      <c r="D104" s="397"/>
      <c r="E104" s="362"/>
      <c r="F104" s="397"/>
      <c r="G104" s="362"/>
      <c r="H104" s="397"/>
      <c r="I104" s="362"/>
      <c r="J104" s="397"/>
      <c r="K104" s="397"/>
      <c r="L104" s="397"/>
      <c r="M104" s="362"/>
      <c r="N104" s="397"/>
      <c r="O104" s="121"/>
      <c r="P104" s="111"/>
      <c r="Q104" s="82"/>
      <c r="R104" s="82"/>
      <c r="S104" s="82"/>
      <c r="T104" s="82"/>
    </row>
    <row r="105" spans="1:26" x14ac:dyDescent="0.3">
      <c r="A105" s="397"/>
      <c r="B105" s="108" t="s">
        <v>501</v>
      </c>
      <c r="C105" s="113" t="s">
        <v>610</v>
      </c>
      <c r="D105" s="142" t="s">
        <v>433</v>
      </c>
      <c r="E105" s="114"/>
      <c r="F105" s="142" t="s">
        <v>538</v>
      </c>
      <c r="G105" s="125"/>
      <c r="H105" s="142" t="s">
        <v>295</v>
      </c>
      <c r="I105" s="362"/>
      <c r="J105" s="397"/>
      <c r="K105" s="397"/>
      <c r="L105" s="397"/>
      <c r="M105" s="362"/>
      <c r="N105" s="397"/>
      <c r="O105" s="121"/>
      <c r="P105" s="111"/>
      <c r="Q105" s="82"/>
      <c r="R105" s="82"/>
      <c r="S105" s="82"/>
      <c r="T105" s="82"/>
    </row>
    <row r="106" spans="1:26" ht="15" thickBot="1" x14ac:dyDescent="0.35">
      <c r="A106" s="397"/>
      <c r="B106" s="173" t="s">
        <v>282</v>
      </c>
      <c r="C106" s="171"/>
      <c r="D106" s="174"/>
      <c r="E106" s="205"/>
      <c r="F106" s="174" t="s">
        <v>289</v>
      </c>
      <c r="G106" s="208"/>
      <c r="H106" s="174" t="s">
        <v>290</v>
      </c>
      <c r="I106" s="362"/>
      <c r="J106" s="397"/>
      <c r="K106" s="397"/>
      <c r="L106" s="397"/>
      <c r="M106" s="362"/>
      <c r="N106" s="397"/>
      <c r="O106" s="121"/>
      <c r="P106" s="111"/>
      <c r="Q106" s="82"/>
      <c r="R106" s="82"/>
      <c r="S106" s="82"/>
      <c r="T106" s="82"/>
    </row>
    <row r="107" spans="1:26" ht="15" thickTop="1" x14ac:dyDescent="0.3">
      <c r="A107" s="397"/>
      <c r="B107" s="175" t="s">
        <v>526</v>
      </c>
      <c r="C107" s="261" t="s">
        <v>612</v>
      </c>
      <c r="D107" s="257" t="s">
        <v>435</v>
      </c>
      <c r="E107" s="169"/>
      <c r="F107" s="155" t="s">
        <v>539</v>
      </c>
      <c r="G107" s="153"/>
      <c r="H107" s="155" t="s">
        <v>480</v>
      </c>
      <c r="I107" s="362"/>
      <c r="J107" s="397"/>
      <c r="K107" s="397"/>
      <c r="L107" s="397"/>
      <c r="M107" s="362"/>
      <c r="N107" s="397"/>
      <c r="O107" s="121"/>
      <c r="P107" s="111"/>
      <c r="Q107" s="82"/>
      <c r="R107" s="82"/>
      <c r="S107" s="82"/>
      <c r="T107" s="82"/>
    </row>
    <row r="108" spans="1:26" x14ac:dyDescent="0.3">
      <c r="A108" s="397"/>
      <c r="B108" s="85"/>
      <c r="D108" s="85"/>
      <c r="E108" s="85"/>
      <c r="F108" s="85"/>
      <c r="G108" s="85"/>
      <c r="H108" s="85"/>
      <c r="I108" s="85"/>
      <c r="J108" s="397"/>
      <c r="K108" s="397"/>
      <c r="L108" s="397"/>
      <c r="M108" s="362"/>
      <c r="N108" s="397"/>
      <c r="O108" s="121"/>
      <c r="P108" s="111"/>
      <c r="Q108" s="82"/>
      <c r="R108" s="82"/>
      <c r="S108" s="82"/>
      <c r="T108" s="82"/>
    </row>
    <row r="109" spans="1:26" x14ac:dyDescent="0.3">
      <c r="A109" s="82"/>
      <c r="B109" s="85"/>
      <c r="C109" s="83"/>
      <c r="D109" s="397"/>
      <c r="E109" s="82"/>
      <c r="F109" s="82"/>
      <c r="G109" s="82"/>
      <c r="H109" s="82"/>
      <c r="I109" s="82"/>
      <c r="J109" s="397"/>
      <c r="K109" s="397"/>
      <c r="L109" s="397"/>
      <c r="M109" s="82"/>
      <c r="N109" s="82"/>
      <c r="O109" s="82"/>
      <c r="P109" s="82"/>
      <c r="Q109" s="82"/>
      <c r="R109" s="82"/>
      <c r="S109" s="82"/>
      <c r="T109" s="82"/>
    </row>
    <row r="110" spans="1:26" x14ac:dyDescent="0.3">
      <c r="A110" s="82"/>
      <c r="B110" s="189" t="s">
        <v>505</v>
      </c>
      <c r="C110" s="113" t="s">
        <v>291</v>
      </c>
      <c r="D110" s="114"/>
      <c r="E110" s="125"/>
      <c r="F110" s="142" t="s">
        <v>292</v>
      </c>
      <c r="G110" s="125"/>
      <c r="H110" s="142" t="s">
        <v>293</v>
      </c>
      <c r="I110" s="82"/>
      <c r="J110" s="397"/>
      <c r="K110" s="397"/>
      <c r="L110" s="397"/>
      <c r="M110" s="82"/>
      <c r="N110" s="82"/>
      <c r="O110" s="82"/>
      <c r="P110" s="82"/>
      <c r="Q110" s="82"/>
      <c r="R110" s="82"/>
      <c r="S110" s="82"/>
      <c r="T110" s="82"/>
    </row>
    <row r="111" spans="1:26" ht="15" thickBot="1" x14ac:dyDescent="0.35">
      <c r="A111" s="82"/>
      <c r="B111" s="173" t="s">
        <v>285</v>
      </c>
      <c r="C111" s="171" t="s">
        <v>286</v>
      </c>
      <c r="D111" s="376"/>
      <c r="E111" s="208"/>
      <c r="F111" s="174" t="s">
        <v>287</v>
      </c>
      <c r="G111" s="208"/>
      <c r="H111" s="174" t="s">
        <v>288</v>
      </c>
      <c r="I111" s="82"/>
      <c r="J111" s="397"/>
      <c r="K111" s="397"/>
      <c r="L111" s="397"/>
      <c r="M111" s="82"/>
      <c r="N111" s="82"/>
      <c r="O111" s="82"/>
      <c r="P111" s="82"/>
      <c r="Q111" s="82"/>
      <c r="R111" s="82"/>
      <c r="S111" s="82"/>
      <c r="T111" s="82"/>
    </row>
    <row r="112" spans="1:26" ht="15" thickTop="1" x14ac:dyDescent="0.3">
      <c r="A112" s="82"/>
      <c r="B112" s="124" t="s">
        <v>209</v>
      </c>
      <c r="C112" s="85" t="s">
        <v>296</v>
      </c>
      <c r="E112" s="409" t="s">
        <v>14</v>
      </c>
      <c r="F112" s="410" t="s">
        <v>14</v>
      </c>
      <c r="G112" s="409" t="s">
        <v>14</v>
      </c>
      <c r="H112" s="410" t="s">
        <v>14</v>
      </c>
      <c r="I112" s="82"/>
      <c r="J112" s="397"/>
      <c r="K112" s="397"/>
      <c r="L112" s="397"/>
      <c r="M112" s="82"/>
      <c r="N112" s="82"/>
      <c r="O112" s="82"/>
      <c r="P112" s="82"/>
      <c r="Q112" s="82"/>
      <c r="R112" s="82"/>
      <c r="S112" s="82"/>
      <c r="T112" s="82"/>
    </row>
    <row r="113" spans="1:20" x14ac:dyDescent="0.3">
      <c r="A113" s="82"/>
      <c r="B113" s="124" t="s">
        <v>210</v>
      </c>
      <c r="C113" s="85" t="s">
        <v>297</v>
      </c>
      <c r="E113" s="136"/>
      <c r="F113" s="146" t="s">
        <v>415</v>
      </c>
      <c r="G113" s="136"/>
      <c r="H113" s="146" t="s">
        <v>416</v>
      </c>
      <c r="I113" s="82"/>
      <c r="J113" s="82"/>
      <c r="K113" s="82"/>
      <c r="L113" s="82"/>
      <c r="M113" s="82"/>
      <c r="N113" s="82"/>
      <c r="O113" s="82"/>
      <c r="P113" s="82"/>
      <c r="Q113" s="82"/>
      <c r="R113" s="82"/>
      <c r="S113" s="82"/>
      <c r="T113" s="82"/>
    </row>
    <row r="114" spans="1:20" x14ac:dyDescent="0.3">
      <c r="A114" s="82"/>
      <c r="B114" s="175" t="s">
        <v>211</v>
      </c>
      <c r="C114" s="150" t="s">
        <v>297</v>
      </c>
      <c r="D114" s="151"/>
      <c r="E114" s="153"/>
      <c r="F114" s="155" t="s">
        <v>415</v>
      </c>
      <c r="G114" s="153"/>
      <c r="H114" s="155" t="s">
        <v>416</v>
      </c>
      <c r="I114" s="82"/>
      <c r="J114" s="82"/>
      <c r="K114" s="82"/>
      <c r="L114" s="82"/>
      <c r="M114" s="82"/>
      <c r="N114" s="82"/>
      <c r="O114" s="82"/>
      <c r="P114" s="82"/>
      <c r="Q114" s="82"/>
      <c r="R114" s="82"/>
      <c r="S114" s="82"/>
      <c r="T114" s="82"/>
    </row>
    <row r="115" spans="1:20" x14ac:dyDescent="0.3">
      <c r="A115" s="82"/>
      <c r="I115" s="82"/>
      <c r="J115" s="82"/>
      <c r="K115" s="82"/>
      <c r="L115" s="82"/>
      <c r="M115" s="82"/>
      <c r="N115" s="82"/>
      <c r="O115" s="82"/>
      <c r="P115" s="82"/>
    </row>
    <row r="116" spans="1:20" x14ac:dyDescent="0.3">
      <c r="A116" s="82"/>
    </row>
    <row r="117" spans="1:20" x14ac:dyDescent="0.3">
      <c r="A117" s="82"/>
    </row>
    <row r="118" spans="1:20" x14ac:dyDescent="0.3">
      <c r="A118" s="82"/>
    </row>
    <row r="119" spans="1:20" x14ac:dyDescent="0.3">
      <c r="A119" s="82"/>
    </row>
    <row r="120" spans="1:20" x14ac:dyDescent="0.3">
      <c r="A120" s="82"/>
    </row>
    <row r="121" spans="1:20" x14ac:dyDescent="0.3">
      <c r="A121" s="82"/>
    </row>
    <row r="122" spans="1:20" x14ac:dyDescent="0.3">
      <c r="A122" s="82"/>
    </row>
    <row r="123" spans="1:20" x14ac:dyDescent="0.3">
      <c r="A123" s="82"/>
    </row>
    <row r="124" spans="1:20" x14ac:dyDescent="0.3">
      <c r="A124" s="82"/>
    </row>
    <row r="125" spans="1:20" s="369" customFormat="1" ht="13.8" x14ac:dyDescent="0.3">
      <c r="A125" s="82"/>
      <c r="C125" s="85"/>
      <c r="E125" s="76"/>
      <c r="F125" s="371"/>
      <c r="G125" s="76"/>
      <c r="H125" s="29"/>
      <c r="J125" s="85"/>
      <c r="L125" s="85"/>
      <c r="N125" s="85"/>
      <c r="P125" s="85"/>
      <c r="R125" s="85"/>
      <c r="T125" s="85"/>
    </row>
    <row r="126" spans="1:20" s="369" customFormat="1" ht="13.8" x14ac:dyDescent="0.3">
      <c r="A126" s="82"/>
      <c r="C126" s="85"/>
      <c r="E126" s="76"/>
      <c r="F126" s="371"/>
      <c r="G126" s="76"/>
      <c r="H126" s="29"/>
      <c r="J126" s="85"/>
      <c r="L126" s="85"/>
      <c r="N126" s="85"/>
      <c r="P126" s="85"/>
      <c r="R126" s="85"/>
      <c r="T126" s="85"/>
    </row>
    <row r="127" spans="1:20" s="369" customFormat="1" ht="13.8" x14ac:dyDescent="0.3">
      <c r="A127" s="82"/>
      <c r="C127" s="85"/>
      <c r="E127" s="76"/>
      <c r="F127" s="371"/>
      <c r="G127" s="76"/>
      <c r="H127" s="29"/>
      <c r="J127" s="85"/>
      <c r="L127" s="85"/>
      <c r="N127" s="85"/>
      <c r="P127" s="85"/>
      <c r="R127" s="85"/>
      <c r="T127" s="85"/>
    </row>
    <row r="128" spans="1:20" s="369" customFormat="1" ht="13.8" x14ac:dyDescent="0.3">
      <c r="A128" s="82"/>
      <c r="C128" s="85"/>
      <c r="E128" s="76"/>
      <c r="F128" s="371"/>
      <c r="G128" s="76"/>
      <c r="H128" s="29"/>
      <c r="J128" s="85"/>
      <c r="L128" s="85"/>
      <c r="N128" s="85"/>
      <c r="P128" s="85"/>
      <c r="R128" s="85"/>
      <c r="T128" s="85"/>
    </row>
    <row r="129" spans="1:20" s="369" customFormat="1" ht="13.8" x14ac:dyDescent="0.3">
      <c r="A129" s="82"/>
      <c r="C129" s="85"/>
      <c r="E129" s="76"/>
      <c r="F129" s="371"/>
      <c r="G129" s="76"/>
      <c r="H129" s="29"/>
      <c r="J129" s="85"/>
      <c r="L129" s="85"/>
      <c r="N129" s="85"/>
      <c r="P129" s="85"/>
      <c r="R129" s="85"/>
      <c r="T129" s="85"/>
    </row>
    <row r="130" spans="1:20" s="369" customFormat="1" ht="13.8" x14ac:dyDescent="0.3">
      <c r="A130" s="82"/>
      <c r="C130" s="85"/>
      <c r="E130" s="76"/>
      <c r="F130" s="371"/>
      <c r="G130" s="76"/>
      <c r="H130" s="29"/>
      <c r="J130" s="85"/>
      <c r="L130" s="85"/>
      <c r="N130" s="85"/>
      <c r="P130" s="85"/>
      <c r="R130" s="85"/>
      <c r="T130" s="85"/>
    </row>
    <row r="131" spans="1:20" s="369" customFormat="1" ht="13.8" x14ac:dyDescent="0.3">
      <c r="A131" s="82"/>
      <c r="C131" s="85"/>
      <c r="E131" s="76"/>
      <c r="F131" s="371"/>
      <c r="G131" s="76"/>
      <c r="H131" s="29"/>
      <c r="J131" s="85"/>
      <c r="L131" s="85"/>
      <c r="N131" s="85"/>
      <c r="P131" s="85"/>
      <c r="R131" s="85"/>
      <c r="T131" s="85"/>
    </row>
    <row r="132" spans="1:20" s="369" customFormat="1" ht="13.8" x14ac:dyDescent="0.3">
      <c r="A132" s="82"/>
      <c r="C132" s="85"/>
      <c r="E132" s="76"/>
      <c r="F132" s="371"/>
      <c r="G132" s="76"/>
      <c r="H132" s="29"/>
      <c r="J132" s="85"/>
      <c r="L132" s="85"/>
      <c r="N132" s="85"/>
      <c r="P132" s="85"/>
      <c r="R132" s="85"/>
      <c r="T132" s="85"/>
    </row>
    <row r="133" spans="1:20" s="369" customFormat="1" ht="13.8" x14ac:dyDescent="0.3">
      <c r="A133" s="82"/>
      <c r="C133" s="85"/>
      <c r="E133" s="76"/>
      <c r="F133" s="371"/>
      <c r="G133" s="76"/>
      <c r="H133" s="29"/>
      <c r="J133" s="85"/>
      <c r="L133" s="85"/>
      <c r="N133" s="85"/>
      <c r="P133" s="85"/>
      <c r="R133" s="85"/>
      <c r="T133" s="85"/>
    </row>
    <row r="134" spans="1:20" s="369" customFormat="1" ht="13.8" x14ac:dyDescent="0.3">
      <c r="A134" s="82"/>
      <c r="C134" s="85"/>
      <c r="E134" s="76"/>
      <c r="F134" s="371"/>
      <c r="G134" s="76"/>
      <c r="H134" s="29"/>
      <c r="J134" s="85"/>
      <c r="L134" s="85"/>
      <c r="N134" s="85"/>
      <c r="P134" s="85"/>
      <c r="R134" s="85"/>
      <c r="T134" s="85"/>
    </row>
    <row r="135" spans="1:20" s="369" customFormat="1" ht="13.8" x14ac:dyDescent="0.3">
      <c r="A135" s="82"/>
      <c r="C135" s="85"/>
      <c r="E135" s="76"/>
      <c r="F135" s="371"/>
      <c r="G135" s="76"/>
      <c r="H135" s="29"/>
      <c r="J135" s="85"/>
      <c r="L135" s="85"/>
      <c r="N135" s="85"/>
      <c r="P135" s="85"/>
      <c r="R135" s="85"/>
      <c r="T135" s="85"/>
    </row>
    <row r="136" spans="1:20" s="369" customFormat="1" ht="13.8" x14ac:dyDescent="0.3">
      <c r="A136" s="82"/>
      <c r="C136" s="85"/>
      <c r="E136" s="76"/>
      <c r="F136" s="371"/>
      <c r="G136" s="76"/>
      <c r="H136" s="29"/>
      <c r="J136" s="85"/>
      <c r="L136" s="85"/>
      <c r="N136" s="85"/>
      <c r="P136" s="85"/>
      <c r="R136" s="85"/>
      <c r="T136" s="85"/>
    </row>
    <row r="137" spans="1:20" s="369" customFormat="1" ht="13.8" x14ac:dyDescent="0.3">
      <c r="A137" s="82"/>
      <c r="C137" s="85"/>
      <c r="E137" s="76"/>
      <c r="F137" s="371"/>
      <c r="G137" s="76"/>
      <c r="H137" s="29"/>
      <c r="J137" s="85"/>
      <c r="L137" s="85"/>
      <c r="N137" s="85"/>
      <c r="P137" s="85"/>
      <c r="R137" s="85"/>
      <c r="T137" s="85"/>
    </row>
    <row r="138" spans="1:20" s="369" customFormat="1" ht="13.8" x14ac:dyDescent="0.3">
      <c r="A138" s="82"/>
      <c r="C138" s="85"/>
      <c r="E138" s="76"/>
      <c r="F138" s="371"/>
      <c r="G138" s="76"/>
      <c r="H138" s="29"/>
      <c r="J138" s="85"/>
      <c r="L138" s="85"/>
      <c r="N138" s="85"/>
      <c r="P138" s="85"/>
      <c r="R138" s="85"/>
      <c r="T138" s="85"/>
    </row>
    <row r="139" spans="1:20" s="369" customFormat="1" ht="13.8" x14ac:dyDescent="0.3">
      <c r="A139" s="82"/>
      <c r="C139" s="85"/>
      <c r="E139" s="76"/>
      <c r="F139" s="371"/>
      <c r="G139" s="76"/>
      <c r="H139" s="29"/>
      <c r="J139" s="85"/>
      <c r="L139" s="85"/>
      <c r="N139" s="85"/>
      <c r="P139" s="85"/>
      <c r="R139" s="85"/>
      <c r="T139" s="85"/>
    </row>
  </sheetData>
  <pageMargins left="0.7" right="0.7" top="0.75" bottom="0.75" header="0.3" footer="0.3"/>
  <pageSetup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sheetPr>
  <dimension ref="A1:Z228"/>
  <sheetViews>
    <sheetView zoomScale="85" zoomScaleNormal="85" workbookViewId="0"/>
  </sheetViews>
  <sheetFormatPr defaultColWidth="9.109375" defaultRowHeight="14.4" x14ac:dyDescent="0.3"/>
  <cols>
    <col min="1" max="1" width="3.6640625" style="369" customWidth="1"/>
    <col min="2" max="2" width="27" style="369" bestFit="1" customWidth="1"/>
    <col min="3" max="3" width="44" style="85" customWidth="1"/>
    <col min="4" max="4" width="11.6640625" style="369" bestFit="1" customWidth="1"/>
    <col min="5" max="5" width="2.6640625" style="76" customWidth="1"/>
    <col min="6" max="6" width="30.6640625" style="371" customWidth="1"/>
    <col min="7" max="7" width="2.6640625" style="76" customWidth="1"/>
    <col min="8" max="8" width="24" style="29" customWidth="1"/>
    <col min="9" max="9" width="2.6640625" style="369" customWidth="1"/>
    <col min="10" max="10" width="22.33203125" style="85" customWidth="1"/>
    <col min="11" max="11" width="2.6640625" style="369" customWidth="1"/>
    <col min="12" max="12" width="28.109375" style="85" customWidth="1"/>
    <col min="13" max="13" width="2.6640625" style="369" customWidth="1"/>
    <col min="14" max="14" width="26" style="85" customWidth="1"/>
    <col min="15" max="15" width="2.6640625" style="369" customWidth="1"/>
    <col min="16" max="16" width="27.6640625" style="85" customWidth="1"/>
    <col min="17" max="17" width="2.6640625" style="369" customWidth="1"/>
    <col min="18" max="18" width="23.44140625" style="85" customWidth="1"/>
    <col min="19" max="19" width="2.6640625" style="369" customWidth="1"/>
    <col min="20" max="20" width="45.109375" style="85" bestFit="1" customWidth="1"/>
    <col min="21" max="21" width="44.88671875" style="397" customWidth="1"/>
    <col min="22" max="16384" width="9.109375" style="397"/>
  </cols>
  <sheetData>
    <row r="1" spans="1:21" ht="12.75" customHeight="1" x14ac:dyDescent="0.3">
      <c r="U1" s="369"/>
    </row>
    <row r="2" spans="1:21" x14ac:dyDescent="0.3">
      <c r="B2" s="567" t="s">
        <v>5</v>
      </c>
      <c r="C2" s="568"/>
      <c r="D2" s="567"/>
      <c r="E2" s="574"/>
      <c r="F2" s="568" t="s">
        <v>6</v>
      </c>
      <c r="G2" s="369"/>
      <c r="K2" s="567"/>
      <c r="L2" s="568" t="s">
        <v>1101</v>
      </c>
    </row>
    <row r="3" spans="1:21" ht="12.75" customHeight="1" x14ac:dyDescent="0.3">
      <c r="B3" s="369" t="s">
        <v>0</v>
      </c>
      <c r="C3" s="65" t="s">
        <v>1337</v>
      </c>
      <c r="E3" s="369"/>
      <c r="F3" s="85" t="s">
        <v>8</v>
      </c>
      <c r="G3" s="369"/>
      <c r="H3" s="65"/>
      <c r="K3" s="136"/>
      <c r="L3" s="369" t="s">
        <v>1106</v>
      </c>
    </row>
    <row r="4" spans="1:21" ht="12.75" customHeight="1" x14ac:dyDescent="0.3">
      <c r="B4" s="369" t="s">
        <v>1</v>
      </c>
      <c r="C4" s="85" t="str">
        <f>C3&amp;".cibd16"</f>
        <v>050006S-RetlMed-Run28.cibd16</v>
      </c>
      <c r="F4" s="85" t="s">
        <v>110</v>
      </c>
      <c r="G4" s="369"/>
      <c r="H4" s="396" t="str">
        <f>'Documentation Main Sheet'!I3</f>
        <v>Release package</v>
      </c>
      <c r="K4" s="569"/>
      <c r="L4" s="369" t="s">
        <v>1102</v>
      </c>
    </row>
    <row r="5" spans="1:21" ht="12.75" customHeight="1" x14ac:dyDescent="0.3">
      <c r="B5" s="369" t="s">
        <v>54</v>
      </c>
      <c r="C5" s="85" t="s">
        <v>56</v>
      </c>
      <c r="F5" s="85" t="s">
        <v>7</v>
      </c>
      <c r="H5" s="396" t="str">
        <f>'Documentation Main Sheet'!I4</f>
        <v>CBECC-Com 209.1.0 release</v>
      </c>
      <c r="I5" s="62"/>
      <c r="K5" s="571">
        <v>1</v>
      </c>
      <c r="L5" s="378" t="s">
        <v>1103</v>
      </c>
      <c r="P5" s="9"/>
      <c r="R5" s="9"/>
      <c r="T5" s="9"/>
    </row>
    <row r="6" spans="1:21" ht="12.75" customHeight="1" x14ac:dyDescent="0.3">
      <c r="B6" s="369" t="s">
        <v>390</v>
      </c>
      <c r="C6" s="85" t="s">
        <v>395</v>
      </c>
      <c r="F6" s="85" t="s">
        <v>2</v>
      </c>
      <c r="H6" s="394"/>
      <c r="J6" s="9"/>
      <c r="K6" s="582">
        <v>1</v>
      </c>
      <c r="L6" s="381" t="s">
        <v>1104</v>
      </c>
    </row>
    <row r="7" spans="1:21" ht="12.75" customHeight="1" x14ac:dyDescent="0.3">
      <c r="B7" s="369" t="s">
        <v>432</v>
      </c>
      <c r="C7" s="85" t="s">
        <v>1325</v>
      </c>
      <c r="F7" s="85" t="s">
        <v>3</v>
      </c>
      <c r="H7" s="396" t="str">
        <f>'Documentation Main Sheet'!I6</f>
        <v>Jireh Peng</v>
      </c>
      <c r="K7" s="583">
        <v>1</v>
      </c>
      <c r="L7" s="378" t="s">
        <v>1105</v>
      </c>
    </row>
    <row r="8" spans="1:21" ht="12.75" customHeight="1" x14ac:dyDescent="0.3">
      <c r="B8" s="369" t="s">
        <v>952</v>
      </c>
      <c r="C8" s="85" t="s">
        <v>429</v>
      </c>
      <c r="F8" s="369"/>
      <c r="G8" s="369"/>
      <c r="H8" s="369"/>
      <c r="K8" s="796">
        <v>1</v>
      </c>
      <c r="L8" s="369" t="s">
        <v>1396</v>
      </c>
    </row>
    <row r="9" spans="1:21" x14ac:dyDescent="0.3">
      <c r="F9" s="369"/>
      <c r="G9" s="369"/>
      <c r="H9" s="369"/>
    </row>
    <row r="10" spans="1:21" x14ac:dyDescent="0.3">
      <c r="A10" s="286"/>
      <c r="B10" s="287" t="s">
        <v>37</v>
      </c>
      <c r="C10" s="288"/>
      <c r="D10" s="286"/>
      <c r="E10" s="286"/>
      <c r="F10" s="289"/>
      <c r="G10" s="286"/>
      <c r="H10" s="288"/>
      <c r="I10" s="286"/>
      <c r="J10" s="288"/>
      <c r="K10" s="286"/>
      <c r="L10" s="288"/>
      <c r="M10" s="286"/>
      <c r="N10" s="288"/>
      <c r="O10" s="286"/>
      <c r="P10" s="288"/>
      <c r="Q10" s="286"/>
      <c r="R10" s="288"/>
      <c r="S10" s="286"/>
      <c r="T10" s="288"/>
    </row>
    <row r="11" spans="1:21" x14ac:dyDescent="0.3">
      <c r="A11" s="26"/>
      <c r="B11" s="28" t="s">
        <v>9</v>
      </c>
      <c r="C11" s="87"/>
      <c r="D11" s="86"/>
      <c r="E11" s="84"/>
      <c r="F11" s="85"/>
      <c r="G11" s="84"/>
      <c r="I11" s="84"/>
      <c r="K11" s="84"/>
      <c r="M11" s="84"/>
      <c r="O11" s="84"/>
      <c r="P11" s="77"/>
      <c r="Q11" s="84"/>
      <c r="R11" s="77"/>
      <c r="S11" s="84"/>
      <c r="T11" s="77"/>
    </row>
    <row r="12" spans="1:21" x14ac:dyDescent="0.3">
      <c r="A12" s="86"/>
      <c r="B12" s="84" t="s">
        <v>17</v>
      </c>
      <c r="C12" s="87"/>
      <c r="D12" s="86"/>
      <c r="E12" s="86"/>
      <c r="G12" s="86"/>
      <c r="H12" s="87"/>
      <c r="I12" s="86"/>
      <c r="J12" s="87"/>
      <c r="K12" s="84"/>
      <c r="L12" s="87"/>
      <c r="M12" s="84"/>
      <c r="N12" s="87"/>
      <c r="O12" s="84"/>
      <c r="P12" s="77"/>
      <c r="Q12" s="84"/>
      <c r="R12" s="77"/>
      <c r="S12" s="84"/>
      <c r="T12" s="77"/>
    </row>
    <row r="13" spans="1:21" ht="41.4" x14ac:dyDescent="0.3">
      <c r="A13" s="84"/>
      <c r="B13" s="132" t="s">
        <v>137</v>
      </c>
      <c r="C13" s="113" t="s">
        <v>31</v>
      </c>
      <c r="D13" s="112" t="s">
        <v>433</v>
      </c>
      <c r="E13" s="132"/>
      <c r="F13" s="113" t="s">
        <v>49</v>
      </c>
      <c r="G13" s="132"/>
      <c r="H13" s="113" t="s">
        <v>11</v>
      </c>
      <c r="I13" s="132"/>
      <c r="J13" s="142" t="s">
        <v>495</v>
      </c>
      <c r="K13" s="138"/>
      <c r="L13" s="142" t="s">
        <v>496</v>
      </c>
      <c r="M13" s="115"/>
      <c r="N13" s="113" t="s">
        <v>497</v>
      </c>
      <c r="O13" s="138"/>
      <c r="P13" s="109" t="s">
        <v>498</v>
      </c>
      <c r="Q13" s="115"/>
      <c r="R13" s="109" t="s">
        <v>499</v>
      </c>
      <c r="S13" s="84"/>
      <c r="T13" s="77"/>
    </row>
    <row r="14" spans="1:21" ht="15" thickBot="1" x14ac:dyDescent="0.35">
      <c r="A14" s="76"/>
      <c r="B14" s="126"/>
      <c r="C14" s="117" t="s">
        <v>23</v>
      </c>
      <c r="D14" s="118"/>
      <c r="E14" s="133"/>
      <c r="F14" s="117" t="s">
        <v>50</v>
      </c>
      <c r="G14" s="133"/>
      <c r="H14" s="117" t="s">
        <v>25</v>
      </c>
      <c r="I14" s="139"/>
      <c r="J14" s="143" t="s">
        <v>24</v>
      </c>
      <c r="K14" s="139"/>
      <c r="L14" s="143" t="s">
        <v>140</v>
      </c>
      <c r="M14" s="118"/>
      <c r="N14" s="117" t="s">
        <v>141</v>
      </c>
      <c r="O14" s="139"/>
      <c r="P14" s="143" t="s">
        <v>142</v>
      </c>
      <c r="Q14" s="117"/>
      <c r="R14" s="143" t="s">
        <v>143</v>
      </c>
      <c r="S14" s="84"/>
      <c r="T14" s="29"/>
    </row>
    <row r="15" spans="1:21" ht="15" thickTop="1" x14ac:dyDescent="0.3">
      <c r="A15" s="63"/>
      <c r="B15" s="123" t="s">
        <v>10</v>
      </c>
      <c r="C15" s="85" t="s">
        <v>540</v>
      </c>
      <c r="D15" s="369" t="s">
        <v>521</v>
      </c>
      <c r="E15" s="134"/>
      <c r="F15" s="85" t="s">
        <v>321</v>
      </c>
      <c r="G15" s="134"/>
      <c r="H15" s="85" t="s">
        <v>544</v>
      </c>
      <c r="I15" s="134"/>
      <c r="J15" s="144">
        <v>3.4000000000000002E-2</v>
      </c>
      <c r="K15" s="134"/>
      <c r="L15" s="147">
        <v>0.75</v>
      </c>
      <c r="M15" s="141"/>
      <c r="N15" s="63">
        <v>0.75</v>
      </c>
      <c r="O15" s="134"/>
      <c r="P15" s="147">
        <v>0.08</v>
      </c>
      <c r="Q15" s="141"/>
      <c r="R15" s="147">
        <v>0.92</v>
      </c>
      <c r="S15" s="84"/>
      <c r="T15" s="29"/>
    </row>
    <row r="16" spans="1:21" x14ac:dyDescent="0.3">
      <c r="A16" s="63"/>
      <c r="B16" s="123" t="s">
        <v>10</v>
      </c>
      <c r="C16" s="85" t="s">
        <v>541</v>
      </c>
      <c r="D16" s="369" t="s">
        <v>521</v>
      </c>
      <c r="E16" s="134"/>
      <c r="F16" s="85" t="s">
        <v>321</v>
      </c>
      <c r="G16" s="134"/>
      <c r="H16" s="85" t="s">
        <v>30</v>
      </c>
      <c r="I16" s="134"/>
      <c r="J16" s="144">
        <v>2.1000000000000001E-2</v>
      </c>
      <c r="K16" s="134"/>
      <c r="L16" s="147">
        <v>0.85</v>
      </c>
      <c r="M16" s="141"/>
      <c r="N16" s="63">
        <v>0.85</v>
      </c>
      <c r="O16" s="134"/>
      <c r="P16" s="147">
        <v>0.63</v>
      </c>
      <c r="Q16" s="141"/>
      <c r="R16" s="147">
        <v>0.37</v>
      </c>
      <c r="S16" s="84"/>
      <c r="T16" s="29"/>
    </row>
    <row r="17" spans="1:20" ht="25.5" customHeight="1" x14ac:dyDescent="0.3">
      <c r="A17" s="63"/>
      <c r="B17" s="123" t="s">
        <v>10</v>
      </c>
      <c r="C17" s="85" t="s">
        <v>542</v>
      </c>
      <c r="D17" s="369" t="s">
        <v>435</v>
      </c>
      <c r="E17" s="134"/>
      <c r="F17" s="85" t="s">
        <v>321</v>
      </c>
      <c r="G17" s="134"/>
      <c r="H17" s="85" t="s">
        <v>30</v>
      </c>
      <c r="I17" s="134"/>
      <c r="J17" s="144">
        <v>1.282</v>
      </c>
      <c r="K17" s="134"/>
      <c r="L17" s="147">
        <v>0.85</v>
      </c>
      <c r="M17" s="141"/>
      <c r="N17" s="63">
        <v>0.85</v>
      </c>
      <c r="O17" s="134"/>
      <c r="P17" s="147">
        <v>0.63</v>
      </c>
      <c r="Q17" s="141"/>
      <c r="R17" s="147">
        <v>0.37</v>
      </c>
      <c r="S17" s="84"/>
      <c r="T17" s="29"/>
    </row>
    <row r="18" spans="1:20" ht="27.6" x14ac:dyDescent="0.3">
      <c r="A18" s="63"/>
      <c r="B18" s="123" t="s">
        <v>10</v>
      </c>
      <c r="C18" s="85" t="s">
        <v>543</v>
      </c>
      <c r="D18" s="369" t="s">
        <v>435</v>
      </c>
      <c r="E18" s="134"/>
      <c r="F18" s="85" t="s">
        <v>321</v>
      </c>
      <c r="G18" s="134"/>
      <c r="H18" s="85" t="s">
        <v>30</v>
      </c>
      <c r="I18" s="134"/>
      <c r="J18" s="144">
        <v>3.9E-2</v>
      </c>
      <c r="K18" s="134"/>
      <c r="L18" s="147">
        <v>0.85</v>
      </c>
      <c r="M18" s="141"/>
      <c r="N18" s="63">
        <v>0.85</v>
      </c>
      <c r="O18" s="134"/>
      <c r="P18" s="147">
        <v>0.63</v>
      </c>
      <c r="Q18" s="141"/>
      <c r="R18" s="147">
        <v>0.37</v>
      </c>
      <c r="S18" s="84"/>
      <c r="T18" s="29"/>
    </row>
    <row r="19" spans="1:20" x14ac:dyDescent="0.3">
      <c r="A19" s="63"/>
      <c r="B19" s="123" t="s">
        <v>15</v>
      </c>
      <c r="C19" s="85" t="s">
        <v>545</v>
      </c>
      <c r="D19" s="369" t="s">
        <v>521</v>
      </c>
      <c r="E19" s="409" t="s">
        <v>14</v>
      </c>
      <c r="F19" s="472" t="s">
        <v>14</v>
      </c>
      <c r="G19" s="134"/>
      <c r="H19" s="85" t="s">
        <v>16</v>
      </c>
      <c r="I19" s="134"/>
      <c r="J19" s="144">
        <v>5.2999999999999999E-2</v>
      </c>
      <c r="K19" s="409" t="s">
        <v>14</v>
      </c>
      <c r="L19" s="410" t="s">
        <v>14</v>
      </c>
      <c r="M19" s="428" t="s">
        <v>14</v>
      </c>
      <c r="N19" s="428" t="s">
        <v>14</v>
      </c>
      <c r="O19" s="409" t="s">
        <v>14</v>
      </c>
      <c r="P19" s="410" t="s">
        <v>14</v>
      </c>
      <c r="Q19" s="428" t="s">
        <v>14</v>
      </c>
      <c r="R19" s="410" t="s">
        <v>14</v>
      </c>
      <c r="S19" s="84"/>
    </row>
    <row r="20" spans="1:20" x14ac:dyDescent="0.3">
      <c r="A20" s="63"/>
      <c r="B20" s="123" t="s">
        <v>15</v>
      </c>
      <c r="C20" s="85" t="s">
        <v>546</v>
      </c>
      <c r="D20" s="369" t="s">
        <v>521</v>
      </c>
      <c r="E20" s="409" t="s">
        <v>14</v>
      </c>
      <c r="F20" s="472" t="s">
        <v>14</v>
      </c>
      <c r="G20" s="134"/>
      <c r="H20" s="85" t="s">
        <v>551</v>
      </c>
      <c r="I20" s="134"/>
      <c r="J20" s="144">
        <v>5.1999999999999998E-2</v>
      </c>
      <c r="K20" s="409" t="s">
        <v>14</v>
      </c>
      <c r="L20" s="410" t="s">
        <v>14</v>
      </c>
      <c r="M20" s="428" t="s">
        <v>14</v>
      </c>
      <c r="N20" s="428" t="s">
        <v>14</v>
      </c>
      <c r="O20" s="409" t="s">
        <v>14</v>
      </c>
      <c r="P20" s="410" t="s">
        <v>14</v>
      </c>
      <c r="Q20" s="428" t="s">
        <v>14</v>
      </c>
      <c r="R20" s="410" t="s">
        <v>14</v>
      </c>
      <c r="S20" s="84"/>
    </row>
    <row r="21" spans="1:20" x14ac:dyDescent="0.3">
      <c r="A21" s="63"/>
      <c r="B21" s="123" t="s">
        <v>15</v>
      </c>
      <c r="C21" s="85" t="s">
        <v>547</v>
      </c>
      <c r="D21" s="369" t="s">
        <v>435</v>
      </c>
      <c r="E21" s="409" t="s">
        <v>14</v>
      </c>
      <c r="F21" s="472" t="s">
        <v>14</v>
      </c>
      <c r="G21" s="134"/>
      <c r="H21" s="85" t="s">
        <v>552</v>
      </c>
      <c r="I21" s="134"/>
      <c r="J21" s="144">
        <v>5.0999999999999997E-2</v>
      </c>
      <c r="K21" s="409" t="s">
        <v>14</v>
      </c>
      <c r="L21" s="410" t="s">
        <v>14</v>
      </c>
      <c r="M21" s="428" t="s">
        <v>14</v>
      </c>
      <c r="N21" s="428" t="s">
        <v>14</v>
      </c>
      <c r="O21" s="409" t="s">
        <v>14</v>
      </c>
      <c r="P21" s="410" t="s">
        <v>14</v>
      </c>
      <c r="Q21" s="428" t="s">
        <v>14</v>
      </c>
      <c r="R21" s="410" t="s">
        <v>14</v>
      </c>
      <c r="S21" s="84"/>
    </row>
    <row r="22" spans="1:20" x14ac:dyDescent="0.3">
      <c r="A22" s="63"/>
      <c r="B22" s="123" t="s">
        <v>15</v>
      </c>
      <c r="C22" s="85" t="s">
        <v>548</v>
      </c>
      <c r="D22" s="369" t="s">
        <v>521</v>
      </c>
      <c r="E22" s="409" t="s">
        <v>14</v>
      </c>
      <c r="F22" s="472" t="s">
        <v>14</v>
      </c>
      <c r="G22" s="134"/>
      <c r="H22" s="85" t="s">
        <v>553</v>
      </c>
      <c r="I22" s="134"/>
      <c r="J22" s="144">
        <v>4.5999999999999999E-2</v>
      </c>
      <c r="K22" s="409" t="s">
        <v>14</v>
      </c>
      <c r="L22" s="410" t="s">
        <v>14</v>
      </c>
      <c r="M22" s="428" t="s">
        <v>14</v>
      </c>
      <c r="N22" s="428" t="s">
        <v>14</v>
      </c>
      <c r="O22" s="409" t="s">
        <v>14</v>
      </c>
      <c r="P22" s="410" t="s">
        <v>14</v>
      </c>
      <c r="Q22" s="428" t="s">
        <v>14</v>
      </c>
      <c r="R22" s="410" t="s">
        <v>14</v>
      </c>
      <c r="S22" s="84"/>
    </row>
    <row r="23" spans="1:20" x14ac:dyDescent="0.3">
      <c r="A23" s="63"/>
      <c r="B23" s="123" t="s">
        <v>15</v>
      </c>
      <c r="C23" s="85" t="s">
        <v>549</v>
      </c>
      <c r="D23" s="369" t="s">
        <v>521</v>
      </c>
      <c r="E23" s="409" t="s">
        <v>14</v>
      </c>
      <c r="F23" s="472" t="s">
        <v>14</v>
      </c>
      <c r="G23" s="136"/>
      <c r="H23" s="85" t="s">
        <v>552</v>
      </c>
      <c r="I23" s="136"/>
      <c r="J23" s="146">
        <v>5.0999999999999997E-2</v>
      </c>
      <c r="K23" s="409" t="s">
        <v>14</v>
      </c>
      <c r="L23" s="410" t="s">
        <v>14</v>
      </c>
      <c r="M23" s="428" t="s">
        <v>14</v>
      </c>
      <c r="N23" s="428" t="s">
        <v>14</v>
      </c>
      <c r="O23" s="409" t="s">
        <v>14</v>
      </c>
      <c r="P23" s="410" t="s">
        <v>14</v>
      </c>
      <c r="Q23" s="428" t="s">
        <v>14</v>
      </c>
      <c r="R23" s="410" t="s">
        <v>14</v>
      </c>
      <c r="S23" s="84"/>
    </row>
    <row r="24" spans="1:20" x14ac:dyDescent="0.3">
      <c r="B24" s="149" t="s">
        <v>15</v>
      </c>
      <c r="C24" s="150" t="s">
        <v>1329</v>
      </c>
      <c r="D24" s="209" t="s">
        <v>435</v>
      </c>
      <c r="E24" s="411" t="s">
        <v>14</v>
      </c>
      <c r="F24" s="473" t="s">
        <v>14</v>
      </c>
      <c r="G24" s="153"/>
      <c r="H24" s="150" t="s">
        <v>16</v>
      </c>
      <c r="I24" s="153"/>
      <c r="J24" s="155">
        <v>6.2E-2</v>
      </c>
      <c r="K24" s="411" t="s">
        <v>14</v>
      </c>
      <c r="L24" s="412" t="s">
        <v>14</v>
      </c>
      <c r="M24" s="432" t="s">
        <v>14</v>
      </c>
      <c r="N24" s="432" t="s">
        <v>14</v>
      </c>
      <c r="O24" s="411" t="s">
        <v>14</v>
      </c>
      <c r="P24" s="412" t="s">
        <v>14</v>
      </c>
      <c r="Q24" s="432" t="s">
        <v>14</v>
      </c>
      <c r="R24" s="412" t="s">
        <v>14</v>
      </c>
      <c r="S24" s="84"/>
    </row>
    <row r="25" spans="1:20" ht="15" customHeight="1" x14ac:dyDescent="0.3">
      <c r="A25" s="87"/>
      <c r="B25" s="87"/>
      <c r="C25" s="87"/>
      <c r="D25" s="86"/>
      <c r="E25" s="84"/>
      <c r="F25" s="85"/>
      <c r="G25" s="84"/>
      <c r="I25" s="84"/>
      <c r="K25" s="84"/>
      <c r="M25" s="84"/>
      <c r="O25" s="84"/>
      <c r="P25" s="77"/>
      <c r="Q25" s="84"/>
      <c r="R25" s="77"/>
      <c r="S25" s="84"/>
      <c r="T25" s="77"/>
    </row>
    <row r="26" spans="1:20" x14ac:dyDescent="0.3">
      <c r="C26" s="371"/>
      <c r="D26" s="378"/>
      <c r="E26" s="369"/>
      <c r="G26" s="369"/>
      <c r="H26" s="85"/>
    </row>
    <row r="27" spans="1:20" x14ac:dyDescent="0.3">
      <c r="A27" s="26"/>
      <c r="B27" s="28" t="s">
        <v>53</v>
      </c>
      <c r="D27" s="83"/>
      <c r="E27" s="40"/>
      <c r="F27" s="38"/>
      <c r="G27" s="40"/>
      <c r="H27" s="38"/>
      <c r="I27" s="40"/>
      <c r="J27" s="38"/>
      <c r="K27" s="40"/>
      <c r="L27" s="38"/>
      <c r="M27" s="40"/>
      <c r="N27" s="38"/>
      <c r="O27" s="40"/>
      <c r="P27" s="38"/>
      <c r="R27" s="38"/>
      <c r="T27" s="38"/>
    </row>
    <row r="28" spans="1:20" x14ac:dyDescent="0.3">
      <c r="B28" s="84" t="s">
        <v>17</v>
      </c>
    </row>
    <row r="29" spans="1:20" x14ac:dyDescent="0.3">
      <c r="A29" s="84"/>
      <c r="B29" s="132" t="s">
        <v>137</v>
      </c>
      <c r="C29" s="113" t="s">
        <v>31</v>
      </c>
      <c r="D29" s="112" t="s">
        <v>433</v>
      </c>
      <c r="E29" s="132"/>
      <c r="F29" s="110" t="s">
        <v>32</v>
      </c>
      <c r="G29" s="112"/>
      <c r="H29" s="168" t="s">
        <v>33</v>
      </c>
      <c r="I29" s="132"/>
      <c r="J29" s="110" t="s">
        <v>34</v>
      </c>
      <c r="K29" s="112"/>
      <c r="L29" s="168" t="s">
        <v>35</v>
      </c>
      <c r="M29" s="132"/>
      <c r="N29" s="110" t="s">
        <v>36</v>
      </c>
      <c r="O29" s="112"/>
      <c r="P29" s="110" t="s">
        <v>144</v>
      </c>
      <c r="Q29" s="84"/>
      <c r="R29" s="78"/>
      <c r="S29" s="84"/>
      <c r="T29" s="78"/>
    </row>
    <row r="30" spans="1:20" ht="15" thickBot="1" x14ac:dyDescent="0.35">
      <c r="A30" s="76"/>
      <c r="B30" s="126"/>
      <c r="C30" s="117" t="s">
        <v>23</v>
      </c>
      <c r="D30" s="118"/>
      <c r="E30" s="133"/>
      <c r="F30" s="519" t="s">
        <v>968</v>
      </c>
      <c r="G30" s="119"/>
      <c r="H30" s="519" t="s">
        <v>968</v>
      </c>
      <c r="I30" s="139"/>
      <c r="J30" s="519" t="s">
        <v>968</v>
      </c>
      <c r="K30" s="118"/>
      <c r="L30" s="519" t="s">
        <v>968</v>
      </c>
      <c r="M30" s="139"/>
      <c r="N30" s="519" t="s">
        <v>968</v>
      </c>
      <c r="O30" s="118"/>
      <c r="P30" s="519" t="s">
        <v>968</v>
      </c>
      <c r="Q30" s="29"/>
      <c r="R30" s="29"/>
      <c r="S30" s="29"/>
      <c r="T30" s="29"/>
    </row>
    <row r="31" spans="1:20" ht="28.2" thickTop="1" x14ac:dyDescent="0.3">
      <c r="A31" s="60"/>
      <c r="B31" s="123" t="s">
        <v>10</v>
      </c>
      <c r="C31" s="85" t="s">
        <v>540</v>
      </c>
      <c r="D31" s="369" t="s">
        <v>521</v>
      </c>
      <c r="E31" s="134"/>
      <c r="F31" s="367" t="s">
        <v>1330</v>
      </c>
      <c r="G31" s="141"/>
      <c r="H31" s="371" t="s">
        <v>1161</v>
      </c>
      <c r="I31" s="134"/>
      <c r="J31" s="367" t="s">
        <v>1156</v>
      </c>
      <c r="K31" s="480" t="s">
        <v>14</v>
      </c>
      <c r="L31" s="481" t="s">
        <v>14</v>
      </c>
      <c r="M31" s="480" t="s">
        <v>14</v>
      </c>
      <c r="N31" s="481" t="s">
        <v>14</v>
      </c>
      <c r="O31" s="480" t="s">
        <v>14</v>
      </c>
      <c r="P31" s="481" t="s">
        <v>14</v>
      </c>
      <c r="R31" s="722"/>
      <c r="S31" s="722"/>
      <c r="T31" s="722"/>
    </row>
    <row r="32" spans="1:20" ht="27.6" x14ac:dyDescent="0.3">
      <c r="A32" s="60"/>
      <c r="B32" s="123" t="s">
        <v>10</v>
      </c>
      <c r="C32" s="85" t="s">
        <v>541</v>
      </c>
      <c r="D32" s="369" t="s">
        <v>521</v>
      </c>
      <c r="E32" s="134"/>
      <c r="F32" s="367" t="s">
        <v>1142</v>
      </c>
      <c r="G32" s="141"/>
      <c r="H32" s="371" t="s">
        <v>1162</v>
      </c>
      <c r="I32" s="134"/>
      <c r="J32" s="367" t="s">
        <v>1177</v>
      </c>
      <c r="K32" s="136"/>
      <c r="L32" s="367" t="s">
        <v>1161</v>
      </c>
      <c r="M32" s="262"/>
      <c r="N32" s="367" t="s">
        <v>1185</v>
      </c>
      <c r="O32" s="409" t="s">
        <v>14</v>
      </c>
      <c r="P32" s="410" t="s">
        <v>14</v>
      </c>
      <c r="R32" s="722"/>
      <c r="T32" s="722"/>
    </row>
    <row r="33" spans="1:20" ht="30" customHeight="1" x14ac:dyDescent="0.3">
      <c r="A33" s="60"/>
      <c r="B33" s="123" t="s">
        <v>10</v>
      </c>
      <c r="C33" s="85" t="s">
        <v>542</v>
      </c>
      <c r="D33" s="369" t="s">
        <v>435</v>
      </c>
      <c r="E33" s="134"/>
      <c r="F33" s="371" t="s">
        <v>1137</v>
      </c>
      <c r="G33" s="482" t="s">
        <v>14</v>
      </c>
      <c r="H33" s="428" t="s">
        <v>14</v>
      </c>
      <c r="I33" s="409" t="s">
        <v>14</v>
      </c>
      <c r="J33" s="410" t="s">
        <v>14</v>
      </c>
      <c r="K33" s="482" t="s">
        <v>14</v>
      </c>
      <c r="L33" s="428" t="s">
        <v>14</v>
      </c>
      <c r="M33" s="482" t="s">
        <v>14</v>
      </c>
      <c r="N33" s="410" t="s">
        <v>14</v>
      </c>
      <c r="O33" s="409" t="s">
        <v>14</v>
      </c>
      <c r="P33" s="410" t="s">
        <v>14</v>
      </c>
      <c r="R33" s="722"/>
      <c r="T33" s="722"/>
    </row>
    <row r="34" spans="1:20" ht="27.6" x14ac:dyDescent="0.3">
      <c r="A34" s="60"/>
      <c r="B34" s="123" t="s">
        <v>10</v>
      </c>
      <c r="C34" s="85" t="s">
        <v>543</v>
      </c>
      <c r="D34" s="369" t="s">
        <v>435</v>
      </c>
      <c r="E34" s="134"/>
      <c r="F34" s="367" t="s">
        <v>1137</v>
      </c>
      <c r="G34" s="136"/>
      <c r="H34" s="371" t="s">
        <v>1158</v>
      </c>
      <c r="I34" s="409" t="s">
        <v>14</v>
      </c>
      <c r="J34" s="410" t="s">
        <v>14</v>
      </c>
      <c r="K34" s="409" t="s">
        <v>14</v>
      </c>
      <c r="L34" s="410" t="s">
        <v>14</v>
      </c>
      <c r="M34" s="409" t="s">
        <v>14</v>
      </c>
      <c r="N34" s="410" t="s">
        <v>14</v>
      </c>
      <c r="O34" s="409" t="s">
        <v>14</v>
      </c>
      <c r="P34" s="410" t="s">
        <v>14</v>
      </c>
      <c r="R34" s="722"/>
      <c r="T34" s="722"/>
    </row>
    <row r="35" spans="1:20" ht="27.6" x14ac:dyDescent="0.3">
      <c r="A35" s="60"/>
      <c r="B35" s="123" t="s">
        <v>15</v>
      </c>
      <c r="C35" s="85" t="s">
        <v>545</v>
      </c>
      <c r="D35" s="369" t="s">
        <v>521</v>
      </c>
      <c r="E35" s="134"/>
      <c r="F35" s="367" t="s">
        <v>1133</v>
      </c>
      <c r="G35" s="141"/>
      <c r="H35" s="371" t="s">
        <v>1156</v>
      </c>
      <c r="I35" s="136"/>
      <c r="J35" s="371" t="s">
        <v>1173</v>
      </c>
      <c r="K35" s="136"/>
      <c r="L35" s="371" t="s">
        <v>1174</v>
      </c>
      <c r="M35" s="409" t="s">
        <v>14</v>
      </c>
      <c r="N35" s="410" t="s">
        <v>14</v>
      </c>
      <c r="O35" s="409" t="s">
        <v>14</v>
      </c>
      <c r="P35" s="410" t="s">
        <v>14</v>
      </c>
      <c r="R35" s="722"/>
      <c r="T35" s="722"/>
    </row>
    <row r="36" spans="1:20" ht="27.6" x14ac:dyDescent="0.3">
      <c r="A36" s="60"/>
      <c r="B36" s="123" t="s">
        <v>15</v>
      </c>
      <c r="C36" s="85" t="s">
        <v>546</v>
      </c>
      <c r="D36" s="369" t="s">
        <v>521</v>
      </c>
      <c r="E36" s="134"/>
      <c r="F36" s="367" t="s">
        <v>1143</v>
      </c>
      <c r="G36" s="141"/>
      <c r="H36" s="371" t="s">
        <v>1156</v>
      </c>
      <c r="I36" s="134"/>
      <c r="J36" s="367" t="s">
        <v>1173</v>
      </c>
      <c r="K36" s="134"/>
      <c r="L36" s="367" t="s">
        <v>1183</v>
      </c>
      <c r="M36" s="409" t="s">
        <v>14</v>
      </c>
      <c r="N36" s="410" t="s">
        <v>14</v>
      </c>
      <c r="O36" s="409" t="s">
        <v>14</v>
      </c>
      <c r="P36" s="410" t="s">
        <v>14</v>
      </c>
      <c r="R36" s="722"/>
      <c r="T36" s="722"/>
    </row>
    <row r="37" spans="1:20" ht="27.6" x14ac:dyDescent="0.3">
      <c r="A37" s="60"/>
      <c r="B37" s="123" t="s">
        <v>15</v>
      </c>
      <c r="C37" s="85" t="s">
        <v>547</v>
      </c>
      <c r="D37" s="369" t="s">
        <v>435</v>
      </c>
      <c r="E37" s="134"/>
      <c r="F37" s="367" t="s">
        <v>1133</v>
      </c>
      <c r="G37" s="141"/>
      <c r="H37" s="371" t="s">
        <v>1163</v>
      </c>
      <c r="I37" s="134"/>
      <c r="J37" s="367" t="s">
        <v>1156</v>
      </c>
      <c r="K37" s="134"/>
      <c r="L37" s="367" t="s">
        <v>1173</v>
      </c>
      <c r="M37" s="262"/>
      <c r="N37" s="367" t="s">
        <v>1174</v>
      </c>
      <c r="O37" s="409" t="s">
        <v>14</v>
      </c>
      <c r="P37" s="410" t="s">
        <v>14</v>
      </c>
      <c r="R37" s="722"/>
      <c r="T37" s="722"/>
    </row>
    <row r="38" spans="1:20" ht="41.4" x14ac:dyDescent="0.3">
      <c r="A38" s="60"/>
      <c r="B38" s="123" t="s">
        <v>15</v>
      </c>
      <c r="C38" s="85" t="s">
        <v>548</v>
      </c>
      <c r="D38" s="369" t="s">
        <v>521</v>
      </c>
      <c r="E38" s="134"/>
      <c r="F38" s="367" t="s">
        <v>1133</v>
      </c>
      <c r="G38" s="141"/>
      <c r="H38" s="371" t="s">
        <v>1164</v>
      </c>
      <c r="I38" s="134"/>
      <c r="J38" s="367" t="s">
        <v>1164</v>
      </c>
      <c r="K38" s="134"/>
      <c r="L38" s="367" t="s">
        <v>1156</v>
      </c>
      <c r="M38" s="262"/>
      <c r="N38" s="367" t="s">
        <v>1173</v>
      </c>
      <c r="O38" s="262"/>
      <c r="P38" s="360" t="s">
        <v>1174</v>
      </c>
      <c r="R38" s="722"/>
      <c r="T38" s="722"/>
    </row>
    <row r="39" spans="1:20" ht="27.6" x14ac:dyDescent="0.3">
      <c r="A39" s="60"/>
      <c r="B39" s="123" t="s">
        <v>15</v>
      </c>
      <c r="C39" s="85" t="s">
        <v>549</v>
      </c>
      <c r="D39" s="369" t="s">
        <v>521</v>
      </c>
      <c r="E39" s="134"/>
      <c r="F39" s="367" t="s">
        <v>1133</v>
      </c>
      <c r="G39" s="141"/>
      <c r="H39" s="371" t="s">
        <v>1163</v>
      </c>
      <c r="I39" s="134"/>
      <c r="J39" s="367" t="s">
        <v>1156</v>
      </c>
      <c r="K39" s="134"/>
      <c r="L39" s="367" t="s">
        <v>1173</v>
      </c>
      <c r="M39" s="262"/>
      <c r="N39" s="367" t="s">
        <v>1174</v>
      </c>
      <c r="O39" s="409" t="s">
        <v>14</v>
      </c>
      <c r="P39" s="410" t="s">
        <v>14</v>
      </c>
      <c r="R39" s="722"/>
      <c r="T39" s="722"/>
    </row>
    <row r="40" spans="1:20" ht="27.6" x14ac:dyDescent="0.3">
      <c r="A40" s="60"/>
      <c r="B40" s="123" t="s">
        <v>15</v>
      </c>
      <c r="C40" s="85" t="s">
        <v>550</v>
      </c>
      <c r="D40" s="369" t="s">
        <v>435</v>
      </c>
      <c r="E40" s="134"/>
      <c r="F40" s="367" t="s">
        <v>1133</v>
      </c>
      <c r="G40" s="141"/>
      <c r="H40" s="371" t="s">
        <v>1154</v>
      </c>
      <c r="I40" s="134"/>
      <c r="J40" s="367" t="s">
        <v>1173</v>
      </c>
      <c r="K40" s="134"/>
      <c r="L40" s="367" t="s">
        <v>1174</v>
      </c>
      <c r="M40" s="409" t="s">
        <v>14</v>
      </c>
      <c r="N40" s="410" t="s">
        <v>14</v>
      </c>
      <c r="O40" s="409" t="s">
        <v>14</v>
      </c>
      <c r="P40" s="410" t="s">
        <v>14</v>
      </c>
      <c r="R40" s="722"/>
      <c r="T40" s="722"/>
    </row>
    <row r="41" spans="1:20" ht="27.6" x14ac:dyDescent="0.3">
      <c r="A41" s="60"/>
      <c r="B41" s="149" t="s">
        <v>620</v>
      </c>
      <c r="C41" s="150" t="s">
        <v>550</v>
      </c>
      <c r="D41" s="209" t="s">
        <v>435</v>
      </c>
      <c r="E41" s="153"/>
      <c r="F41" s="166" t="s">
        <v>1133</v>
      </c>
      <c r="G41" s="169"/>
      <c r="H41" s="160" t="s">
        <v>1154</v>
      </c>
      <c r="I41" s="153"/>
      <c r="J41" s="160" t="s">
        <v>1173</v>
      </c>
      <c r="K41" s="153"/>
      <c r="L41" s="160" t="s">
        <v>1174</v>
      </c>
      <c r="M41" s="411" t="s">
        <v>14</v>
      </c>
      <c r="N41" s="412" t="s">
        <v>14</v>
      </c>
      <c r="O41" s="411" t="s">
        <v>14</v>
      </c>
      <c r="P41" s="412" t="s">
        <v>14</v>
      </c>
      <c r="R41" s="397"/>
      <c r="T41" s="722"/>
    </row>
    <row r="43" spans="1:20" x14ac:dyDescent="0.3">
      <c r="B43" s="84"/>
      <c r="D43" s="84" t="s">
        <v>18</v>
      </c>
      <c r="E43" s="369"/>
      <c r="F43" s="85"/>
      <c r="G43" s="369"/>
      <c r="H43" s="371"/>
      <c r="J43" s="32"/>
      <c r="K43" s="7"/>
      <c r="L43" s="32"/>
      <c r="M43" s="7"/>
      <c r="N43" s="32"/>
      <c r="O43" s="7"/>
      <c r="P43" s="30"/>
      <c r="Q43" s="7"/>
      <c r="R43" s="30"/>
      <c r="S43" s="84"/>
      <c r="T43" s="29"/>
    </row>
    <row r="44" spans="1:20" s="83" customFormat="1" ht="27.6" x14ac:dyDescent="0.3">
      <c r="D44" s="216" t="s">
        <v>137</v>
      </c>
      <c r="E44" s="190"/>
      <c r="F44" s="109" t="s">
        <v>512</v>
      </c>
      <c r="G44" s="183"/>
      <c r="H44" s="116" t="s">
        <v>513</v>
      </c>
      <c r="I44" s="190"/>
      <c r="J44" s="109" t="s">
        <v>514</v>
      </c>
      <c r="K44" s="183"/>
      <c r="L44" s="116" t="s">
        <v>515</v>
      </c>
      <c r="M44" s="190"/>
      <c r="N44" s="109" t="s">
        <v>516</v>
      </c>
      <c r="O44" s="39"/>
      <c r="P44" s="15"/>
      <c r="Q44" s="15"/>
      <c r="R44" s="30"/>
      <c r="S44" s="84"/>
      <c r="T44" s="29"/>
    </row>
    <row r="45" spans="1:20" s="369" customFormat="1" thickBot="1" x14ac:dyDescent="0.35">
      <c r="D45" s="236"/>
      <c r="E45" s="237"/>
      <c r="F45" s="238" t="s">
        <v>65</v>
      </c>
      <c r="G45" s="224"/>
      <c r="H45" s="118" t="s">
        <v>66</v>
      </c>
      <c r="I45" s="237"/>
      <c r="J45" s="101" t="s">
        <v>67</v>
      </c>
      <c r="K45" s="224"/>
      <c r="L45" s="215" t="s">
        <v>68</v>
      </c>
      <c r="M45" s="237"/>
      <c r="N45" s="101" t="s">
        <v>69</v>
      </c>
      <c r="O45" s="63"/>
      <c r="P45" s="63"/>
      <c r="Q45" s="63"/>
      <c r="R45" s="30"/>
      <c r="S45" s="84"/>
      <c r="T45" s="29"/>
    </row>
    <row r="46" spans="1:20" s="378" customFormat="1" thickTop="1" x14ac:dyDescent="0.3">
      <c r="C46" s="84"/>
      <c r="D46" s="233" t="s">
        <v>20</v>
      </c>
      <c r="E46" s="165"/>
      <c r="F46" s="235">
        <v>7.0000000000000007E-2</v>
      </c>
      <c r="G46" s="164"/>
      <c r="H46" s="234">
        <v>0</v>
      </c>
      <c r="I46" s="165"/>
      <c r="J46" s="234">
        <v>0</v>
      </c>
      <c r="K46" s="359"/>
      <c r="L46" s="234">
        <v>0.25</v>
      </c>
      <c r="M46" s="165"/>
      <c r="N46" s="235">
        <v>0</v>
      </c>
      <c r="O46" s="370"/>
      <c r="P46" s="370"/>
      <c r="Q46" s="370"/>
      <c r="R46" s="30"/>
      <c r="S46" s="84"/>
      <c r="T46" s="29"/>
    </row>
    <row r="47" spans="1:20" s="378" customFormat="1" ht="13.8" x14ac:dyDescent="0.3">
      <c r="O47" s="370"/>
      <c r="P47" s="370"/>
      <c r="Q47" s="370"/>
      <c r="R47" s="30"/>
      <c r="S47" s="84"/>
      <c r="T47" s="29"/>
    </row>
    <row r="48" spans="1:20" s="378" customFormat="1" ht="27.6" x14ac:dyDescent="0.3">
      <c r="D48" s="216" t="s">
        <v>137</v>
      </c>
      <c r="E48" s="216"/>
      <c r="F48" s="109" t="s">
        <v>590</v>
      </c>
      <c r="O48" s="370"/>
      <c r="P48" s="370"/>
      <c r="Q48" s="370"/>
      <c r="R48" s="30"/>
      <c r="S48" s="84"/>
      <c r="T48" s="29"/>
    </row>
    <row r="49" spans="1:20" s="378" customFormat="1" thickBot="1" x14ac:dyDescent="0.35">
      <c r="D49" s="236"/>
      <c r="E49" s="236"/>
      <c r="F49" s="143" t="s">
        <v>156</v>
      </c>
      <c r="O49" s="370"/>
      <c r="P49" s="370"/>
      <c r="Q49" s="370"/>
      <c r="R49" s="30"/>
      <c r="S49" s="84"/>
      <c r="T49" s="29"/>
    </row>
    <row r="50" spans="1:20" s="378" customFormat="1" thickTop="1" x14ac:dyDescent="0.3">
      <c r="D50" s="233" t="s">
        <v>21</v>
      </c>
      <c r="E50" s="165"/>
      <c r="F50" s="235">
        <v>0.02</v>
      </c>
      <c r="O50" s="370"/>
      <c r="P50" s="370"/>
      <c r="Q50" s="370"/>
      <c r="R50" s="30"/>
      <c r="S50" s="84"/>
      <c r="T50" s="29"/>
    </row>
    <row r="51" spans="1:20" s="378" customFormat="1" ht="13.8" x14ac:dyDescent="0.3">
      <c r="D51" s="84"/>
      <c r="E51" s="84"/>
      <c r="F51" s="1"/>
      <c r="O51" s="370"/>
      <c r="P51" s="370"/>
      <c r="Q51" s="370"/>
      <c r="R51" s="30"/>
      <c r="S51" s="84"/>
      <c r="T51" s="29"/>
    </row>
    <row r="52" spans="1:20" s="82" customFormat="1" ht="13.8" x14ac:dyDescent="0.3">
      <c r="A52" s="26"/>
      <c r="B52" s="28" t="s">
        <v>114</v>
      </c>
      <c r="D52" s="86"/>
      <c r="E52" s="84"/>
      <c r="G52" s="86"/>
      <c r="H52" s="84"/>
      <c r="J52" s="86"/>
      <c r="K52" s="84"/>
      <c r="M52" s="86"/>
      <c r="N52" s="84"/>
      <c r="P52" s="86"/>
      <c r="Q52" s="84"/>
      <c r="S52" s="86"/>
      <c r="T52" s="84"/>
    </row>
    <row r="53" spans="1:20" s="82" customFormat="1" ht="13.8" x14ac:dyDescent="0.3">
      <c r="B53" s="77" t="s">
        <v>212</v>
      </c>
      <c r="D53" s="86"/>
      <c r="E53" s="84"/>
      <c r="G53" s="86"/>
      <c r="H53" s="84"/>
      <c r="J53" s="86"/>
      <c r="K53" s="84"/>
      <c r="M53" s="86"/>
      <c r="N53" s="84"/>
      <c r="P53" s="86"/>
      <c r="Q53" s="84"/>
      <c r="S53" s="86"/>
      <c r="T53" s="84"/>
    </row>
    <row r="54" spans="1:20" s="85" customFormat="1" ht="38.25" customHeight="1" x14ac:dyDescent="0.3">
      <c r="B54" s="249" t="s">
        <v>138</v>
      </c>
      <c r="C54" s="256" t="s">
        <v>190</v>
      </c>
      <c r="D54" s="246"/>
      <c r="E54" s="260"/>
      <c r="F54" s="243" t="s">
        <v>163</v>
      </c>
      <c r="G54" s="258"/>
      <c r="H54" s="243" t="s">
        <v>523</v>
      </c>
      <c r="I54" s="246"/>
      <c r="J54" s="259" t="s">
        <v>524</v>
      </c>
      <c r="K54" s="258"/>
      <c r="L54" s="243" t="s">
        <v>123</v>
      </c>
      <c r="M54" s="246"/>
      <c r="N54" s="243" t="s">
        <v>161</v>
      </c>
      <c r="O54" s="280"/>
      <c r="P54" s="110" t="s">
        <v>602</v>
      </c>
      <c r="Q54" s="87"/>
      <c r="R54" s="87"/>
      <c r="S54" s="87"/>
      <c r="T54" s="87"/>
    </row>
    <row r="55" spans="1:20" s="369" customFormat="1" thickBot="1" x14ac:dyDescent="0.35">
      <c r="B55" s="100" t="s">
        <v>213</v>
      </c>
      <c r="C55" s="117"/>
      <c r="D55" s="215"/>
      <c r="E55" s="100"/>
      <c r="F55" s="101" t="s">
        <v>149</v>
      </c>
      <c r="G55" s="100"/>
      <c r="H55" s="101" t="s">
        <v>149</v>
      </c>
      <c r="I55" s="215"/>
      <c r="J55" s="215" t="s">
        <v>149</v>
      </c>
      <c r="K55" s="100"/>
      <c r="L55" s="101" t="s">
        <v>150</v>
      </c>
      <c r="M55" s="215"/>
      <c r="N55" s="244"/>
      <c r="O55" s="100"/>
      <c r="P55" s="101" t="s">
        <v>320</v>
      </c>
      <c r="Q55" s="87"/>
      <c r="R55" s="87"/>
      <c r="S55" s="87"/>
      <c r="T55" s="87"/>
    </row>
    <row r="56" spans="1:20" s="369" customFormat="1" ht="28.2" thickTop="1" x14ac:dyDescent="0.3">
      <c r="B56" s="137" t="s">
        <v>207</v>
      </c>
      <c r="C56" s="371" t="s">
        <v>189</v>
      </c>
      <c r="D56" s="370" t="s">
        <v>436</v>
      </c>
      <c r="E56" s="317"/>
      <c r="F56" s="717">
        <v>0.5</v>
      </c>
      <c r="G56" s="409" t="s">
        <v>14</v>
      </c>
      <c r="H56" s="410" t="s">
        <v>14</v>
      </c>
      <c r="I56" s="349"/>
      <c r="J56" s="1">
        <v>0.5</v>
      </c>
      <c r="K56" s="349"/>
      <c r="L56" s="197" t="s">
        <v>129</v>
      </c>
      <c r="M56" s="176"/>
      <c r="N56" s="366" t="s">
        <v>1328</v>
      </c>
      <c r="O56" s="409" t="s">
        <v>14</v>
      </c>
      <c r="P56" s="410" t="s">
        <v>14</v>
      </c>
      <c r="Q56" s="87"/>
      <c r="R56" s="87"/>
      <c r="S56" s="87"/>
      <c r="T56" s="87"/>
    </row>
    <row r="57" spans="1:20" s="369" customFormat="1" ht="13.8" x14ac:dyDescent="0.3">
      <c r="B57" s="137" t="s">
        <v>208</v>
      </c>
      <c r="C57" s="371" t="s">
        <v>116</v>
      </c>
      <c r="D57" s="370" t="s">
        <v>436</v>
      </c>
      <c r="E57" s="317"/>
      <c r="F57" s="717">
        <v>1.2</v>
      </c>
      <c r="G57" s="409" t="s">
        <v>14</v>
      </c>
      <c r="H57" s="410" t="s">
        <v>14</v>
      </c>
      <c r="I57" s="134"/>
      <c r="J57" s="1">
        <v>1.2</v>
      </c>
      <c r="K57" s="134"/>
      <c r="L57" s="197" t="s">
        <v>129</v>
      </c>
      <c r="M57" s="176"/>
      <c r="N57" s="366" t="s">
        <v>1328</v>
      </c>
      <c r="O57" s="409" t="s">
        <v>14</v>
      </c>
      <c r="P57" s="410" t="s">
        <v>14</v>
      </c>
      <c r="Q57" s="87"/>
      <c r="R57" s="87"/>
      <c r="S57" s="87"/>
      <c r="T57" s="87"/>
    </row>
    <row r="58" spans="1:20" s="369" customFormat="1" ht="13.8" x14ac:dyDescent="0.3">
      <c r="B58" s="124" t="s">
        <v>209</v>
      </c>
      <c r="C58" s="85" t="s">
        <v>119</v>
      </c>
      <c r="D58" s="370" t="s">
        <v>435</v>
      </c>
      <c r="E58" s="317"/>
      <c r="F58" s="717">
        <v>1.2</v>
      </c>
      <c r="G58" s="409" t="s">
        <v>14</v>
      </c>
      <c r="H58" s="410" t="s">
        <v>14</v>
      </c>
      <c r="I58" s="134"/>
      <c r="J58" s="1">
        <v>1.2</v>
      </c>
      <c r="K58" s="134"/>
      <c r="L58" s="197" t="s">
        <v>129</v>
      </c>
      <c r="M58" s="176"/>
      <c r="N58" s="366" t="s">
        <v>1328</v>
      </c>
      <c r="O58" s="409" t="s">
        <v>14</v>
      </c>
      <c r="P58" s="410" t="s">
        <v>14</v>
      </c>
      <c r="Q58" s="87"/>
      <c r="R58" s="87"/>
      <c r="S58" s="87"/>
      <c r="T58" s="87"/>
    </row>
    <row r="59" spans="1:20" s="369" customFormat="1" ht="13.8" x14ac:dyDescent="0.3">
      <c r="B59" s="124" t="s">
        <v>210</v>
      </c>
      <c r="C59" s="247" t="s">
        <v>116</v>
      </c>
      <c r="D59" s="68" t="s">
        <v>435</v>
      </c>
      <c r="E59" s="327"/>
      <c r="F59" s="717">
        <v>1.6</v>
      </c>
      <c r="G59" s="327"/>
      <c r="H59" s="255">
        <v>0.75</v>
      </c>
      <c r="I59" s="136"/>
      <c r="J59" s="1">
        <v>2.35</v>
      </c>
      <c r="K59" s="136"/>
      <c r="L59" s="197" t="s">
        <v>129</v>
      </c>
      <c r="M59" s="136"/>
      <c r="N59" s="366" t="s">
        <v>162</v>
      </c>
      <c r="O59" s="176"/>
      <c r="P59" s="366">
        <v>810</v>
      </c>
      <c r="Q59" s="87"/>
      <c r="R59" s="87"/>
      <c r="S59" s="87"/>
      <c r="T59" s="87"/>
    </row>
    <row r="60" spans="1:20" s="369" customFormat="1" ht="13.8" x14ac:dyDescent="0.3">
      <c r="B60" s="175" t="s">
        <v>211</v>
      </c>
      <c r="C60" s="253" t="s">
        <v>116</v>
      </c>
      <c r="D60" s="229" t="s">
        <v>435</v>
      </c>
      <c r="E60" s="334"/>
      <c r="F60" s="859">
        <v>1.1499999999999999</v>
      </c>
      <c r="G60" s="411" t="s">
        <v>14</v>
      </c>
      <c r="H60" s="412" t="s">
        <v>14</v>
      </c>
      <c r="I60" s="153"/>
      <c r="J60" s="234">
        <v>1.1499999999999999</v>
      </c>
      <c r="K60" s="153"/>
      <c r="L60" s="199" t="s">
        <v>129</v>
      </c>
      <c r="M60" s="153"/>
      <c r="N60" s="402" t="s">
        <v>1328</v>
      </c>
      <c r="O60" s="411" t="s">
        <v>14</v>
      </c>
      <c r="P60" s="412" t="s">
        <v>14</v>
      </c>
      <c r="Q60" s="87"/>
      <c r="R60" s="87"/>
      <c r="S60" s="87"/>
      <c r="T60" s="87"/>
    </row>
    <row r="62" spans="1:20" x14ac:dyDescent="0.3">
      <c r="B62" s="85"/>
      <c r="C62" s="83"/>
      <c r="D62" s="397"/>
      <c r="E62" s="369"/>
      <c r="F62" s="369"/>
      <c r="G62" s="369"/>
      <c r="H62" s="369"/>
      <c r="J62" s="369"/>
      <c r="L62" s="66"/>
      <c r="N62" s="66"/>
      <c r="P62" s="66"/>
      <c r="R62" s="66"/>
      <c r="T62" s="66"/>
    </row>
    <row r="63" spans="1:20" x14ac:dyDescent="0.3">
      <c r="A63" s="26"/>
      <c r="B63" s="28" t="s">
        <v>517</v>
      </c>
      <c r="C63" s="83"/>
      <c r="D63" s="397"/>
      <c r="E63" s="369"/>
      <c r="F63" s="369"/>
      <c r="G63" s="369"/>
      <c r="H63" s="369"/>
      <c r="J63" s="369"/>
      <c r="L63" s="66"/>
      <c r="N63" s="66"/>
      <c r="P63" s="66"/>
      <c r="R63" s="66"/>
      <c r="T63" s="66"/>
    </row>
    <row r="64" spans="1:20" ht="41.4" x14ac:dyDescent="0.3">
      <c r="A64" s="82"/>
      <c r="B64" s="108" t="s">
        <v>500</v>
      </c>
      <c r="C64" s="116" t="s">
        <v>501</v>
      </c>
      <c r="D64" s="112" t="s">
        <v>433</v>
      </c>
      <c r="E64" s="177"/>
      <c r="F64" s="113" t="s">
        <v>437</v>
      </c>
      <c r="G64" s="177"/>
      <c r="H64" s="116" t="s">
        <v>137</v>
      </c>
      <c r="I64" s="177"/>
      <c r="J64" s="109" t="s">
        <v>186</v>
      </c>
      <c r="K64" s="125"/>
      <c r="L64" s="142" t="s">
        <v>510</v>
      </c>
      <c r="M64" s="113"/>
      <c r="N64" s="113" t="s">
        <v>509</v>
      </c>
      <c r="O64" s="207"/>
      <c r="P64" s="142" t="s">
        <v>508</v>
      </c>
      <c r="Q64" s="125"/>
      <c r="R64" s="142" t="s">
        <v>486</v>
      </c>
      <c r="S64" s="125"/>
      <c r="T64" s="142" t="s">
        <v>534</v>
      </c>
    </row>
    <row r="65" spans="1:22" ht="15" thickBot="1" x14ac:dyDescent="0.35">
      <c r="A65" s="82"/>
      <c r="B65" s="173" t="s">
        <v>259</v>
      </c>
      <c r="C65" s="171" t="s">
        <v>258</v>
      </c>
      <c r="D65" s="376"/>
      <c r="E65" s="178"/>
      <c r="F65" s="376"/>
      <c r="G65" s="230"/>
      <c r="H65" s="171" t="s">
        <v>260</v>
      </c>
      <c r="I65" s="178"/>
      <c r="J65" s="174" t="s">
        <v>261</v>
      </c>
      <c r="K65" s="208"/>
      <c r="L65" s="174" t="s">
        <v>646</v>
      </c>
      <c r="M65" s="205"/>
      <c r="N65" s="171" t="s">
        <v>647</v>
      </c>
      <c r="O65" s="208"/>
      <c r="P65" s="174" t="s">
        <v>1387</v>
      </c>
      <c r="Q65" s="230"/>
      <c r="R65" s="174" t="s">
        <v>1127</v>
      </c>
      <c r="S65" s="230"/>
      <c r="T65" s="174" t="s">
        <v>1128</v>
      </c>
    </row>
    <row r="66" spans="1:22" s="364" customFormat="1" thickTop="1" x14ac:dyDescent="0.3">
      <c r="A66" s="378"/>
      <c r="B66" s="135" t="s">
        <v>557</v>
      </c>
      <c r="C66" s="378" t="s">
        <v>554</v>
      </c>
      <c r="D66" s="378" t="s">
        <v>436</v>
      </c>
      <c r="E66" s="131"/>
      <c r="F66" s="371" t="s">
        <v>555</v>
      </c>
      <c r="G66" s="136"/>
      <c r="H66" s="378" t="s">
        <v>449</v>
      </c>
      <c r="I66" s="136"/>
      <c r="J66" s="378" t="s">
        <v>528</v>
      </c>
      <c r="K66" s="136"/>
      <c r="L66" s="378">
        <v>60</v>
      </c>
      <c r="M66" s="136"/>
      <c r="N66" s="378">
        <v>60</v>
      </c>
      <c r="O66" s="136"/>
      <c r="P66" s="263" t="s">
        <v>930</v>
      </c>
      <c r="Q66" s="136"/>
      <c r="R66" s="206">
        <v>60</v>
      </c>
      <c r="S66" s="136"/>
      <c r="T66" s="206">
        <v>55</v>
      </c>
    </row>
    <row r="67" spans="1:22" x14ac:dyDescent="0.3">
      <c r="A67" s="82"/>
      <c r="B67" s="175" t="s">
        <v>556</v>
      </c>
      <c r="C67" s="150" t="s">
        <v>526</v>
      </c>
      <c r="D67" s="181" t="s">
        <v>436</v>
      </c>
      <c r="E67" s="179"/>
      <c r="F67" s="150" t="s">
        <v>622</v>
      </c>
      <c r="G67" s="153"/>
      <c r="H67" s="150" t="s">
        <v>167</v>
      </c>
      <c r="I67" s="153"/>
      <c r="J67" s="155" t="s">
        <v>528</v>
      </c>
      <c r="K67" s="153"/>
      <c r="L67" s="209">
        <v>55</v>
      </c>
      <c r="M67" s="169"/>
      <c r="N67" s="151">
        <v>95</v>
      </c>
      <c r="O67" s="153"/>
      <c r="P67" s="209" t="s">
        <v>300</v>
      </c>
      <c r="Q67" s="152" t="s">
        <v>14</v>
      </c>
      <c r="R67" s="157" t="s">
        <v>14</v>
      </c>
      <c r="S67" s="152" t="s">
        <v>14</v>
      </c>
      <c r="T67" s="157" t="s">
        <v>14</v>
      </c>
    </row>
    <row r="68" spans="1:22" x14ac:dyDescent="0.3">
      <c r="A68" s="82"/>
      <c r="B68" s="77"/>
      <c r="C68" s="75"/>
      <c r="D68" s="29"/>
      <c r="E68" s="369"/>
      <c r="F68" s="369"/>
      <c r="G68" s="369"/>
      <c r="H68" s="369"/>
      <c r="J68" s="369"/>
      <c r="K68" s="84"/>
      <c r="L68" s="82"/>
      <c r="N68" s="369"/>
      <c r="P68" s="369"/>
      <c r="Q68" s="397"/>
      <c r="R68" s="397"/>
      <c r="S68" s="397"/>
      <c r="T68" s="397"/>
    </row>
    <row r="69" spans="1:22" x14ac:dyDescent="0.3">
      <c r="A69" s="82"/>
      <c r="B69" s="77"/>
      <c r="C69" s="84"/>
      <c r="D69" s="82"/>
      <c r="E69" s="84"/>
      <c r="F69" s="82"/>
      <c r="G69" s="84"/>
      <c r="H69" s="82"/>
      <c r="I69" s="84"/>
      <c r="J69" s="82"/>
      <c r="K69" s="84"/>
      <c r="L69" s="82"/>
      <c r="N69" s="369"/>
      <c r="P69" s="369"/>
      <c r="Q69" s="397"/>
      <c r="R69" s="397"/>
      <c r="S69" s="397"/>
      <c r="T69" s="397"/>
    </row>
    <row r="70" spans="1:22" ht="41.4" x14ac:dyDescent="0.3">
      <c r="A70" s="82"/>
      <c r="B70" s="108" t="s">
        <v>501</v>
      </c>
      <c r="C70" s="116" t="s">
        <v>502</v>
      </c>
      <c r="D70" s="112" t="s">
        <v>433</v>
      </c>
      <c r="E70" s="177"/>
      <c r="F70" s="110" t="s">
        <v>137</v>
      </c>
      <c r="G70" s="170"/>
      <c r="H70" s="168" t="s">
        <v>503</v>
      </c>
      <c r="I70" s="177"/>
      <c r="J70" s="168" t="s">
        <v>1125</v>
      </c>
      <c r="K70" s="189"/>
      <c r="L70" s="110" t="s">
        <v>204</v>
      </c>
      <c r="M70" s="182"/>
      <c r="N70" s="110" t="s">
        <v>1053</v>
      </c>
      <c r="O70" s="442"/>
      <c r="P70" s="110" t="s">
        <v>1054</v>
      </c>
      <c r="Q70" s="441"/>
      <c r="R70" s="110" t="s">
        <v>1055</v>
      </c>
      <c r="T70" s="369"/>
      <c r="U70" s="369"/>
      <c r="V70" s="369"/>
    </row>
    <row r="71" spans="1:22" ht="15" thickBot="1" x14ac:dyDescent="0.35">
      <c r="A71" s="82"/>
      <c r="B71" s="173" t="s">
        <v>280</v>
      </c>
      <c r="C71" s="171" t="s">
        <v>262</v>
      </c>
      <c r="D71" s="376"/>
      <c r="E71" s="178"/>
      <c r="F71" s="174" t="s">
        <v>264</v>
      </c>
      <c r="G71" s="172"/>
      <c r="H71" s="171" t="s">
        <v>933</v>
      </c>
      <c r="I71" s="178"/>
      <c r="J71" s="171" t="s">
        <v>1126</v>
      </c>
      <c r="K71" s="178"/>
      <c r="L71" s="174" t="s">
        <v>263</v>
      </c>
      <c r="M71" s="184"/>
      <c r="N71" s="171" t="s">
        <v>629</v>
      </c>
      <c r="O71" s="173"/>
      <c r="P71" s="174" t="s">
        <v>630</v>
      </c>
      <c r="Q71" s="171"/>
      <c r="R71" s="174" t="s">
        <v>631</v>
      </c>
      <c r="T71" s="369"/>
      <c r="U71" s="369"/>
      <c r="V71" s="369"/>
    </row>
    <row r="72" spans="1:22" s="363" customFormat="1" ht="28.2" thickTop="1" x14ac:dyDescent="0.3">
      <c r="A72" s="378"/>
      <c r="B72" s="135" t="s">
        <v>554</v>
      </c>
      <c r="C72" s="378" t="s">
        <v>558</v>
      </c>
      <c r="D72" s="378" t="s">
        <v>436</v>
      </c>
      <c r="E72" s="136"/>
      <c r="F72" s="378" t="s">
        <v>173</v>
      </c>
      <c r="G72" s="136"/>
      <c r="H72" s="489">
        <v>9.8000000000000007</v>
      </c>
      <c r="I72" s="136"/>
      <c r="J72" s="378">
        <v>11.4</v>
      </c>
      <c r="K72" s="409" t="s">
        <v>14</v>
      </c>
      <c r="L72" s="410" t="s">
        <v>14</v>
      </c>
      <c r="M72" s="418"/>
      <c r="N72" s="378" t="s">
        <v>454</v>
      </c>
      <c r="O72" s="418"/>
      <c r="P72" s="378" t="s">
        <v>530</v>
      </c>
      <c r="Q72" s="418"/>
      <c r="R72" s="656" t="s">
        <v>281</v>
      </c>
      <c r="S72" s="378"/>
      <c r="T72" s="378"/>
      <c r="U72" s="378"/>
      <c r="V72" s="378"/>
    </row>
    <row r="73" spans="1:22" ht="27.6" x14ac:dyDescent="0.3">
      <c r="A73" s="82"/>
      <c r="B73" s="175" t="s">
        <v>526</v>
      </c>
      <c r="C73" s="150" t="s">
        <v>529</v>
      </c>
      <c r="D73" s="181" t="s">
        <v>436</v>
      </c>
      <c r="E73" s="153"/>
      <c r="F73" s="150" t="s">
        <v>173</v>
      </c>
      <c r="G73" s="153"/>
      <c r="H73" s="726">
        <v>11</v>
      </c>
      <c r="I73" s="153"/>
      <c r="J73" s="150">
        <v>12.7</v>
      </c>
      <c r="K73" s="411" t="s">
        <v>14</v>
      </c>
      <c r="L73" s="412" t="s">
        <v>14</v>
      </c>
      <c r="M73" s="169"/>
      <c r="N73" s="209" t="s">
        <v>454</v>
      </c>
      <c r="O73" s="169"/>
      <c r="P73" s="151" t="s">
        <v>530</v>
      </c>
      <c r="Q73" s="153"/>
      <c r="R73" s="155" t="s">
        <v>281</v>
      </c>
      <c r="T73" s="369"/>
      <c r="U73" s="369"/>
      <c r="V73" s="369"/>
    </row>
    <row r="74" spans="1:22" x14ac:dyDescent="0.3">
      <c r="A74" s="82"/>
      <c r="B74" s="77"/>
      <c r="C74" s="75"/>
      <c r="D74" s="82"/>
      <c r="E74" s="84"/>
      <c r="F74" s="82"/>
      <c r="G74" s="84"/>
      <c r="H74" s="82"/>
      <c r="I74" s="84"/>
      <c r="J74" s="82"/>
      <c r="K74" s="29"/>
      <c r="L74" s="369"/>
      <c r="N74" s="369"/>
      <c r="P74" s="369"/>
      <c r="R74" s="369"/>
      <c r="T74" s="369"/>
    </row>
    <row r="76" spans="1:22" ht="27.6" x14ac:dyDescent="0.3">
      <c r="A76" s="82"/>
      <c r="B76" s="108" t="s">
        <v>501</v>
      </c>
      <c r="C76" s="116" t="s">
        <v>504</v>
      </c>
      <c r="D76" s="112" t="s">
        <v>433</v>
      </c>
      <c r="E76" s="177"/>
      <c r="F76" s="110" t="s">
        <v>474</v>
      </c>
      <c r="G76" s="170"/>
      <c r="H76" s="168" t="s">
        <v>176</v>
      </c>
      <c r="I76" s="189"/>
      <c r="J76" s="110" t="s">
        <v>204</v>
      </c>
      <c r="K76" s="191"/>
      <c r="L76" s="110" t="s">
        <v>1056</v>
      </c>
      <c r="N76" s="369"/>
      <c r="P76" s="369"/>
      <c r="R76" s="369"/>
      <c r="T76" s="369"/>
    </row>
    <row r="77" spans="1:22" ht="15" thickBot="1" x14ac:dyDescent="0.35">
      <c r="A77" s="82"/>
      <c r="B77" s="173" t="s">
        <v>282</v>
      </c>
      <c r="C77" s="171" t="s">
        <v>265</v>
      </c>
      <c r="D77" s="171"/>
      <c r="E77" s="178"/>
      <c r="F77" s="174" t="s">
        <v>266</v>
      </c>
      <c r="G77" s="172"/>
      <c r="H77" s="171" t="s">
        <v>267</v>
      </c>
      <c r="I77" s="178"/>
      <c r="J77" s="174"/>
      <c r="K77" s="117"/>
      <c r="L77" s="174" t="s">
        <v>283</v>
      </c>
      <c r="N77" s="369"/>
      <c r="P77" s="369"/>
      <c r="R77" s="369"/>
      <c r="T77" s="369"/>
    </row>
    <row r="78" spans="1:22" s="363" customFormat="1" ht="15" thickTop="1" x14ac:dyDescent="0.3">
      <c r="A78" s="378"/>
      <c r="B78" s="135" t="s">
        <v>554</v>
      </c>
      <c r="C78" s="378" t="s">
        <v>559</v>
      </c>
      <c r="D78" s="378" t="s">
        <v>436</v>
      </c>
      <c r="E78" s="134"/>
      <c r="F78" s="264" t="s">
        <v>562</v>
      </c>
      <c r="G78" s="409" t="s">
        <v>14</v>
      </c>
      <c r="H78" s="410" t="s">
        <v>14</v>
      </c>
      <c r="I78" s="409" t="s">
        <v>14</v>
      </c>
      <c r="J78" s="410" t="s">
        <v>14</v>
      </c>
      <c r="K78" s="409" t="s">
        <v>14</v>
      </c>
      <c r="L78" s="410" t="s">
        <v>14</v>
      </c>
      <c r="M78" s="378"/>
      <c r="N78" s="378"/>
      <c r="O78" s="378"/>
      <c r="P78" s="378"/>
      <c r="Q78" s="378"/>
      <c r="R78" s="378"/>
      <c r="S78" s="378"/>
      <c r="T78" s="378"/>
    </row>
    <row r="79" spans="1:22" s="363" customFormat="1" x14ac:dyDescent="0.3">
      <c r="A79" s="378"/>
      <c r="B79" s="135" t="s">
        <v>554</v>
      </c>
      <c r="C79" s="378" t="s">
        <v>560</v>
      </c>
      <c r="D79" s="378" t="s">
        <v>436</v>
      </c>
      <c r="E79" s="134"/>
      <c r="F79" s="378" t="s">
        <v>562</v>
      </c>
      <c r="G79" s="409" t="s">
        <v>14</v>
      </c>
      <c r="H79" s="410" t="s">
        <v>14</v>
      </c>
      <c r="I79" s="409" t="s">
        <v>14</v>
      </c>
      <c r="J79" s="410" t="s">
        <v>14</v>
      </c>
      <c r="K79" s="409" t="s">
        <v>14</v>
      </c>
      <c r="L79" s="410" t="s">
        <v>14</v>
      </c>
      <c r="M79" s="378"/>
      <c r="N79" s="378"/>
      <c r="O79" s="378"/>
      <c r="P79" s="378"/>
      <c r="Q79" s="378"/>
      <c r="R79" s="378"/>
      <c r="S79" s="378"/>
      <c r="T79" s="378"/>
    </row>
    <row r="80" spans="1:22" s="363" customFormat="1" x14ac:dyDescent="0.3">
      <c r="A80" s="378"/>
      <c r="B80" s="135" t="s">
        <v>554</v>
      </c>
      <c r="C80" s="378" t="s">
        <v>561</v>
      </c>
      <c r="D80" s="378" t="s">
        <v>436</v>
      </c>
      <c r="E80" s="134"/>
      <c r="F80" s="378" t="s">
        <v>562</v>
      </c>
      <c r="G80" s="409" t="s">
        <v>14</v>
      </c>
      <c r="H80" s="410" t="s">
        <v>14</v>
      </c>
      <c r="I80" s="409" t="s">
        <v>14</v>
      </c>
      <c r="J80" s="410" t="s">
        <v>14</v>
      </c>
      <c r="K80" s="409" t="s">
        <v>14</v>
      </c>
      <c r="L80" s="410" t="s">
        <v>14</v>
      </c>
      <c r="M80" s="378"/>
      <c r="N80" s="378"/>
      <c r="O80" s="378"/>
      <c r="P80" s="378"/>
      <c r="Q80" s="378"/>
      <c r="R80" s="378"/>
      <c r="S80" s="378"/>
      <c r="T80" s="378"/>
    </row>
    <row r="81" spans="1:22" x14ac:dyDescent="0.3">
      <c r="A81" s="82"/>
      <c r="B81" s="175" t="s">
        <v>526</v>
      </c>
      <c r="C81" s="150" t="s">
        <v>531</v>
      </c>
      <c r="D81" s="181" t="s">
        <v>436</v>
      </c>
      <c r="E81" s="153"/>
      <c r="F81" s="193" t="s">
        <v>815</v>
      </c>
      <c r="G81" s="153"/>
      <c r="H81" s="469">
        <f>0.0051427*(78)+0.3989</f>
        <v>0.80003059999999993</v>
      </c>
      <c r="I81" s="411" t="s">
        <v>14</v>
      </c>
      <c r="J81" s="412" t="s">
        <v>14</v>
      </c>
      <c r="K81" s="169"/>
      <c r="L81" s="155" t="s">
        <v>284</v>
      </c>
      <c r="N81" s="369"/>
      <c r="P81" s="369"/>
      <c r="R81" s="369"/>
      <c r="T81" s="369"/>
    </row>
    <row r="82" spans="1:22" x14ac:dyDescent="0.3">
      <c r="A82" s="82"/>
      <c r="B82" s="384"/>
      <c r="C82" s="384"/>
      <c r="D82" s="397"/>
      <c r="E82" s="362"/>
      <c r="F82" s="397"/>
      <c r="G82" s="362"/>
      <c r="H82" s="397"/>
      <c r="I82" s="362"/>
      <c r="J82" s="397"/>
      <c r="K82" s="362"/>
      <c r="L82" s="397"/>
      <c r="N82" s="369"/>
      <c r="P82" s="369"/>
      <c r="R82" s="369"/>
      <c r="T82" s="369"/>
    </row>
    <row r="83" spans="1:22" x14ac:dyDescent="0.3">
      <c r="A83" s="82"/>
      <c r="B83" s="83"/>
      <c r="C83" s="86"/>
      <c r="D83" s="82"/>
      <c r="E83" s="84"/>
      <c r="F83" s="82"/>
      <c r="G83" s="84"/>
      <c r="H83" s="82"/>
      <c r="I83" s="84"/>
      <c r="J83" s="82"/>
      <c r="K83" s="84"/>
      <c r="L83" s="82"/>
      <c r="M83" s="84"/>
      <c r="N83" s="82"/>
      <c r="O83" s="84"/>
      <c r="P83" s="82"/>
      <c r="Q83" s="84"/>
      <c r="R83" s="82"/>
      <c r="S83" s="84"/>
      <c r="T83" s="82"/>
    </row>
    <row r="84" spans="1:22" ht="27.6" x14ac:dyDescent="0.3">
      <c r="A84" s="82"/>
      <c r="B84" s="108" t="s">
        <v>500</v>
      </c>
      <c r="C84" s="116" t="s">
        <v>506</v>
      </c>
      <c r="D84" s="112" t="s">
        <v>433</v>
      </c>
      <c r="E84" s="177"/>
      <c r="F84" s="110" t="s">
        <v>184</v>
      </c>
      <c r="G84" s="113"/>
      <c r="H84" s="168" t="s">
        <v>277</v>
      </c>
      <c r="I84" s="125"/>
      <c r="J84" s="110" t="s">
        <v>511</v>
      </c>
      <c r="K84" s="125"/>
      <c r="L84" s="110" t="s">
        <v>183</v>
      </c>
      <c r="M84" s="168"/>
      <c r="N84" s="113" t="s">
        <v>205</v>
      </c>
      <c r="O84" s="189"/>
      <c r="P84" s="110" t="s">
        <v>507</v>
      </c>
      <c r="Q84" s="168"/>
      <c r="R84" s="168" t="s">
        <v>206</v>
      </c>
      <c r="S84" s="189"/>
      <c r="T84" s="110" t="s">
        <v>182</v>
      </c>
      <c r="U84" s="84"/>
      <c r="V84" s="369"/>
    </row>
    <row r="85" spans="1:22" ht="15" thickBot="1" x14ac:dyDescent="0.35">
      <c r="A85" s="82"/>
      <c r="B85" s="173" t="s">
        <v>268</v>
      </c>
      <c r="C85" s="171" t="s">
        <v>269</v>
      </c>
      <c r="D85" s="171"/>
      <c r="E85" s="178"/>
      <c r="F85" s="174" t="s">
        <v>270</v>
      </c>
      <c r="G85" s="172"/>
      <c r="H85" s="171" t="s">
        <v>271</v>
      </c>
      <c r="I85" s="178"/>
      <c r="J85" s="174"/>
      <c r="K85" s="178"/>
      <c r="L85" s="174" t="s">
        <v>272</v>
      </c>
      <c r="M85" s="172"/>
      <c r="N85" s="171" t="s">
        <v>273</v>
      </c>
      <c r="O85" s="178"/>
      <c r="P85" s="174" t="s">
        <v>274</v>
      </c>
      <c r="Q85" s="172"/>
      <c r="R85" s="171" t="s">
        <v>275</v>
      </c>
      <c r="S85" s="178"/>
      <c r="T85" s="174" t="s">
        <v>276</v>
      </c>
      <c r="U85" s="84"/>
      <c r="V85" s="369"/>
    </row>
    <row r="86" spans="1:22" s="363" customFormat="1" ht="15" thickTop="1" x14ac:dyDescent="0.3">
      <c r="A86" s="378"/>
      <c r="B86" s="135" t="s">
        <v>557</v>
      </c>
      <c r="C86" s="378" t="s">
        <v>563</v>
      </c>
      <c r="D86" s="378" t="s">
        <v>436</v>
      </c>
      <c r="E86" s="136"/>
      <c r="F86" s="378" t="s">
        <v>482</v>
      </c>
      <c r="G86" s="136"/>
      <c r="H86" s="378" t="s">
        <v>564</v>
      </c>
      <c r="I86" s="409" t="s">
        <v>14</v>
      </c>
      <c r="J86" s="410" t="s">
        <v>14</v>
      </c>
      <c r="K86" s="361" t="s">
        <v>919</v>
      </c>
      <c r="L86" s="90">
        <v>21.67</v>
      </c>
      <c r="M86" s="136"/>
      <c r="N86" s="378">
        <v>0.62</v>
      </c>
      <c r="O86" s="136"/>
      <c r="P86" s="378">
        <v>4</v>
      </c>
      <c r="Q86" s="136"/>
      <c r="R86" s="263">
        <v>25</v>
      </c>
      <c r="S86" s="136"/>
      <c r="T86" s="263">
        <v>0.93600000000000005</v>
      </c>
      <c r="U86" s="84"/>
      <c r="V86" s="378"/>
    </row>
    <row r="87" spans="1:22" x14ac:dyDescent="0.3">
      <c r="A87" s="82"/>
      <c r="B87" s="175" t="s">
        <v>556</v>
      </c>
      <c r="C87" s="150" t="s">
        <v>532</v>
      </c>
      <c r="D87" s="181" t="s">
        <v>436</v>
      </c>
      <c r="E87" s="153"/>
      <c r="F87" s="155" t="s">
        <v>185</v>
      </c>
      <c r="G87" s="153"/>
      <c r="H87" s="150" t="s">
        <v>278</v>
      </c>
      <c r="I87" s="411" t="s">
        <v>14</v>
      </c>
      <c r="J87" s="412" t="s">
        <v>14</v>
      </c>
      <c r="K87" s="153"/>
      <c r="L87" s="235">
        <v>3.2</v>
      </c>
      <c r="M87" s="432" t="s">
        <v>14</v>
      </c>
      <c r="N87" s="432" t="s">
        <v>14</v>
      </c>
      <c r="O87" s="411" t="s">
        <v>14</v>
      </c>
      <c r="P87" s="412" t="s">
        <v>14</v>
      </c>
      <c r="Q87" s="202" t="s">
        <v>919</v>
      </c>
      <c r="R87" s="195">
        <v>3.5</v>
      </c>
      <c r="S87" s="204" t="s">
        <v>919</v>
      </c>
      <c r="T87" s="196">
        <v>0.89500000000000002</v>
      </c>
      <c r="U87" s="84"/>
      <c r="V87" s="369"/>
    </row>
    <row r="88" spans="1:22" x14ac:dyDescent="0.3">
      <c r="A88" s="82"/>
      <c r="B88" s="82"/>
      <c r="C88" s="384"/>
      <c r="D88" s="82"/>
      <c r="E88" s="82"/>
      <c r="F88" s="82"/>
      <c r="G88" s="82"/>
      <c r="H88" s="82"/>
      <c r="I88" s="82"/>
      <c r="J88" s="82"/>
      <c r="K88" s="82"/>
      <c r="L88" s="82"/>
      <c r="M88" s="82"/>
      <c r="N88" s="82"/>
      <c r="O88" s="82"/>
      <c r="P88" s="82"/>
      <c r="Q88" s="82"/>
      <c r="R88" s="82"/>
      <c r="S88" s="82"/>
      <c r="T88" s="369"/>
    </row>
    <row r="89" spans="1:22" x14ac:dyDescent="0.3">
      <c r="A89" s="397"/>
      <c r="B89" s="397"/>
      <c r="C89" s="397"/>
      <c r="D89" s="397"/>
      <c r="E89" s="362"/>
      <c r="F89" s="397"/>
      <c r="G89" s="362"/>
      <c r="H89" s="397"/>
      <c r="I89" s="362"/>
      <c r="J89" s="397"/>
      <c r="K89" s="362"/>
      <c r="L89" s="397"/>
      <c r="M89" s="362"/>
      <c r="N89" s="397"/>
      <c r="O89" s="121"/>
      <c r="P89" s="111"/>
      <c r="Q89" s="82"/>
      <c r="R89" s="82"/>
      <c r="S89" s="82"/>
      <c r="T89" s="82"/>
    </row>
    <row r="90" spans="1:22" x14ac:dyDescent="0.3">
      <c r="A90" s="397"/>
      <c r="B90" s="108" t="s">
        <v>501</v>
      </c>
      <c r="C90" s="113"/>
      <c r="D90" s="142" t="s">
        <v>433</v>
      </c>
      <c r="E90" s="114"/>
      <c r="F90" s="142" t="s">
        <v>538</v>
      </c>
      <c r="G90" s="125"/>
      <c r="H90" s="142" t="s">
        <v>295</v>
      </c>
      <c r="I90" s="362"/>
      <c r="J90" s="397"/>
      <c r="K90" s="362"/>
      <c r="L90" s="397"/>
      <c r="M90" s="362"/>
      <c r="N90" s="397"/>
      <c r="O90" s="121"/>
      <c r="P90" s="111"/>
      <c r="Q90" s="82"/>
      <c r="R90" s="82"/>
      <c r="S90" s="82"/>
      <c r="T90" s="82"/>
    </row>
    <row r="91" spans="1:22" ht="15" thickBot="1" x14ac:dyDescent="0.35">
      <c r="A91" s="397"/>
      <c r="B91" s="173" t="s">
        <v>282</v>
      </c>
      <c r="C91" s="171"/>
      <c r="D91" s="174"/>
      <c r="E91" s="205"/>
      <c r="F91" s="174" t="s">
        <v>289</v>
      </c>
      <c r="G91" s="208"/>
      <c r="H91" s="174" t="s">
        <v>290</v>
      </c>
      <c r="I91" s="362"/>
      <c r="J91" s="397"/>
      <c r="K91" s="362"/>
      <c r="L91" s="397"/>
      <c r="M91" s="362"/>
      <c r="N91" s="397"/>
      <c r="O91" s="121"/>
      <c r="P91" s="111"/>
      <c r="Q91" s="82"/>
      <c r="R91" s="82"/>
      <c r="S91" s="82"/>
      <c r="T91" s="82"/>
    </row>
    <row r="92" spans="1:22" ht="15" thickTop="1" x14ac:dyDescent="0.3">
      <c r="A92" s="397"/>
      <c r="B92" s="135" t="s">
        <v>554</v>
      </c>
      <c r="C92" s="378"/>
      <c r="D92" s="378" t="s">
        <v>436</v>
      </c>
      <c r="E92" s="136"/>
      <c r="F92" s="378" t="s">
        <v>539</v>
      </c>
      <c r="G92" s="136"/>
      <c r="H92" s="263" t="s">
        <v>480</v>
      </c>
      <c r="I92" s="362"/>
      <c r="J92" s="397"/>
      <c r="K92" s="362"/>
      <c r="L92" s="397"/>
      <c r="M92" s="362"/>
      <c r="N92" s="397"/>
      <c r="O92" s="121"/>
      <c r="P92" s="111"/>
      <c r="Q92" s="82"/>
      <c r="R92" s="82"/>
      <c r="S92" s="82"/>
      <c r="T92" s="82"/>
    </row>
    <row r="93" spans="1:22" x14ac:dyDescent="0.3">
      <c r="A93" s="397"/>
      <c r="B93" s="175" t="s">
        <v>526</v>
      </c>
      <c r="C93" s="150"/>
      <c r="D93" s="150" t="s">
        <v>436</v>
      </c>
      <c r="E93" s="153"/>
      <c r="F93" s="155" t="s">
        <v>388</v>
      </c>
      <c r="G93" s="432" t="s">
        <v>14</v>
      </c>
      <c r="H93" s="412" t="s">
        <v>14</v>
      </c>
      <c r="I93" s="362"/>
      <c r="J93" s="397"/>
      <c r="K93" s="362"/>
      <c r="L93" s="397"/>
      <c r="M93" s="362"/>
      <c r="N93" s="397"/>
      <c r="O93" s="121"/>
      <c r="P93" s="111"/>
      <c r="Q93" s="82"/>
      <c r="R93" s="82"/>
      <c r="S93" s="82"/>
      <c r="T93" s="82"/>
    </row>
    <row r="94" spans="1:22" x14ac:dyDescent="0.3">
      <c r="A94" s="397"/>
      <c r="B94" s="85"/>
      <c r="D94" s="85"/>
      <c r="E94" s="85"/>
      <c r="F94" s="85"/>
      <c r="G94" s="85"/>
      <c r="H94" s="85"/>
      <c r="I94" s="85"/>
      <c r="J94" s="397"/>
      <c r="K94" s="362"/>
      <c r="L94" s="397"/>
      <c r="M94" s="362"/>
      <c r="N94" s="397"/>
      <c r="O94" s="121"/>
      <c r="P94" s="111"/>
      <c r="Q94" s="82"/>
      <c r="R94" s="82"/>
      <c r="S94" s="82"/>
      <c r="T94" s="82"/>
    </row>
    <row r="95" spans="1:22" x14ac:dyDescent="0.3">
      <c r="A95" s="82"/>
      <c r="B95" s="85"/>
      <c r="C95" s="83"/>
      <c r="D95" s="397"/>
      <c r="E95" s="82"/>
      <c r="F95" s="82"/>
      <c r="G95" s="82"/>
      <c r="H95" s="82"/>
      <c r="I95" s="82"/>
      <c r="J95" s="82"/>
      <c r="K95" s="82"/>
      <c r="L95" s="82"/>
      <c r="M95" s="82"/>
      <c r="N95" s="82"/>
      <c r="O95" s="82"/>
      <c r="P95" s="82"/>
      <c r="Q95" s="82"/>
      <c r="R95" s="82"/>
      <c r="S95" s="82"/>
      <c r="T95" s="82"/>
    </row>
    <row r="96" spans="1:22" ht="27.6" x14ac:dyDescent="0.3">
      <c r="A96" s="82"/>
      <c r="B96" s="108" t="s">
        <v>505</v>
      </c>
      <c r="C96" s="113" t="s">
        <v>291</v>
      </c>
      <c r="D96" s="373"/>
      <c r="E96" s="207"/>
      <c r="F96" s="142" t="s">
        <v>292</v>
      </c>
      <c r="G96" s="125"/>
      <c r="H96" s="142" t="s">
        <v>293</v>
      </c>
      <c r="I96" s="362"/>
      <c r="J96" s="397"/>
      <c r="K96" s="362"/>
      <c r="L96" s="397"/>
      <c r="M96" s="82"/>
      <c r="N96" s="82"/>
      <c r="O96" s="397"/>
      <c r="P96" s="397"/>
      <c r="Q96" s="397"/>
      <c r="R96" s="397"/>
      <c r="S96" s="397"/>
      <c r="T96" s="397"/>
    </row>
    <row r="97" spans="1:26" ht="15" thickBot="1" x14ac:dyDescent="0.35">
      <c r="A97" s="82"/>
      <c r="B97" s="173" t="s">
        <v>285</v>
      </c>
      <c r="C97" s="171" t="s">
        <v>286</v>
      </c>
      <c r="D97" s="376"/>
      <c r="E97" s="208"/>
      <c r="F97" s="174" t="s">
        <v>287</v>
      </c>
      <c r="G97" s="208"/>
      <c r="H97" s="174" t="s">
        <v>288</v>
      </c>
      <c r="I97" s="362"/>
      <c r="J97" s="397"/>
      <c r="K97" s="362"/>
      <c r="L97" s="397"/>
      <c r="M97" s="82"/>
      <c r="N97" s="82"/>
      <c r="O97" s="397"/>
      <c r="P97" s="397"/>
      <c r="Q97" s="397"/>
      <c r="R97" s="397"/>
      <c r="S97" s="397"/>
      <c r="T97" s="397"/>
    </row>
    <row r="98" spans="1:26" ht="15" thickTop="1" x14ac:dyDescent="0.3">
      <c r="A98" s="82"/>
      <c r="B98" s="137" t="s">
        <v>207</v>
      </c>
      <c r="C98" s="85" t="s">
        <v>297</v>
      </c>
      <c r="D98" s="99"/>
      <c r="E98" s="136"/>
      <c r="F98" s="146" t="s">
        <v>415</v>
      </c>
      <c r="G98" s="136"/>
      <c r="H98" s="146" t="s">
        <v>416</v>
      </c>
      <c r="I98" s="362"/>
      <c r="J98" s="397"/>
      <c r="K98" s="362"/>
      <c r="L98" s="397"/>
      <c r="M98" s="82"/>
      <c r="N98" s="82"/>
      <c r="O98" s="397"/>
      <c r="P98" s="397"/>
      <c r="Q98" s="397"/>
      <c r="R98" s="397"/>
      <c r="S98" s="397"/>
      <c r="T98" s="397"/>
    </row>
    <row r="99" spans="1:26" x14ac:dyDescent="0.3">
      <c r="A99" s="82"/>
      <c r="B99" s="137" t="s">
        <v>208</v>
      </c>
      <c r="C99" s="85" t="s">
        <v>297</v>
      </c>
      <c r="D99" s="99"/>
      <c r="E99" s="136"/>
      <c r="F99" s="146" t="s">
        <v>415</v>
      </c>
      <c r="G99" s="136"/>
      <c r="H99" s="146" t="s">
        <v>416</v>
      </c>
      <c r="I99" s="362"/>
      <c r="J99" s="397"/>
      <c r="K99" s="362"/>
      <c r="L99" s="397"/>
      <c r="M99" s="82"/>
      <c r="N99" s="82"/>
      <c r="O99" s="397"/>
      <c r="P99" s="397"/>
      <c r="Q99" s="397"/>
      <c r="R99" s="397"/>
      <c r="S99" s="397"/>
      <c r="T99" s="397"/>
    </row>
    <row r="100" spans="1:26" x14ac:dyDescent="0.3">
      <c r="A100" s="82"/>
      <c r="B100" s="124" t="s">
        <v>209</v>
      </c>
      <c r="C100" s="85" t="s">
        <v>296</v>
      </c>
      <c r="E100" s="409" t="s">
        <v>14</v>
      </c>
      <c r="F100" s="410" t="s">
        <v>14</v>
      </c>
      <c r="G100" s="409" t="s">
        <v>14</v>
      </c>
      <c r="H100" s="410" t="s">
        <v>14</v>
      </c>
      <c r="I100" s="362"/>
      <c r="J100" s="397"/>
      <c r="K100" s="362"/>
      <c r="L100" s="397"/>
      <c r="M100" s="82"/>
      <c r="N100" s="82"/>
      <c r="O100" s="397"/>
      <c r="P100" s="397"/>
      <c r="Q100" s="397"/>
      <c r="R100" s="397"/>
      <c r="S100" s="397"/>
      <c r="T100" s="397"/>
    </row>
    <row r="101" spans="1:26" x14ac:dyDescent="0.3">
      <c r="A101" s="82"/>
      <c r="B101" s="124" t="s">
        <v>210</v>
      </c>
      <c r="C101" s="85" t="s">
        <v>297</v>
      </c>
      <c r="E101" s="136"/>
      <c r="F101" s="146" t="s">
        <v>415</v>
      </c>
      <c r="G101" s="136"/>
      <c r="H101" s="146" t="s">
        <v>416</v>
      </c>
      <c r="I101" s="362"/>
      <c r="J101" s="397"/>
      <c r="K101" s="362"/>
      <c r="L101" s="397"/>
      <c r="M101" s="82"/>
      <c r="N101" s="82"/>
      <c r="O101" s="397"/>
      <c r="P101" s="397"/>
      <c r="Q101" s="397"/>
      <c r="R101" s="397"/>
      <c r="S101" s="397"/>
      <c r="T101" s="397"/>
    </row>
    <row r="102" spans="1:26" x14ac:dyDescent="0.3">
      <c r="A102" s="82"/>
      <c r="B102" s="175" t="s">
        <v>211</v>
      </c>
      <c r="C102" s="150" t="s">
        <v>297</v>
      </c>
      <c r="D102" s="151"/>
      <c r="E102" s="153"/>
      <c r="F102" s="155" t="s">
        <v>415</v>
      </c>
      <c r="G102" s="153"/>
      <c r="H102" s="155" t="s">
        <v>416</v>
      </c>
      <c r="I102" s="362"/>
      <c r="J102" s="397"/>
      <c r="K102" s="362"/>
      <c r="L102" s="397"/>
      <c r="M102" s="82"/>
      <c r="N102" s="82"/>
      <c r="O102" s="397"/>
      <c r="P102" s="397"/>
      <c r="Q102" s="397"/>
      <c r="R102" s="397"/>
      <c r="S102" s="397"/>
      <c r="T102" s="397"/>
    </row>
    <row r="103" spans="1:26" x14ac:dyDescent="0.3">
      <c r="A103" s="397"/>
      <c r="B103" s="397"/>
      <c r="C103" s="397"/>
      <c r="D103" s="397"/>
      <c r="E103" s="362"/>
      <c r="F103" s="397"/>
      <c r="G103" s="362"/>
      <c r="H103" s="397"/>
      <c r="I103" s="362"/>
      <c r="J103" s="397"/>
      <c r="K103" s="362"/>
      <c r="L103" s="397"/>
      <c r="M103" s="362"/>
      <c r="N103" s="397"/>
      <c r="O103" s="121"/>
      <c r="P103" s="111"/>
      <c r="Q103" s="82"/>
      <c r="R103" s="82"/>
      <c r="S103" s="82"/>
      <c r="T103" s="82"/>
    </row>
    <row r="104" spans="1:26" x14ac:dyDescent="0.3">
      <c r="A104" s="26"/>
      <c r="B104" s="28" t="s">
        <v>487</v>
      </c>
      <c r="D104" s="15"/>
      <c r="E104" s="362"/>
      <c r="F104" s="397"/>
      <c r="G104" s="362"/>
      <c r="H104" s="397"/>
      <c r="I104" s="362"/>
      <c r="J104" s="397"/>
      <c r="K104" s="362"/>
      <c r="L104" s="397"/>
      <c r="M104" s="362"/>
      <c r="N104" s="397"/>
      <c r="O104" s="121"/>
      <c r="P104" s="111"/>
      <c r="Q104" s="362"/>
      <c r="R104" s="397"/>
      <c r="S104" s="362"/>
      <c r="T104" s="397"/>
    </row>
    <row r="105" spans="1:26" ht="27.6" x14ac:dyDescent="0.3">
      <c r="A105" s="397"/>
      <c r="B105" s="108" t="s">
        <v>488</v>
      </c>
      <c r="C105" s="389"/>
      <c r="D105" s="112" t="s">
        <v>433</v>
      </c>
      <c r="E105" s="231"/>
      <c r="F105" s="109" t="s">
        <v>836</v>
      </c>
      <c r="G105" s="210"/>
      <c r="H105" s="116" t="s">
        <v>489</v>
      </c>
      <c r="I105" s="231"/>
      <c r="J105" s="109" t="s">
        <v>490</v>
      </c>
      <c r="K105" s="455"/>
      <c r="L105" s="456" t="s">
        <v>491</v>
      </c>
      <c r="M105" s="231"/>
      <c r="N105" s="109" t="s">
        <v>739</v>
      </c>
      <c r="O105" s="121"/>
      <c r="P105" s="111"/>
      <c r="Q105" s="362"/>
      <c r="R105" s="397"/>
      <c r="S105" s="362"/>
      <c r="T105" s="397"/>
    </row>
    <row r="106" spans="1:26" ht="15" thickBot="1" x14ac:dyDescent="0.35">
      <c r="A106" s="397"/>
      <c r="B106" s="212"/>
      <c r="C106" s="376"/>
      <c r="D106" s="211"/>
      <c r="E106" s="375"/>
      <c r="F106" s="355" t="s">
        <v>1057</v>
      </c>
      <c r="G106" s="376"/>
      <c r="H106" s="354" t="s">
        <v>1058</v>
      </c>
      <c r="I106" s="230"/>
      <c r="J106" s="355" t="s">
        <v>1059</v>
      </c>
      <c r="K106" s="211"/>
      <c r="L106" s="354" t="s">
        <v>611</v>
      </c>
      <c r="M106" s="230"/>
      <c r="N106" s="355" t="s">
        <v>1060</v>
      </c>
      <c r="O106" s="121"/>
      <c r="P106" s="111"/>
      <c r="Q106" s="362"/>
      <c r="R106" s="397"/>
      <c r="S106" s="362"/>
      <c r="T106" s="397"/>
    </row>
    <row r="107" spans="1:26" ht="15" thickTop="1" x14ac:dyDescent="0.3">
      <c r="A107" s="397"/>
      <c r="B107" s="356">
        <v>2</v>
      </c>
      <c r="C107" s="379"/>
      <c r="D107" s="181" t="s">
        <v>436</v>
      </c>
      <c r="E107" s="707" t="s">
        <v>919</v>
      </c>
      <c r="F107" s="195">
        <v>240681</v>
      </c>
      <c r="G107" s="359"/>
      <c r="H107" s="150">
        <v>0.82250000000000001</v>
      </c>
      <c r="I107" s="165"/>
      <c r="J107" s="155" t="s">
        <v>475</v>
      </c>
      <c r="K107" s="164"/>
      <c r="L107" s="150" t="s">
        <v>493</v>
      </c>
      <c r="M107" s="165"/>
      <c r="N107" s="155">
        <v>0.25</v>
      </c>
      <c r="O107" s="121"/>
      <c r="P107" s="111"/>
      <c r="Q107" s="362"/>
      <c r="R107" s="397"/>
      <c r="S107" s="362"/>
      <c r="T107" s="397"/>
    </row>
    <row r="108" spans="1:26" x14ac:dyDescent="0.3">
      <c r="A108" s="397"/>
      <c r="B108" s="397"/>
      <c r="C108" s="397"/>
      <c r="D108" s="362"/>
      <c r="E108" s="362"/>
      <c r="F108" s="397"/>
      <c r="G108" s="362"/>
      <c r="H108" s="397"/>
      <c r="I108" s="362"/>
      <c r="J108" s="397"/>
      <c r="K108" s="362"/>
      <c r="L108" s="397"/>
      <c r="M108" s="362"/>
      <c r="N108" s="397"/>
      <c r="O108" s="362"/>
      <c r="P108" s="397"/>
      <c r="Q108" s="362"/>
      <c r="R108" s="397"/>
      <c r="S108" s="362"/>
      <c r="T108" s="397"/>
    </row>
    <row r="109" spans="1:26" s="36" customFormat="1" ht="27.6" x14ac:dyDescent="0.3">
      <c r="A109" s="82"/>
      <c r="B109" s="125" t="s">
        <v>750</v>
      </c>
      <c r="C109" s="113" t="s">
        <v>751</v>
      </c>
      <c r="D109" s="113" t="s">
        <v>433</v>
      </c>
      <c r="E109" s="125"/>
      <c r="F109" s="142" t="s">
        <v>760</v>
      </c>
      <c r="G109" s="113"/>
      <c r="H109" s="113" t="s">
        <v>761</v>
      </c>
      <c r="I109" s="125"/>
      <c r="J109" s="142" t="s">
        <v>1109</v>
      </c>
      <c r="K109" s="207"/>
      <c r="L109" s="113" t="s">
        <v>764</v>
      </c>
      <c r="M109" s="207"/>
      <c r="N109" s="142" t="s">
        <v>772</v>
      </c>
      <c r="O109" s="113"/>
      <c r="P109" s="113" t="s">
        <v>773</v>
      </c>
      <c r="Q109" s="125"/>
      <c r="R109" s="142" t="s">
        <v>492</v>
      </c>
      <c r="S109" s="113"/>
      <c r="T109" s="142" t="s">
        <v>1051</v>
      </c>
      <c r="U109" s="87"/>
      <c r="V109" s="86"/>
      <c r="W109" s="87"/>
      <c r="X109" s="86"/>
      <c r="Y109" s="87"/>
      <c r="Z109" s="86"/>
    </row>
    <row r="110" spans="1:26" s="448" customFormat="1" thickBot="1" x14ac:dyDescent="0.35">
      <c r="A110" s="82"/>
      <c r="B110" s="178"/>
      <c r="C110" s="171"/>
      <c r="D110" s="172"/>
      <c r="E110" s="173"/>
      <c r="F110" s="355" t="s">
        <v>1061</v>
      </c>
      <c r="G110" s="171"/>
      <c r="H110" s="355" t="s">
        <v>1066</v>
      </c>
      <c r="I110" s="173"/>
      <c r="J110" s="355" t="s">
        <v>1110</v>
      </c>
      <c r="K110" s="173"/>
      <c r="L110" s="355" t="s">
        <v>1062</v>
      </c>
      <c r="M110" s="173"/>
      <c r="N110" s="355" t="s">
        <v>1063</v>
      </c>
      <c r="O110" s="171"/>
      <c r="P110" s="355" t="s">
        <v>1064</v>
      </c>
      <c r="Q110" s="173"/>
      <c r="R110" s="355" t="s">
        <v>1065</v>
      </c>
      <c r="S110" s="171"/>
      <c r="T110" s="174" t="s">
        <v>774</v>
      </c>
      <c r="U110" s="87"/>
      <c r="V110" s="86"/>
      <c r="W110" s="87"/>
      <c r="X110" s="86"/>
      <c r="Y110" s="87"/>
      <c r="Z110" s="86"/>
    </row>
    <row r="111" spans="1:26" s="364" customFormat="1" ht="12.75" customHeight="1" thickTop="1" x14ac:dyDescent="0.3">
      <c r="A111" s="378"/>
      <c r="B111" s="135" t="s">
        <v>936</v>
      </c>
      <c r="C111" s="371" t="s">
        <v>937</v>
      </c>
      <c r="D111" s="378" t="s">
        <v>436</v>
      </c>
      <c r="E111" s="136"/>
      <c r="F111" s="371" t="s">
        <v>494</v>
      </c>
      <c r="G111" s="136"/>
      <c r="H111" s="378" t="s">
        <v>762</v>
      </c>
      <c r="I111" s="479" t="s">
        <v>919</v>
      </c>
      <c r="J111" s="587">
        <f>ROUND(F107/500.19/40,2)</f>
        <v>12.03</v>
      </c>
      <c r="K111" s="136"/>
      <c r="L111" s="665" t="str">
        <f>ROUND(19*J111/1000,2)&amp;" (19 W/gpm)"</f>
        <v>0.23 (19 W/gpm)</v>
      </c>
      <c r="M111" s="136"/>
      <c r="N111" s="371">
        <v>0.5</v>
      </c>
      <c r="O111" s="479" t="s">
        <v>919</v>
      </c>
      <c r="P111" s="587">
        <f>ROUND(19/745.6*3960*R111*0.7,1)</f>
        <v>60.4</v>
      </c>
      <c r="Q111" s="136"/>
      <c r="R111" s="371">
        <v>0.85499999999999998</v>
      </c>
      <c r="S111" s="409" t="s">
        <v>14</v>
      </c>
      <c r="T111" s="410" t="s">
        <v>14</v>
      </c>
      <c r="U111" s="87"/>
      <c r="V111" s="86"/>
      <c r="W111" s="87"/>
      <c r="X111" s="86"/>
      <c r="Y111" s="87"/>
      <c r="Z111" s="86"/>
    </row>
    <row r="112" spans="1:26" s="364" customFormat="1" ht="12.75" customHeight="1" x14ac:dyDescent="0.3">
      <c r="A112" s="378"/>
      <c r="B112" s="316" t="s">
        <v>936</v>
      </c>
      <c r="C112" s="160" t="s">
        <v>1331</v>
      </c>
      <c r="D112" s="158" t="s">
        <v>436</v>
      </c>
      <c r="E112" s="421"/>
      <c r="F112" s="160" t="s">
        <v>494</v>
      </c>
      <c r="G112" s="421"/>
      <c r="H112" s="158" t="s">
        <v>762</v>
      </c>
      <c r="I112" s="204" t="s">
        <v>919</v>
      </c>
      <c r="J112" s="723">
        <f>ROUND(F107/500.19/40,2)</f>
        <v>12.03</v>
      </c>
      <c r="K112" s="421"/>
      <c r="L112" s="724" t="str">
        <f>ROUND(19*J112/1000,2)&amp;" (19 W/gpm)"</f>
        <v>0.23 (19 W/gpm)</v>
      </c>
      <c r="M112" s="421"/>
      <c r="N112" s="166">
        <v>0.5</v>
      </c>
      <c r="O112" s="204" t="s">
        <v>919</v>
      </c>
      <c r="P112" s="725">
        <f>ROUND(19/745.6*3960*R112*0.7,1)</f>
        <v>60.4</v>
      </c>
      <c r="Q112" s="421"/>
      <c r="R112" s="160">
        <v>0.85499999999999998</v>
      </c>
      <c r="S112" s="411" t="s">
        <v>14</v>
      </c>
      <c r="T112" s="412" t="s">
        <v>14</v>
      </c>
      <c r="U112" s="87"/>
      <c r="V112" s="86"/>
      <c r="W112" s="87"/>
      <c r="X112" s="86"/>
      <c r="Y112" s="87"/>
      <c r="Z112" s="86"/>
    </row>
    <row r="113" spans="1:20" s="86" customFormat="1" ht="13.8" x14ac:dyDescent="0.3">
      <c r="A113" s="82"/>
      <c r="B113" s="85"/>
      <c r="C113" s="83"/>
      <c r="E113" s="362"/>
      <c r="G113" s="25"/>
      <c r="I113" s="87"/>
      <c r="K113" s="87"/>
      <c r="M113" s="87"/>
      <c r="O113" s="87"/>
      <c r="Q113" s="87"/>
      <c r="S113" s="87"/>
    </row>
    <row r="114" spans="1:20" s="86" customFormat="1" ht="13.8" x14ac:dyDescent="0.3">
      <c r="A114" s="82"/>
      <c r="B114" s="85"/>
      <c r="C114" s="83"/>
      <c r="E114" s="362"/>
      <c r="G114" s="25"/>
      <c r="I114" s="87"/>
      <c r="K114" s="87"/>
      <c r="M114" s="87"/>
      <c r="O114" s="87"/>
      <c r="Q114" s="87"/>
      <c r="S114" s="87"/>
    </row>
    <row r="115" spans="1:20" s="86" customFormat="1" ht="13.8" x14ac:dyDescent="0.3">
      <c r="A115" s="291"/>
      <c r="B115" s="291" t="s">
        <v>48</v>
      </c>
      <c r="C115" s="292"/>
      <c r="D115" s="290"/>
      <c r="E115" s="292"/>
      <c r="F115" s="290"/>
      <c r="G115" s="293"/>
      <c r="H115" s="290"/>
      <c r="I115" s="292"/>
      <c r="J115" s="290"/>
      <c r="K115" s="292"/>
      <c r="L115" s="290"/>
      <c r="M115" s="290"/>
      <c r="N115" s="290"/>
      <c r="O115" s="292"/>
      <c r="P115" s="290"/>
      <c r="Q115" s="292"/>
      <c r="R115" s="292"/>
      <c r="S115" s="292"/>
      <c r="T115" s="292"/>
    </row>
    <row r="116" spans="1:20" s="86" customFormat="1" ht="13.8" x14ac:dyDescent="0.3">
      <c r="A116" s="24"/>
      <c r="B116" s="24" t="s">
        <v>9</v>
      </c>
      <c r="C116" s="87"/>
      <c r="E116" s="84"/>
      <c r="F116" s="369"/>
      <c r="G116" s="84"/>
      <c r="H116" s="369"/>
      <c r="I116" s="84"/>
      <c r="J116" s="369"/>
      <c r="K116" s="84"/>
      <c r="L116" s="369"/>
      <c r="M116" s="84"/>
      <c r="N116" s="369"/>
      <c r="O116" s="84"/>
      <c r="P116" s="369"/>
      <c r="Q116" s="84"/>
      <c r="R116" s="63"/>
      <c r="S116" s="84"/>
      <c r="T116" s="63"/>
    </row>
    <row r="117" spans="1:20" x14ac:dyDescent="0.3">
      <c r="A117" s="86"/>
      <c r="B117" s="84" t="s">
        <v>17</v>
      </c>
      <c r="C117" s="87"/>
      <c r="D117" s="86"/>
      <c r="E117" s="86"/>
      <c r="G117" s="86"/>
      <c r="H117" s="87"/>
      <c r="I117" s="86"/>
      <c r="J117" s="87"/>
      <c r="K117" s="84"/>
      <c r="L117" s="87"/>
      <c r="M117" s="84"/>
      <c r="N117" s="87"/>
      <c r="O117" s="84"/>
      <c r="P117" s="77"/>
      <c r="Q117" s="84"/>
      <c r="R117" s="77"/>
      <c r="S117" s="84"/>
      <c r="T117" s="77"/>
    </row>
    <row r="118" spans="1:20" ht="41.4" x14ac:dyDescent="0.3">
      <c r="A118" s="84"/>
      <c r="B118" s="132" t="s">
        <v>137</v>
      </c>
      <c r="C118" s="113" t="s">
        <v>31</v>
      </c>
      <c r="D118" s="112" t="s">
        <v>433</v>
      </c>
      <c r="E118" s="132"/>
      <c r="F118" s="113" t="s">
        <v>49</v>
      </c>
      <c r="G118" s="132"/>
      <c r="H118" s="113" t="s">
        <v>11</v>
      </c>
      <c r="I118" s="132"/>
      <c r="J118" s="142" t="s">
        <v>495</v>
      </c>
      <c r="K118" s="138"/>
      <c r="L118" s="142" t="s">
        <v>496</v>
      </c>
      <c r="M118" s="115"/>
      <c r="N118" s="113" t="s">
        <v>497</v>
      </c>
      <c r="O118" s="138"/>
      <c r="P118" s="109" t="s">
        <v>498</v>
      </c>
      <c r="Q118" s="115"/>
      <c r="R118" s="109" t="s">
        <v>499</v>
      </c>
      <c r="S118" s="84"/>
      <c r="T118" s="77"/>
    </row>
    <row r="119" spans="1:20" ht="15" thickBot="1" x14ac:dyDescent="0.35">
      <c r="A119" s="76"/>
      <c r="B119" s="126"/>
      <c r="C119" s="117" t="s">
        <v>23</v>
      </c>
      <c r="D119" s="118"/>
      <c r="E119" s="133"/>
      <c r="F119" s="117" t="s">
        <v>50</v>
      </c>
      <c r="G119" s="133"/>
      <c r="H119" s="117" t="s">
        <v>25</v>
      </c>
      <c r="I119" s="139"/>
      <c r="J119" s="143" t="s">
        <v>24</v>
      </c>
      <c r="K119" s="139"/>
      <c r="L119" s="143" t="s">
        <v>140</v>
      </c>
      <c r="M119" s="118"/>
      <c r="N119" s="117" t="s">
        <v>141</v>
      </c>
      <c r="O119" s="139"/>
      <c r="P119" s="143" t="s">
        <v>142</v>
      </c>
      <c r="Q119" s="117"/>
      <c r="R119" s="143" t="s">
        <v>143</v>
      </c>
      <c r="S119" s="84"/>
      <c r="T119" s="77"/>
    </row>
    <row r="120" spans="1:20" ht="15" thickTop="1" x14ac:dyDescent="0.3">
      <c r="B120" s="123" t="s">
        <v>10</v>
      </c>
      <c r="C120" s="85" t="s">
        <v>1332</v>
      </c>
      <c r="D120" s="369" t="s">
        <v>521</v>
      </c>
      <c r="E120" s="134"/>
      <c r="F120" s="85" t="s">
        <v>321</v>
      </c>
      <c r="G120" s="134"/>
      <c r="H120" s="85" t="s">
        <v>544</v>
      </c>
      <c r="I120" s="220"/>
      <c r="J120" s="144">
        <v>4.1000000000000002E-2</v>
      </c>
      <c r="K120" s="134"/>
      <c r="L120" s="147">
        <v>0.85</v>
      </c>
      <c r="M120" s="141"/>
      <c r="N120" s="63">
        <v>0.85</v>
      </c>
      <c r="O120" s="134"/>
      <c r="P120" s="147">
        <v>0.63</v>
      </c>
      <c r="Q120" s="141"/>
      <c r="R120" s="147">
        <v>0.37</v>
      </c>
      <c r="S120" s="84"/>
      <c r="T120" s="77"/>
    </row>
    <row r="121" spans="1:20" x14ac:dyDescent="0.3">
      <c r="B121" s="123" t="s">
        <v>10</v>
      </c>
      <c r="C121" s="85" t="s">
        <v>1326</v>
      </c>
      <c r="D121" s="369" t="s">
        <v>521</v>
      </c>
      <c r="E121" s="134"/>
      <c r="F121" s="85" t="s">
        <v>321</v>
      </c>
      <c r="G121" s="134"/>
      <c r="H121" s="85" t="s">
        <v>30</v>
      </c>
      <c r="I121" s="221"/>
      <c r="J121" s="144">
        <v>4.9000000000000002E-2</v>
      </c>
      <c r="K121" s="134"/>
      <c r="L121" s="147">
        <v>0.85</v>
      </c>
      <c r="M121" s="141"/>
      <c r="N121" s="63">
        <v>0.85</v>
      </c>
      <c r="O121" s="134"/>
      <c r="P121" s="147">
        <v>0.63</v>
      </c>
      <c r="Q121" s="141"/>
      <c r="R121" s="147">
        <v>0.37</v>
      </c>
      <c r="S121" s="84"/>
      <c r="T121" s="77"/>
    </row>
    <row r="122" spans="1:20" x14ac:dyDescent="0.3">
      <c r="B122" s="123" t="s">
        <v>10</v>
      </c>
      <c r="C122" s="85" t="s">
        <v>615</v>
      </c>
      <c r="D122" s="369" t="s">
        <v>435</v>
      </c>
      <c r="E122" s="134"/>
      <c r="F122" s="85" t="s">
        <v>321</v>
      </c>
      <c r="G122" s="134"/>
      <c r="H122" s="85" t="s">
        <v>30</v>
      </c>
      <c r="I122" s="221"/>
      <c r="J122" s="144">
        <v>1.282</v>
      </c>
      <c r="K122" s="134"/>
      <c r="L122" s="147">
        <v>0.85</v>
      </c>
      <c r="M122" s="141"/>
      <c r="N122" s="63">
        <v>0.85</v>
      </c>
      <c r="O122" s="134"/>
      <c r="P122" s="147">
        <v>0.63</v>
      </c>
      <c r="Q122" s="141"/>
      <c r="R122" s="147">
        <v>0.37</v>
      </c>
      <c r="S122" s="84"/>
      <c r="T122" s="77"/>
    </row>
    <row r="123" spans="1:20" x14ac:dyDescent="0.3">
      <c r="B123" s="123" t="s">
        <v>10</v>
      </c>
      <c r="C123" s="85" t="s">
        <v>1326</v>
      </c>
      <c r="D123" s="369" t="s">
        <v>435</v>
      </c>
      <c r="E123" s="134"/>
      <c r="F123" s="85" t="s">
        <v>321</v>
      </c>
      <c r="G123" s="134"/>
      <c r="H123" s="85" t="s">
        <v>30</v>
      </c>
      <c r="I123" s="221"/>
      <c r="J123" s="144">
        <v>4.9000000000000002E-2</v>
      </c>
      <c r="K123" s="134"/>
      <c r="L123" s="147">
        <v>0.85</v>
      </c>
      <c r="M123" s="141"/>
      <c r="N123" s="63">
        <v>0.85</v>
      </c>
      <c r="O123" s="134"/>
      <c r="P123" s="147">
        <v>0.63</v>
      </c>
      <c r="Q123" s="141"/>
      <c r="R123" s="147">
        <v>0.37</v>
      </c>
      <c r="S123" s="84"/>
      <c r="T123" s="77"/>
    </row>
    <row r="124" spans="1:20" x14ac:dyDescent="0.3">
      <c r="B124" s="123" t="s">
        <v>15</v>
      </c>
      <c r="C124" s="85" t="s">
        <v>1115</v>
      </c>
      <c r="D124" s="369" t="s">
        <v>521</v>
      </c>
      <c r="E124" s="409" t="s">
        <v>14</v>
      </c>
      <c r="F124" s="472" t="s">
        <v>14</v>
      </c>
      <c r="G124" s="134"/>
      <c r="H124" s="85" t="s">
        <v>16</v>
      </c>
      <c r="I124" s="221"/>
      <c r="J124" s="144">
        <v>6.9000000000000006E-2</v>
      </c>
      <c r="K124" s="409" t="s">
        <v>14</v>
      </c>
      <c r="L124" s="410" t="s">
        <v>14</v>
      </c>
      <c r="M124" s="428" t="s">
        <v>14</v>
      </c>
      <c r="N124" s="428" t="s">
        <v>14</v>
      </c>
      <c r="O124" s="409" t="s">
        <v>14</v>
      </c>
      <c r="P124" s="410" t="s">
        <v>14</v>
      </c>
      <c r="Q124" s="428" t="s">
        <v>14</v>
      </c>
      <c r="R124" s="410" t="s">
        <v>14</v>
      </c>
      <c r="S124" s="84"/>
      <c r="T124" s="77"/>
    </row>
    <row r="125" spans="1:20" x14ac:dyDescent="0.3">
      <c r="B125" s="123" t="s">
        <v>15</v>
      </c>
      <c r="C125" s="85" t="s">
        <v>616</v>
      </c>
      <c r="D125" s="369" t="s">
        <v>521</v>
      </c>
      <c r="E125" s="409" t="s">
        <v>14</v>
      </c>
      <c r="F125" s="472" t="s">
        <v>14</v>
      </c>
      <c r="G125" s="134"/>
      <c r="H125" s="85" t="s">
        <v>551</v>
      </c>
      <c r="I125" s="221"/>
      <c r="J125" s="144">
        <v>0.113</v>
      </c>
      <c r="K125" s="409" t="s">
        <v>14</v>
      </c>
      <c r="L125" s="410" t="s">
        <v>14</v>
      </c>
      <c r="M125" s="428" t="s">
        <v>14</v>
      </c>
      <c r="N125" s="428" t="s">
        <v>14</v>
      </c>
      <c r="O125" s="409" t="s">
        <v>14</v>
      </c>
      <c r="P125" s="410" t="s">
        <v>14</v>
      </c>
      <c r="Q125" s="428" t="s">
        <v>14</v>
      </c>
      <c r="R125" s="410" t="s">
        <v>14</v>
      </c>
      <c r="S125" s="84"/>
      <c r="T125" s="77"/>
    </row>
    <row r="126" spans="1:20" x14ac:dyDescent="0.3">
      <c r="B126" s="123" t="s">
        <v>15</v>
      </c>
      <c r="C126" s="85" t="s">
        <v>1115</v>
      </c>
      <c r="D126" s="369" t="s">
        <v>435</v>
      </c>
      <c r="E126" s="409" t="s">
        <v>14</v>
      </c>
      <c r="F126" s="472" t="s">
        <v>14</v>
      </c>
      <c r="G126" s="134"/>
      <c r="H126" s="85" t="s">
        <v>16</v>
      </c>
      <c r="I126" s="221"/>
      <c r="J126" s="144">
        <v>6.9000000000000006E-2</v>
      </c>
      <c r="K126" s="409" t="s">
        <v>14</v>
      </c>
      <c r="L126" s="410" t="s">
        <v>14</v>
      </c>
      <c r="M126" s="428" t="s">
        <v>14</v>
      </c>
      <c r="N126" s="428" t="s">
        <v>14</v>
      </c>
      <c r="O126" s="409" t="s">
        <v>14</v>
      </c>
      <c r="P126" s="410" t="s">
        <v>14</v>
      </c>
      <c r="Q126" s="428" t="s">
        <v>14</v>
      </c>
      <c r="R126" s="410" t="s">
        <v>14</v>
      </c>
      <c r="S126" s="84"/>
      <c r="T126" s="77"/>
    </row>
    <row r="127" spans="1:20" x14ac:dyDescent="0.3">
      <c r="B127" s="123" t="s">
        <v>15</v>
      </c>
      <c r="C127" s="85" t="s">
        <v>617</v>
      </c>
      <c r="D127" s="369" t="s">
        <v>521</v>
      </c>
      <c r="E127" s="409" t="s">
        <v>14</v>
      </c>
      <c r="F127" s="472" t="s">
        <v>14</v>
      </c>
      <c r="G127" s="134"/>
      <c r="H127" s="85" t="s">
        <v>553</v>
      </c>
      <c r="I127" s="221"/>
      <c r="J127" s="144">
        <v>0.44</v>
      </c>
      <c r="K127" s="409" t="s">
        <v>14</v>
      </c>
      <c r="L127" s="410" t="s">
        <v>14</v>
      </c>
      <c r="M127" s="428" t="s">
        <v>14</v>
      </c>
      <c r="N127" s="428" t="s">
        <v>14</v>
      </c>
      <c r="O127" s="409" t="s">
        <v>14</v>
      </c>
      <c r="P127" s="410" t="s">
        <v>14</v>
      </c>
      <c r="Q127" s="428" t="s">
        <v>14</v>
      </c>
      <c r="R127" s="410" t="s">
        <v>14</v>
      </c>
      <c r="S127" s="84"/>
      <c r="T127" s="77"/>
    </row>
    <row r="128" spans="1:20" x14ac:dyDescent="0.3">
      <c r="B128" s="123" t="s">
        <v>15</v>
      </c>
      <c r="C128" s="85" t="s">
        <v>618</v>
      </c>
      <c r="D128" s="369" t="s">
        <v>521</v>
      </c>
      <c r="E128" s="409" t="s">
        <v>14</v>
      </c>
      <c r="F128" s="472" t="s">
        <v>14</v>
      </c>
      <c r="G128" s="136"/>
      <c r="H128" s="85" t="s">
        <v>552</v>
      </c>
      <c r="I128" s="221"/>
      <c r="J128" s="146">
        <v>0.69</v>
      </c>
      <c r="K128" s="409" t="s">
        <v>14</v>
      </c>
      <c r="L128" s="410" t="s">
        <v>14</v>
      </c>
      <c r="M128" s="428" t="s">
        <v>14</v>
      </c>
      <c r="N128" s="428" t="s">
        <v>14</v>
      </c>
      <c r="O128" s="409" t="s">
        <v>14</v>
      </c>
      <c r="P128" s="410" t="s">
        <v>14</v>
      </c>
      <c r="Q128" s="428" t="s">
        <v>14</v>
      </c>
      <c r="R128" s="410" t="s">
        <v>14</v>
      </c>
      <c r="S128" s="84"/>
      <c r="T128" s="77"/>
    </row>
    <row r="129" spans="1:20" x14ac:dyDescent="0.3">
      <c r="B129" s="123" t="s">
        <v>620</v>
      </c>
      <c r="C129" s="85" t="s">
        <v>619</v>
      </c>
      <c r="D129" s="369" t="s">
        <v>435</v>
      </c>
      <c r="E129" s="409"/>
      <c r="F129" s="472"/>
      <c r="G129" s="240"/>
      <c r="H129" s="85" t="s">
        <v>16</v>
      </c>
      <c r="I129" s="221"/>
      <c r="J129" s="146">
        <v>0.97099999999999997</v>
      </c>
      <c r="K129" s="409"/>
      <c r="L129" s="410"/>
      <c r="M129" s="428"/>
      <c r="N129" s="428"/>
      <c r="O129" s="409"/>
      <c r="P129" s="410"/>
      <c r="Q129" s="428"/>
      <c r="R129" s="410"/>
      <c r="S129" s="84"/>
      <c r="T129" s="77"/>
    </row>
    <row r="130" spans="1:20" x14ac:dyDescent="0.3">
      <c r="B130" s="149" t="s">
        <v>15</v>
      </c>
      <c r="C130" s="150" t="s">
        <v>1115</v>
      </c>
      <c r="D130" s="151" t="s">
        <v>435</v>
      </c>
      <c r="E130" s="411" t="s">
        <v>14</v>
      </c>
      <c r="F130" s="473" t="s">
        <v>14</v>
      </c>
      <c r="G130" s="153"/>
      <c r="H130" s="150" t="s">
        <v>16</v>
      </c>
      <c r="I130" s="277"/>
      <c r="J130" s="150">
        <v>6.9000000000000006E-2</v>
      </c>
      <c r="K130" s="411" t="s">
        <v>14</v>
      </c>
      <c r="L130" s="412" t="s">
        <v>14</v>
      </c>
      <c r="M130" s="432" t="s">
        <v>14</v>
      </c>
      <c r="N130" s="432" t="s">
        <v>14</v>
      </c>
      <c r="O130" s="411" t="s">
        <v>14</v>
      </c>
      <c r="P130" s="412" t="s">
        <v>14</v>
      </c>
      <c r="Q130" s="432" t="s">
        <v>14</v>
      </c>
      <c r="R130" s="412" t="s">
        <v>14</v>
      </c>
      <c r="S130" s="84"/>
      <c r="T130" s="77"/>
    </row>
    <row r="131" spans="1:20" ht="15" customHeight="1" x14ac:dyDescent="0.3">
      <c r="A131" s="87"/>
      <c r="B131" s="87"/>
      <c r="C131" s="87"/>
      <c r="D131" s="86"/>
      <c r="E131" s="84"/>
      <c r="F131" s="85"/>
      <c r="G131" s="84"/>
      <c r="I131" s="84"/>
      <c r="K131" s="84"/>
      <c r="M131" s="84"/>
      <c r="O131" s="84"/>
      <c r="P131" s="77"/>
      <c r="Q131" s="84"/>
      <c r="R131" s="77"/>
      <c r="S131" s="84"/>
      <c r="T131" s="77"/>
    </row>
    <row r="132" spans="1:20" x14ac:dyDescent="0.3">
      <c r="C132" s="371"/>
      <c r="D132" s="378"/>
      <c r="E132" s="369"/>
      <c r="G132" s="369"/>
      <c r="H132" s="85"/>
      <c r="T132" s="77"/>
    </row>
    <row r="133" spans="1:20" x14ac:dyDescent="0.3">
      <c r="A133" s="24"/>
      <c r="B133" s="24" t="s">
        <v>53</v>
      </c>
      <c r="D133" s="83"/>
      <c r="E133" s="40"/>
      <c r="F133" s="38"/>
      <c r="G133" s="40"/>
      <c r="H133" s="38"/>
      <c r="I133" s="40"/>
      <c r="J133" s="38"/>
      <c r="K133" s="40"/>
      <c r="L133" s="38"/>
      <c r="M133" s="40"/>
      <c r="N133" s="38"/>
      <c r="O133" s="40"/>
      <c r="P133" s="38"/>
      <c r="R133" s="38"/>
      <c r="T133" s="77"/>
    </row>
    <row r="134" spans="1:20" x14ac:dyDescent="0.3">
      <c r="B134" s="84" t="s">
        <v>17</v>
      </c>
    </row>
    <row r="135" spans="1:20" x14ac:dyDescent="0.3">
      <c r="A135" s="84"/>
      <c r="B135" s="132" t="s">
        <v>137</v>
      </c>
      <c r="C135" s="113" t="s">
        <v>31</v>
      </c>
      <c r="D135" s="112" t="s">
        <v>433</v>
      </c>
      <c r="E135" s="132"/>
      <c r="F135" s="110" t="s">
        <v>32</v>
      </c>
      <c r="G135" s="112"/>
      <c r="H135" s="168" t="s">
        <v>33</v>
      </c>
      <c r="I135" s="132"/>
      <c r="J135" s="110" t="s">
        <v>34</v>
      </c>
      <c r="K135" s="112"/>
      <c r="L135" s="168" t="s">
        <v>35</v>
      </c>
      <c r="M135" s="132"/>
      <c r="N135" s="110" t="s">
        <v>36</v>
      </c>
      <c r="O135" s="112"/>
      <c r="P135" s="110" t="s">
        <v>144</v>
      </c>
      <c r="Q135" s="112"/>
      <c r="R135" s="110" t="s">
        <v>1114</v>
      </c>
      <c r="S135" s="84"/>
      <c r="T135" s="78"/>
    </row>
    <row r="136" spans="1:20" ht="15" thickBot="1" x14ac:dyDescent="0.35">
      <c r="A136" s="76"/>
      <c r="B136" s="126"/>
      <c r="C136" s="117" t="s">
        <v>23</v>
      </c>
      <c r="D136" s="118"/>
      <c r="E136" s="133"/>
      <c r="F136" s="519" t="s">
        <v>968</v>
      </c>
      <c r="G136" s="119"/>
      <c r="H136" s="519" t="s">
        <v>968</v>
      </c>
      <c r="I136" s="139"/>
      <c r="J136" s="519" t="s">
        <v>968</v>
      </c>
      <c r="K136" s="118"/>
      <c r="L136" s="519" t="s">
        <v>968</v>
      </c>
      <c r="M136" s="139"/>
      <c r="N136" s="519" t="s">
        <v>968</v>
      </c>
      <c r="O136" s="118"/>
      <c r="P136" s="519" t="s">
        <v>968</v>
      </c>
      <c r="Q136" s="118"/>
      <c r="R136" s="519" t="s">
        <v>968</v>
      </c>
      <c r="S136" s="29"/>
      <c r="T136" s="29"/>
    </row>
    <row r="137" spans="1:20" ht="28.2" thickTop="1" x14ac:dyDescent="0.3">
      <c r="A137" s="60"/>
      <c r="B137" s="123" t="s">
        <v>10</v>
      </c>
      <c r="C137" s="85" t="s">
        <v>1332</v>
      </c>
      <c r="D137" s="369" t="s">
        <v>521</v>
      </c>
      <c r="E137" s="134"/>
      <c r="F137" s="367" t="s">
        <v>1137</v>
      </c>
      <c r="G137" s="141"/>
      <c r="H137" s="371" t="s">
        <v>1333</v>
      </c>
      <c r="I137" s="349"/>
      <c r="J137" s="371" t="s">
        <v>1294</v>
      </c>
      <c r="K137" s="349"/>
      <c r="L137" s="371" t="s">
        <v>1334</v>
      </c>
      <c r="M137" s="349"/>
      <c r="N137" s="371" t="s">
        <v>1335</v>
      </c>
      <c r="O137" s="349"/>
      <c r="P137" s="371" t="s">
        <v>1336</v>
      </c>
      <c r="Q137" s="349"/>
      <c r="R137" s="656" t="s">
        <v>1168</v>
      </c>
      <c r="T137" s="66"/>
    </row>
    <row r="138" spans="1:20" ht="27.6" x14ac:dyDescent="0.3">
      <c r="A138" s="60"/>
      <c r="B138" s="123" t="s">
        <v>10</v>
      </c>
      <c r="C138" s="85" t="s">
        <v>1326</v>
      </c>
      <c r="D138" s="369" t="s">
        <v>521</v>
      </c>
      <c r="E138" s="134"/>
      <c r="F138" s="367" t="s">
        <v>1137</v>
      </c>
      <c r="G138" s="141"/>
      <c r="H138" s="371" t="s">
        <v>1151</v>
      </c>
      <c r="I138" s="409" t="s">
        <v>14</v>
      </c>
      <c r="J138" s="410" t="s">
        <v>14</v>
      </c>
      <c r="K138" s="428" t="s">
        <v>14</v>
      </c>
      <c r="L138" s="428" t="s">
        <v>14</v>
      </c>
      <c r="M138" s="409" t="s">
        <v>14</v>
      </c>
      <c r="N138" s="410" t="s">
        <v>14</v>
      </c>
      <c r="O138" s="428" t="s">
        <v>14</v>
      </c>
      <c r="P138" s="410" t="s">
        <v>14</v>
      </c>
      <c r="Q138" s="409" t="s">
        <v>14</v>
      </c>
      <c r="R138" s="410" t="s">
        <v>14</v>
      </c>
      <c r="T138" s="66"/>
    </row>
    <row r="139" spans="1:20" ht="30" customHeight="1" x14ac:dyDescent="0.3">
      <c r="A139" s="60"/>
      <c r="B139" s="123" t="s">
        <v>10</v>
      </c>
      <c r="C139" s="85" t="s">
        <v>615</v>
      </c>
      <c r="D139" s="369" t="s">
        <v>435</v>
      </c>
      <c r="E139" s="134"/>
      <c r="F139" s="367" t="s">
        <v>1137</v>
      </c>
      <c r="G139" s="409" t="s">
        <v>14</v>
      </c>
      <c r="H139" s="410" t="s">
        <v>14</v>
      </c>
      <c r="I139" s="409" t="s">
        <v>14</v>
      </c>
      <c r="J139" s="410" t="s">
        <v>14</v>
      </c>
      <c r="K139" s="428" t="s">
        <v>14</v>
      </c>
      <c r="L139" s="428" t="s">
        <v>14</v>
      </c>
      <c r="M139" s="409" t="s">
        <v>14</v>
      </c>
      <c r="N139" s="410" t="s">
        <v>14</v>
      </c>
      <c r="O139" s="428" t="s">
        <v>14</v>
      </c>
      <c r="P139" s="410" t="s">
        <v>14</v>
      </c>
      <c r="Q139" s="409" t="s">
        <v>14</v>
      </c>
      <c r="R139" s="410" t="s">
        <v>14</v>
      </c>
      <c r="T139" s="66"/>
    </row>
    <row r="140" spans="1:20" ht="27.6" x14ac:dyDescent="0.3">
      <c r="A140" s="60"/>
      <c r="B140" s="123" t="s">
        <v>10</v>
      </c>
      <c r="C140" s="85" t="s">
        <v>1326</v>
      </c>
      <c r="D140" s="369" t="s">
        <v>435</v>
      </c>
      <c r="E140" s="134"/>
      <c r="F140" s="367" t="s">
        <v>1137</v>
      </c>
      <c r="G140" s="136"/>
      <c r="H140" s="371" t="s">
        <v>1151</v>
      </c>
      <c r="I140" s="409" t="s">
        <v>14</v>
      </c>
      <c r="J140" s="410" t="s">
        <v>14</v>
      </c>
      <c r="K140" s="428" t="s">
        <v>14</v>
      </c>
      <c r="L140" s="428" t="s">
        <v>14</v>
      </c>
      <c r="M140" s="409" t="s">
        <v>14</v>
      </c>
      <c r="N140" s="410" t="s">
        <v>14</v>
      </c>
      <c r="O140" s="428" t="s">
        <v>14</v>
      </c>
      <c r="P140" s="410" t="s">
        <v>14</v>
      </c>
      <c r="Q140" s="409" t="s">
        <v>14</v>
      </c>
      <c r="R140" s="410" t="s">
        <v>14</v>
      </c>
      <c r="T140" s="66"/>
    </row>
    <row r="141" spans="1:20" ht="27.6" x14ac:dyDescent="0.3">
      <c r="A141" s="60"/>
      <c r="B141" s="123" t="s">
        <v>15</v>
      </c>
      <c r="C141" s="85" t="s">
        <v>1115</v>
      </c>
      <c r="D141" s="369" t="s">
        <v>521</v>
      </c>
      <c r="E141" s="134"/>
      <c r="F141" s="367" t="s">
        <v>1133</v>
      </c>
      <c r="G141" s="136"/>
      <c r="H141" s="371" t="s">
        <v>1150</v>
      </c>
      <c r="I141" s="136"/>
      <c r="J141" s="367" t="s">
        <v>1294</v>
      </c>
      <c r="K141" s="136"/>
      <c r="L141" s="367" t="s">
        <v>1179</v>
      </c>
      <c r="M141" s="136"/>
      <c r="N141" s="367" t="s">
        <v>1184</v>
      </c>
      <c r="O141" s="136"/>
      <c r="P141" s="367" t="s">
        <v>1173</v>
      </c>
      <c r="Q141" s="136"/>
      <c r="R141" s="367" t="s">
        <v>1174</v>
      </c>
      <c r="T141" s="66"/>
    </row>
    <row r="142" spans="1:20" x14ac:dyDescent="0.3">
      <c r="A142" s="60"/>
      <c r="B142" s="123" t="s">
        <v>15</v>
      </c>
      <c r="C142" s="85" t="s">
        <v>616</v>
      </c>
      <c r="D142" s="369" t="s">
        <v>521</v>
      </c>
      <c r="E142" s="134"/>
      <c r="F142" s="367" t="s">
        <v>1137</v>
      </c>
      <c r="G142" s="136"/>
      <c r="H142" s="371" t="s">
        <v>1166</v>
      </c>
      <c r="I142" s="409" t="s">
        <v>14</v>
      </c>
      <c r="J142" s="410" t="s">
        <v>14</v>
      </c>
      <c r="K142" s="409" t="s">
        <v>14</v>
      </c>
      <c r="L142" s="410" t="s">
        <v>14</v>
      </c>
      <c r="M142" s="409" t="s">
        <v>14</v>
      </c>
      <c r="N142" s="410" t="s">
        <v>14</v>
      </c>
      <c r="O142" s="428" t="s">
        <v>14</v>
      </c>
      <c r="P142" s="410" t="s">
        <v>14</v>
      </c>
      <c r="Q142" s="409" t="s">
        <v>14</v>
      </c>
      <c r="R142" s="410" t="s">
        <v>14</v>
      </c>
      <c r="T142" s="66"/>
    </row>
    <row r="143" spans="1:20" ht="27.6" x14ac:dyDescent="0.3">
      <c r="A143" s="60"/>
      <c r="B143" s="123" t="s">
        <v>15</v>
      </c>
      <c r="C143" s="85" t="s">
        <v>1115</v>
      </c>
      <c r="D143" s="369" t="s">
        <v>435</v>
      </c>
      <c r="E143" s="134"/>
      <c r="F143" s="367" t="s">
        <v>1133</v>
      </c>
      <c r="G143" s="136"/>
      <c r="H143" s="371" t="s">
        <v>1150</v>
      </c>
      <c r="I143" s="136"/>
      <c r="J143" s="367" t="s">
        <v>1294</v>
      </c>
      <c r="K143" s="136"/>
      <c r="L143" s="367" t="s">
        <v>1179</v>
      </c>
      <c r="M143" s="136"/>
      <c r="N143" s="367" t="s">
        <v>1184</v>
      </c>
      <c r="O143" s="136"/>
      <c r="P143" s="367" t="s">
        <v>1173</v>
      </c>
      <c r="Q143" s="136"/>
      <c r="R143" s="367" t="s">
        <v>1174</v>
      </c>
      <c r="T143" s="66"/>
    </row>
    <row r="144" spans="1:20" ht="27.6" x14ac:dyDescent="0.3">
      <c r="A144" s="60"/>
      <c r="B144" s="123" t="s">
        <v>15</v>
      </c>
      <c r="C144" s="85" t="s">
        <v>617</v>
      </c>
      <c r="D144" s="369" t="s">
        <v>521</v>
      </c>
      <c r="E144" s="134"/>
      <c r="F144" s="367" t="s">
        <v>1144</v>
      </c>
      <c r="G144" s="136"/>
      <c r="H144" s="371" t="s">
        <v>1167</v>
      </c>
      <c r="I144" s="134"/>
      <c r="J144" s="367" t="s">
        <v>1173</v>
      </c>
      <c r="K144" s="134"/>
      <c r="L144" s="367" t="s">
        <v>1174</v>
      </c>
      <c r="M144" s="409" t="s">
        <v>14</v>
      </c>
      <c r="N144" s="410" t="s">
        <v>14</v>
      </c>
      <c r="O144" s="428" t="s">
        <v>14</v>
      </c>
      <c r="P144" s="410" t="s">
        <v>14</v>
      </c>
      <c r="Q144" s="409" t="s">
        <v>14</v>
      </c>
      <c r="R144" s="410" t="s">
        <v>14</v>
      </c>
      <c r="T144" s="66"/>
    </row>
    <row r="145" spans="1:20" x14ac:dyDescent="0.3">
      <c r="A145" s="60"/>
      <c r="B145" s="123" t="s">
        <v>15</v>
      </c>
      <c r="C145" s="85" t="s">
        <v>618</v>
      </c>
      <c r="D145" s="369" t="s">
        <v>521</v>
      </c>
      <c r="E145" s="134"/>
      <c r="F145" s="367" t="s">
        <v>1145</v>
      </c>
      <c r="G145" s="136"/>
      <c r="H145" s="371" t="s">
        <v>1168</v>
      </c>
      <c r="I145" s="409" t="s">
        <v>14</v>
      </c>
      <c r="J145" s="410" t="s">
        <v>14</v>
      </c>
      <c r="K145" s="409" t="s">
        <v>14</v>
      </c>
      <c r="L145" s="410" t="s">
        <v>14</v>
      </c>
      <c r="M145" s="409" t="s">
        <v>14</v>
      </c>
      <c r="N145" s="410" t="s">
        <v>14</v>
      </c>
      <c r="O145" s="428" t="s">
        <v>14</v>
      </c>
      <c r="P145" s="410" t="s">
        <v>14</v>
      </c>
      <c r="Q145" s="409" t="s">
        <v>14</v>
      </c>
      <c r="R145" s="410" t="s">
        <v>14</v>
      </c>
      <c r="T145" s="66"/>
    </row>
    <row r="146" spans="1:20" ht="27.6" x14ac:dyDescent="0.3">
      <c r="A146" s="60"/>
      <c r="B146" s="123" t="s">
        <v>15</v>
      </c>
      <c r="C146" s="85" t="s">
        <v>1115</v>
      </c>
      <c r="D146" s="369" t="s">
        <v>435</v>
      </c>
      <c r="E146" s="134"/>
      <c r="F146" s="367" t="s">
        <v>1133</v>
      </c>
      <c r="G146" s="136"/>
      <c r="H146" s="371" t="s">
        <v>1150</v>
      </c>
      <c r="I146" s="136"/>
      <c r="J146" s="367" t="s">
        <v>1294</v>
      </c>
      <c r="K146" s="136"/>
      <c r="L146" s="367" t="s">
        <v>1179</v>
      </c>
      <c r="M146" s="136"/>
      <c r="N146" s="367" t="s">
        <v>1184</v>
      </c>
      <c r="O146" s="136"/>
      <c r="P146" s="367" t="s">
        <v>1173</v>
      </c>
      <c r="Q146" s="136"/>
      <c r="R146" s="367" t="s">
        <v>1174</v>
      </c>
      <c r="T146" s="66"/>
    </row>
    <row r="147" spans="1:20" x14ac:dyDescent="0.3">
      <c r="A147" s="60"/>
      <c r="B147" s="149" t="s">
        <v>621</v>
      </c>
      <c r="C147" s="150" t="s">
        <v>619</v>
      </c>
      <c r="D147" s="151" t="s">
        <v>435</v>
      </c>
      <c r="E147" s="153"/>
      <c r="F147" s="166" t="s">
        <v>1133</v>
      </c>
      <c r="G147" s="411" t="s">
        <v>14</v>
      </c>
      <c r="H147" s="473" t="s">
        <v>14</v>
      </c>
      <c r="I147" s="411" t="s">
        <v>14</v>
      </c>
      <c r="J147" s="473" t="s">
        <v>14</v>
      </c>
      <c r="K147" s="411" t="s">
        <v>14</v>
      </c>
      <c r="L147" s="473" t="s">
        <v>14</v>
      </c>
      <c r="M147" s="411" t="s">
        <v>14</v>
      </c>
      <c r="N147" s="432" t="s">
        <v>14</v>
      </c>
      <c r="O147" s="411" t="s">
        <v>14</v>
      </c>
      <c r="P147" s="412" t="s">
        <v>14</v>
      </c>
      <c r="Q147" s="411" t="s">
        <v>14</v>
      </c>
      <c r="R147" s="412" t="s">
        <v>14</v>
      </c>
      <c r="T147" s="66"/>
    </row>
    <row r="149" spans="1:20" x14ac:dyDescent="0.3">
      <c r="A149" s="82"/>
      <c r="B149" s="83"/>
      <c r="D149" s="83" t="s">
        <v>18</v>
      </c>
    </row>
    <row r="150" spans="1:20" s="83" customFormat="1" ht="27.6" x14ac:dyDescent="0.3">
      <c r="D150" s="216" t="s">
        <v>137</v>
      </c>
      <c r="E150" s="190"/>
      <c r="F150" s="109" t="s">
        <v>512</v>
      </c>
      <c r="G150" s="183"/>
      <c r="H150" s="116" t="s">
        <v>513</v>
      </c>
      <c r="I150" s="190"/>
      <c r="J150" s="109" t="s">
        <v>514</v>
      </c>
      <c r="K150" s="183"/>
      <c r="L150" s="116" t="s">
        <v>515</v>
      </c>
      <c r="M150" s="190"/>
      <c r="N150" s="109" t="s">
        <v>516</v>
      </c>
      <c r="O150" s="39"/>
      <c r="P150" s="15"/>
      <c r="Q150" s="15"/>
      <c r="R150" s="15"/>
      <c r="S150" s="15"/>
      <c r="T150" s="15"/>
    </row>
    <row r="151" spans="1:20" s="369" customFormat="1" thickBot="1" x14ac:dyDescent="0.35">
      <c r="D151" s="236"/>
      <c r="E151" s="237"/>
      <c r="F151" s="238" t="s">
        <v>65</v>
      </c>
      <c r="G151" s="224"/>
      <c r="H151" s="118" t="s">
        <v>66</v>
      </c>
      <c r="I151" s="237"/>
      <c r="J151" s="101" t="s">
        <v>67</v>
      </c>
      <c r="K151" s="224"/>
      <c r="L151" s="215" t="s">
        <v>68</v>
      </c>
      <c r="M151" s="237"/>
      <c r="N151" s="101" t="s">
        <v>69</v>
      </c>
      <c r="O151" s="63"/>
      <c r="P151" s="63"/>
      <c r="Q151" s="63"/>
      <c r="R151" s="63"/>
      <c r="S151" s="63"/>
      <c r="T151" s="63"/>
    </row>
    <row r="152" spans="1:20" s="378" customFormat="1" thickTop="1" x14ac:dyDescent="0.3">
      <c r="C152" s="84"/>
      <c r="D152" s="233" t="s">
        <v>20</v>
      </c>
      <c r="E152" s="165"/>
      <c r="F152" s="235">
        <v>7.0000000000000007E-2</v>
      </c>
      <c r="G152" s="164"/>
      <c r="H152" s="234">
        <v>0</v>
      </c>
      <c r="I152" s="165"/>
      <c r="J152" s="234">
        <v>0</v>
      </c>
      <c r="K152" s="165"/>
      <c r="L152" s="234">
        <v>0.25</v>
      </c>
      <c r="M152" s="165"/>
      <c r="N152" s="235">
        <v>0</v>
      </c>
      <c r="O152" s="370"/>
      <c r="P152" s="370"/>
      <c r="Q152" s="370"/>
      <c r="R152" s="370"/>
      <c r="S152" s="370"/>
      <c r="T152" s="370"/>
    </row>
    <row r="153" spans="1:20" x14ac:dyDescent="0.3">
      <c r="A153" s="82"/>
      <c r="B153" s="83"/>
    </row>
    <row r="154" spans="1:20" s="82" customFormat="1" ht="13.8" x14ac:dyDescent="0.3">
      <c r="A154" s="24"/>
      <c r="B154" s="24" t="s">
        <v>114</v>
      </c>
      <c r="D154" s="86"/>
      <c r="E154" s="84"/>
      <c r="G154" s="86"/>
      <c r="H154" s="84"/>
      <c r="J154" s="86"/>
      <c r="K154" s="84"/>
      <c r="M154" s="86"/>
      <c r="N154" s="84"/>
      <c r="P154" s="86"/>
      <c r="Q154" s="84"/>
      <c r="S154" s="86"/>
      <c r="T154" s="84"/>
    </row>
    <row r="155" spans="1:20" s="82" customFormat="1" ht="13.8" x14ac:dyDescent="0.3">
      <c r="B155" s="77" t="s">
        <v>212</v>
      </c>
      <c r="D155" s="86"/>
      <c r="E155" s="84"/>
      <c r="G155" s="86"/>
      <c r="H155" s="84"/>
      <c r="J155" s="86"/>
      <c r="K155" s="84"/>
      <c r="M155" s="86"/>
      <c r="N155" s="84"/>
      <c r="P155" s="86"/>
      <c r="Q155" s="84"/>
      <c r="S155" s="86"/>
      <c r="T155" s="84"/>
    </row>
    <row r="156" spans="1:20" s="85" customFormat="1" ht="38.25" customHeight="1" x14ac:dyDescent="0.3">
      <c r="B156" s="249" t="s">
        <v>138</v>
      </c>
      <c r="C156" s="256" t="s">
        <v>190</v>
      </c>
      <c r="D156" s="246"/>
      <c r="E156" s="260"/>
      <c r="F156" s="243" t="s">
        <v>163</v>
      </c>
      <c r="G156" s="258"/>
      <c r="H156" s="243" t="s">
        <v>523</v>
      </c>
      <c r="I156" s="246"/>
      <c r="J156" s="259" t="s">
        <v>524</v>
      </c>
      <c r="K156" s="258"/>
      <c r="L156" s="243" t="s">
        <v>123</v>
      </c>
      <c r="M156" s="246"/>
      <c r="N156" s="243" t="s">
        <v>161</v>
      </c>
      <c r="O156" s="280"/>
      <c r="P156" s="110" t="s">
        <v>602</v>
      </c>
      <c r="Q156" s="87"/>
      <c r="R156" s="87"/>
      <c r="S156" s="87"/>
      <c r="T156" s="87"/>
    </row>
    <row r="157" spans="1:20" s="369" customFormat="1" thickBot="1" x14ac:dyDescent="0.35">
      <c r="B157" s="100" t="s">
        <v>213</v>
      </c>
      <c r="C157" s="117"/>
      <c r="D157" s="215"/>
      <c r="E157" s="100"/>
      <c r="F157" s="101" t="s">
        <v>149</v>
      </c>
      <c r="G157" s="100"/>
      <c r="H157" s="101" t="s">
        <v>149</v>
      </c>
      <c r="I157" s="215"/>
      <c r="J157" s="215" t="s">
        <v>149</v>
      </c>
      <c r="K157" s="100"/>
      <c r="L157" s="101" t="s">
        <v>150</v>
      </c>
      <c r="M157" s="215"/>
      <c r="N157" s="244"/>
      <c r="O157" s="100"/>
      <c r="P157" s="101" t="s">
        <v>320</v>
      </c>
      <c r="Q157" s="87"/>
      <c r="R157" s="87"/>
      <c r="S157" s="87"/>
      <c r="T157" s="87"/>
    </row>
    <row r="158" spans="1:20" s="369" customFormat="1" ht="28.2" thickTop="1" x14ac:dyDescent="0.3">
      <c r="B158" s="137" t="s">
        <v>207</v>
      </c>
      <c r="C158" s="371" t="s">
        <v>189</v>
      </c>
      <c r="D158" s="370" t="s">
        <v>436</v>
      </c>
      <c r="E158" s="317"/>
      <c r="F158" s="717">
        <v>0.5</v>
      </c>
      <c r="G158" s="409" t="s">
        <v>14</v>
      </c>
      <c r="H158" s="410" t="s">
        <v>14</v>
      </c>
      <c r="I158" s="141"/>
      <c r="J158" s="1">
        <v>0.5</v>
      </c>
      <c r="K158" s="134"/>
      <c r="L158" s="197" t="s">
        <v>129</v>
      </c>
      <c r="M158" s="176"/>
      <c r="N158" s="366" t="s">
        <v>1328</v>
      </c>
      <c r="O158" s="409" t="s">
        <v>14</v>
      </c>
      <c r="P158" s="410" t="s">
        <v>14</v>
      </c>
      <c r="Q158" s="87"/>
      <c r="R158" s="87"/>
      <c r="S158" s="87"/>
      <c r="T158" s="87"/>
    </row>
    <row r="159" spans="1:20" s="369" customFormat="1" ht="13.8" x14ac:dyDescent="0.3">
      <c r="B159" s="137" t="s">
        <v>208</v>
      </c>
      <c r="C159" s="371" t="s">
        <v>116</v>
      </c>
      <c r="D159" s="370" t="s">
        <v>436</v>
      </c>
      <c r="E159" s="317"/>
      <c r="F159" s="717">
        <v>1.2</v>
      </c>
      <c r="G159" s="409" t="s">
        <v>14</v>
      </c>
      <c r="H159" s="410" t="s">
        <v>14</v>
      </c>
      <c r="I159" s="141"/>
      <c r="J159" s="1">
        <v>1.2</v>
      </c>
      <c r="K159" s="134"/>
      <c r="L159" s="197" t="s">
        <v>129</v>
      </c>
      <c r="M159" s="176"/>
      <c r="N159" s="366" t="s">
        <v>1328</v>
      </c>
      <c r="O159" s="409" t="s">
        <v>14</v>
      </c>
      <c r="P159" s="410" t="s">
        <v>14</v>
      </c>
      <c r="Q159" s="87"/>
      <c r="R159" s="87"/>
      <c r="S159" s="87"/>
      <c r="T159" s="87"/>
    </row>
    <row r="160" spans="1:20" s="369" customFormat="1" ht="13.8" x14ac:dyDescent="0.3">
      <c r="B160" s="124" t="s">
        <v>209</v>
      </c>
      <c r="C160" s="85" t="s">
        <v>119</v>
      </c>
      <c r="D160" s="370" t="s">
        <v>435</v>
      </c>
      <c r="E160" s="317"/>
      <c r="F160" s="717">
        <v>0.95</v>
      </c>
      <c r="G160" s="409" t="s">
        <v>14</v>
      </c>
      <c r="H160" s="410" t="s">
        <v>14</v>
      </c>
      <c r="I160" s="141"/>
      <c r="J160" s="1">
        <v>0.95</v>
      </c>
      <c r="K160" s="134"/>
      <c r="L160" s="197" t="s">
        <v>129</v>
      </c>
      <c r="M160" s="176"/>
      <c r="N160" s="366" t="s">
        <v>1328</v>
      </c>
      <c r="O160" s="409" t="s">
        <v>14</v>
      </c>
      <c r="P160" s="410" t="s">
        <v>14</v>
      </c>
      <c r="Q160" s="87"/>
      <c r="R160" s="87"/>
      <c r="S160" s="87"/>
      <c r="T160" s="87"/>
    </row>
    <row r="161" spans="1:22" s="369" customFormat="1" ht="13.8" x14ac:dyDescent="0.3">
      <c r="B161" s="124" t="s">
        <v>210</v>
      </c>
      <c r="C161" s="247" t="s">
        <v>116</v>
      </c>
      <c r="D161" s="68" t="s">
        <v>435</v>
      </c>
      <c r="E161" s="327"/>
      <c r="F161" s="717">
        <v>1.34</v>
      </c>
      <c r="G161" s="327"/>
      <c r="H161" s="717">
        <f>1*0.77*810/1623.3</f>
        <v>0.38421733505821476</v>
      </c>
      <c r="I161" s="176"/>
      <c r="J161" s="1">
        <f>F161+H161</f>
        <v>1.7242173350582148</v>
      </c>
      <c r="K161" s="136"/>
      <c r="L161" s="197" t="s">
        <v>129</v>
      </c>
      <c r="M161" s="136"/>
      <c r="N161" s="366" t="s">
        <v>162</v>
      </c>
      <c r="O161" s="176"/>
      <c r="P161" s="366">
        <v>810</v>
      </c>
      <c r="Q161" s="87"/>
      <c r="R161" s="87"/>
      <c r="S161" s="87"/>
      <c r="T161" s="87"/>
    </row>
    <row r="162" spans="1:22" s="369" customFormat="1" ht="13.8" x14ac:dyDescent="0.3">
      <c r="B162" s="175" t="s">
        <v>211</v>
      </c>
      <c r="C162" s="253" t="s">
        <v>116</v>
      </c>
      <c r="D162" s="229" t="s">
        <v>435</v>
      </c>
      <c r="E162" s="334"/>
      <c r="F162" s="859">
        <v>1.2</v>
      </c>
      <c r="G162" s="411" t="s">
        <v>14</v>
      </c>
      <c r="H162" s="412" t="s">
        <v>14</v>
      </c>
      <c r="I162" s="169"/>
      <c r="J162" s="234">
        <v>1.2</v>
      </c>
      <c r="K162" s="153"/>
      <c r="L162" s="252" t="s">
        <v>129</v>
      </c>
      <c r="M162" s="153"/>
      <c r="N162" s="402" t="s">
        <v>1328</v>
      </c>
      <c r="O162" s="411" t="s">
        <v>14</v>
      </c>
      <c r="P162" s="412" t="s">
        <v>14</v>
      </c>
      <c r="Q162" s="87"/>
      <c r="R162" s="87"/>
      <c r="S162" s="87"/>
      <c r="T162" s="87"/>
    </row>
    <row r="164" spans="1:22" x14ac:dyDescent="0.3">
      <c r="A164" s="82"/>
      <c r="B164" s="85"/>
      <c r="C164" s="83"/>
      <c r="D164" s="397"/>
      <c r="E164" s="369"/>
      <c r="F164" s="369"/>
      <c r="G164" s="369"/>
      <c r="H164" s="369"/>
      <c r="J164" s="369"/>
      <c r="L164" s="66"/>
      <c r="N164" s="66"/>
      <c r="P164" s="66"/>
      <c r="R164" s="66"/>
      <c r="T164" s="66"/>
    </row>
    <row r="165" spans="1:22" x14ac:dyDescent="0.3">
      <c r="A165" s="24"/>
      <c r="B165" s="24" t="s">
        <v>517</v>
      </c>
    </row>
    <row r="166" spans="1:22" ht="41.4" x14ac:dyDescent="0.3">
      <c r="A166" s="82"/>
      <c r="B166" s="108" t="s">
        <v>500</v>
      </c>
      <c r="C166" s="116" t="s">
        <v>501</v>
      </c>
      <c r="D166" s="112" t="s">
        <v>433</v>
      </c>
      <c r="E166" s="125"/>
      <c r="F166" s="142" t="s">
        <v>437</v>
      </c>
      <c r="G166" s="113"/>
      <c r="H166" s="168" t="s">
        <v>137</v>
      </c>
      <c r="I166" s="125"/>
      <c r="J166" s="110" t="s">
        <v>186</v>
      </c>
      <c r="K166" s="125"/>
      <c r="L166" s="142" t="s">
        <v>510</v>
      </c>
      <c r="M166" s="113"/>
      <c r="N166" s="113" t="s">
        <v>509</v>
      </c>
      <c r="O166" s="207"/>
      <c r="P166" s="142" t="s">
        <v>508</v>
      </c>
      <c r="Q166" s="125"/>
      <c r="R166" s="142" t="s">
        <v>486</v>
      </c>
      <c r="S166" s="125"/>
      <c r="T166" s="142" t="s">
        <v>534</v>
      </c>
    </row>
    <row r="167" spans="1:22" ht="15" thickBot="1" x14ac:dyDescent="0.35">
      <c r="A167" s="82"/>
      <c r="B167" s="173" t="s">
        <v>259</v>
      </c>
      <c r="C167" s="171" t="s">
        <v>258</v>
      </c>
      <c r="D167" s="376"/>
      <c r="E167" s="178"/>
      <c r="F167" s="174"/>
      <c r="G167" s="172"/>
      <c r="H167" s="174" t="s">
        <v>260</v>
      </c>
      <c r="I167" s="178"/>
      <c r="J167" s="174" t="s">
        <v>261</v>
      </c>
      <c r="K167" s="208"/>
      <c r="L167" s="174" t="s">
        <v>646</v>
      </c>
      <c r="M167" s="205"/>
      <c r="N167" s="171" t="s">
        <v>647</v>
      </c>
      <c r="O167" s="208"/>
      <c r="P167" s="174" t="s">
        <v>1387</v>
      </c>
      <c r="Q167" s="230"/>
      <c r="R167" s="174" t="s">
        <v>1127</v>
      </c>
      <c r="S167" s="230"/>
      <c r="T167" s="174" t="s">
        <v>1128</v>
      </c>
    </row>
    <row r="168" spans="1:22" s="364" customFormat="1" thickTop="1" x14ac:dyDescent="0.3">
      <c r="A168" s="378"/>
      <c r="B168" s="135" t="s">
        <v>557</v>
      </c>
      <c r="C168" s="378" t="s">
        <v>554</v>
      </c>
      <c r="D168" s="378" t="s">
        <v>436</v>
      </c>
      <c r="E168" s="131"/>
      <c r="F168" s="371" t="s">
        <v>555</v>
      </c>
      <c r="G168" s="136"/>
      <c r="H168" s="378" t="s">
        <v>449</v>
      </c>
      <c r="I168" s="136"/>
      <c r="J168" s="378" t="s">
        <v>528</v>
      </c>
      <c r="K168" s="136"/>
      <c r="L168" s="378">
        <v>60</v>
      </c>
      <c r="M168" s="136"/>
      <c r="N168" s="378">
        <v>60</v>
      </c>
      <c r="O168" s="136"/>
      <c r="P168" s="263" t="s">
        <v>930</v>
      </c>
      <c r="Q168" s="176"/>
      <c r="R168" s="206">
        <v>60</v>
      </c>
      <c r="S168" s="176"/>
      <c r="T168" s="206">
        <v>55</v>
      </c>
    </row>
    <row r="169" spans="1:22" x14ac:dyDescent="0.3">
      <c r="A169" s="82"/>
      <c r="B169" s="175" t="s">
        <v>556</v>
      </c>
      <c r="C169" s="150" t="s">
        <v>526</v>
      </c>
      <c r="D169" s="181" t="s">
        <v>436</v>
      </c>
      <c r="E169" s="179"/>
      <c r="F169" s="150" t="s">
        <v>622</v>
      </c>
      <c r="G169" s="153"/>
      <c r="H169" s="150" t="s">
        <v>167</v>
      </c>
      <c r="I169" s="153"/>
      <c r="J169" s="155" t="s">
        <v>528</v>
      </c>
      <c r="K169" s="153"/>
      <c r="L169" s="209">
        <v>55</v>
      </c>
      <c r="M169" s="153"/>
      <c r="N169" s="151">
        <v>95</v>
      </c>
      <c r="O169" s="153"/>
      <c r="P169" s="209" t="s">
        <v>300</v>
      </c>
      <c r="Q169" s="411" t="s">
        <v>14</v>
      </c>
      <c r="R169" s="412" t="s">
        <v>14</v>
      </c>
      <c r="S169" s="411" t="s">
        <v>14</v>
      </c>
      <c r="T169" s="412" t="s">
        <v>14</v>
      </c>
    </row>
    <row r="170" spans="1:22" x14ac:dyDescent="0.3">
      <c r="A170" s="82"/>
      <c r="B170" s="77"/>
      <c r="C170" s="75"/>
      <c r="D170" s="29"/>
      <c r="E170" s="369"/>
      <c r="F170" s="369"/>
      <c r="G170" s="369"/>
      <c r="H170" s="369"/>
      <c r="J170" s="369"/>
      <c r="K170" s="84"/>
      <c r="L170" s="82"/>
      <c r="N170" s="369"/>
      <c r="P170" s="369"/>
      <c r="R170" s="369"/>
      <c r="T170" s="369"/>
    </row>
    <row r="171" spans="1:22" x14ac:dyDescent="0.3">
      <c r="A171" s="82"/>
      <c r="B171" s="77"/>
      <c r="C171" s="75"/>
      <c r="D171" s="29"/>
      <c r="E171" s="369"/>
      <c r="F171" s="369"/>
      <c r="G171" s="369"/>
      <c r="H171" s="369"/>
      <c r="J171" s="369"/>
      <c r="K171" s="84"/>
      <c r="L171" s="82"/>
      <c r="N171" s="369"/>
      <c r="P171" s="369"/>
      <c r="R171" s="369"/>
      <c r="T171" s="369"/>
    </row>
    <row r="172" spans="1:22" ht="41.4" x14ac:dyDescent="0.3">
      <c r="A172" s="82"/>
      <c r="B172" s="189" t="s">
        <v>518</v>
      </c>
      <c r="C172" s="113" t="s">
        <v>502</v>
      </c>
      <c r="D172" s="112" t="s">
        <v>433</v>
      </c>
      <c r="E172" s="189"/>
      <c r="F172" s="110" t="s">
        <v>137</v>
      </c>
      <c r="G172" s="168"/>
      <c r="H172" s="168" t="s">
        <v>503</v>
      </c>
      <c r="I172" s="177"/>
      <c r="J172" s="168" t="s">
        <v>1125</v>
      </c>
      <c r="K172" s="189"/>
      <c r="L172" s="110" t="s">
        <v>204</v>
      </c>
      <c r="M172" s="182"/>
      <c r="N172" s="110" t="s">
        <v>1053</v>
      </c>
      <c r="O172" s="442"/>
      <c r="P172" s="110" t="s">
        <v>1054</v>
      </c>
      <c r="Q172" s="441"/>
      <c r="R172" s="110" t="s">
        <v>1055</v>
      </c>
      <c r="T172" s="369"/>
      <c r="U172" s="369"/>
      <c r="V172" s="369"/>
    </row>
    <row r="173" spans="1:22" ht="15" thickBot="1" x14ac:dyDescent="0.35">
      <c r="A173" s="82"/>
      <c r="B173" s="173" t="s">
        <v>280</v>
      </c>
      <c r="C173" s="171" t="s">
        <v>262</v>
      </c>
      <c r="D173" s="376"/>
      <c r="E173" s="178"/>
      <c r="F173" s="174" t="s">
        <v>264</v>
      </c>
      <c r="G173" s="172"/>
      <c r="H173" s="171" t="s">
        <v>933</v>
      </c>
      <c r="I173" s="178"/>
      <c r="J173" s="171" t="s">
        <v>1126</v>
      </c>
      <c r="K173" s="178"/>
      <c r="L173" s="174" t="s">
        <v>263</v>
      </c>
      <c r="M173" s="184"/>
      <c r="N173" s="171" t="s">
        <v>629</v>
      </c>
      <c r="O173" s="173"/>
      <c r="P173" s="174" t="s">
        <v>630</v>
      </c>
      <c r="Q173" s="171"/>
      <c r="R173" s="174" t="s">
        <v>631</v>
      </c>
      <c r="T173" s="369"/>
      <c r="U173" s="369"/>
      <c r="V173" s="369"/>
    </row>
    <row r="174" spans="1:22" s="363" customFormat="1" ht="28.2" thickTop="1" x14ac:dyDescent="0.3">
      <c r="A174" s="378"/>
      <c r="B174" s="135" t="s">
        <v>554</v>
      </c>
      <c r="C174" s="378" t="s">
        <v>558</v>
      </c>
      <c r="D174" s="378" t="s">
        <v>436</v>
      </c>
      <c r="E174" s="136"/>
      <c r="F174" s="378" t="s">
        <v>173</v>
      </c>
      <c r="G174" s="136"/>
      <c r="H174" s="378">
        <v>9.8000000000000007</v>
      </c>
      <c r="I174" s="136"/>
      <c r="J174" s="378">
        <v>11.4</v>
      </c>
      <c r="K174" s="409" t="s">
        <v>14</v>
      </c>
      <c r="L174" s="410" t="s">
        <v>14</v>
      </c>
      <c r="M174" s="418"/>
      <c r="N174" s="378" t="s">
        <v>454</v>
      </c>
      <c r="O174" s="418"/>
      <c r="P174" s="378" t="s">
        <v>530</v>
      </c>
      <c r="Q174" s="418"/>
      <c r="R174" s="656" t="s">
        <v>281</v>
      </c>
      <c r="S174" s="378"/>
      <c r="T174" s="369"/>
      <c r="U174" s="378"/>
      <c r="V174" s="378"/>
    </row>
    <row r="175" spans="1:22" ht="27.6" x14ac:dyDescent="0.3">
      <c r="A175" s="82"/>
      <c r="B175" s="175" t="s">
        <v>526</v>
      </c>
      <c r="C175" s="150" t="s">
        <v>529</v>
      </c>
      <c r="D175" s="181" t="s">
        <v>436</v>
      </c>
      <c r="E175" s="153"/>
      <c r="F175" s="150" t="s">
        <v>173</v>
      </c>
      <c r="G175" s="153"/>
      <c r="H175" s="726">
        <v>11</v>
      </c>
      <c r="I175" s="153"/>
      <c r="J175" s="150">
        <v>12.7</v>
      </c>
      <c r="K175" s="411" t="s">
        <v>14</v>
      </c>
      <c r="L175" s="412" t="s">
        <v>14</v>
      </c>
      <c r="M175" s="153"/>
      <c r="N175" s="209" t="s">
        <v>454</v>
      </c>
      <c r="O175" s="169"/>
      <c r="P175" s="151" t="s">
        <v>530</v>
      </c>
      <c r="Q175" s="153"/>
      <c r="R175" s="155" t="s">
        <v>281</v>
      </c>
      <c r="T175" s="369"/>
      <c r="U175" s="369"/>
      <c r="V175" s="369"/>
    </row>
    <row r="176" spans="1:22" x14ac:dyDescent="0.3">
      <c r="A176" s="82"/>
      <c r="B176" s="77"/>
      <c r="C176" s="75"/>
      <c r="D176" s="82"/>
      <c r="E176" s="84"/>
      <c r="F176" s="82"/>
      <c r="G176" s="84"/>
      <c r="H176" s="82"/>
      <c r="I176" s="84"/>
      <c r="J176" s="82"/>
      <c r="K176" s="29"/>
      <c r="L176" s="369"/>
      <c r="N176" s="369"/>
      <c r="P176" s="369"/>
      <c r="R176" s="369"/>
      <c r="T176" s="369"/>
    </row>
    <row r="177" spans="1:20" x14ac:dyDescent="0.3">
      <c r="A177" s="82"/>
      <c r="B177" s="77"/>
      <c r="C177" s="75"/>
      <c r="D177" s="82"/>
      <c r="E177" s="84"/>
      <c r="F177" s="82"/>
      <c r="G177" s="84"/>
      <c r="H177" s="82"/>
      <c r="I177" s="84"/>
      <c r="J177" s="82"/>
      <c r="K177" s="29"/>
      <c r="L177" s="369"/>
      <c r="N177" s="369"/>
      <c r="P177" s="369"/>
      <c r="R177" s="369"/>
      <c r="T177" s="369"/>
    </row>
    <row r="178" spans="1:20" ht="27.6" x14ac:dyDescent="0.3">
      <c r="A178" s="82"/>
      <c r="B178" s="108" t="s">
        <v>501</v>
      </c>
      <c r="C178" s="116" t="s">
        <v>504</v>
      </c>
      <c r="D178" s="112" t="s">
        <v>433</v>
      </c>
      <c r="E178" s="189"/>
      <c r="F178" s="110" t="s">
        <v>474</v>
      </c>
      <c r="G178" s="168"/>
      <c r="H178" s="168" t="s">
        <v>176</v>
      </c>
      <c r="I178" s="189"/>
      <c r="J178" s="110" t="s">
        <v>204</v>
      </c>
      <c r="K178" s="191"/>
      <c r="L178" s="110" t="s">
        <v>1056</v>
      </c>
      <c r="N178" s="369"/>
      <c r="P178" s="369"/>
      <c r="R178" s="369"/>
      <c r="T178" s="369"/>
    </row>
    <row r="179" spans="1:20" ht="15" thickBot="1" x14ac:dyDescent="0.35">
      <c r="A179" s="82"/>
      <c r="B179" s="173" t="s">
        <v>282</v>
      </c>
      <c r="C179" s="171" t="s">
        <v>265</v>
      </c>
      <c r="D179" s="171"/>
      <c r="E179" s="178"/>
      <c r="F179" s="174" t="s">
        <v>266</v>
      </c>
      <c r="G179" s="172"/>
      <c r="H179" s="171" t="s">
        <v>267</v>
      </c>
      <c r="I179" s="178"/>
      <c r="J179" s="174"/>
      <c r="K179" s="117"/>
      <c r="L179" s="174" t="s">
        <v>283</v>
      </c>
      <c r="N179" s="369"/>
      <c r="P179" s="369"/>
      <c r="R179" s="369"/>
      <c r="T179" s="369"/>
    </row>
    <row r="180" spans="1:20" s="363" customFormat="1" ht="15" thickTop="1" x14ac:dyDescent="0.3">
      <c r="A180" s="378"/>
      <c r="B180" s="135" t="s">
        <v>554</v>
      </c>
      <c r="C180" s="378" t="s">
        <v>559</v>
      </c>
      <c r="D180" s="378" t="s">
        <v>792</v>
      </c>
      <c r="E180" s="136"/>
      <c r="F180" s="264" t="s">
        <v>562</v>
      </c>
      <c r="G180" s="409" t="s">
        <v>14</v>
      </c>
      <c r="H180" s="410" t="s">
        <v>14</v>
      </c>
      <c r="I180" s="409" t="s">
        <v>14</v>
      </c>
      <c r="J180" s="410" t="s">
        <v>14</v>
      </c>
      <c r="K180" s="409" t="s">
        <v>14</v>
      </c>
      <c r="L180" s="410" t="s">
        <v>14</v>
      </c>
      <c r="M180" s="378"/>
      <c r="N180" s="378"/>
      <c r="O180" s="378"/>
      <c r="P180" s="378"/>
      <c r="Q180" s="378"/>
      <c r="R180" s="378"/>
      <c r="S180" s="378"/>
      <c r="T180" s="378"/>
    </row>
    <row r="181" spans="1:20" s="363" customFormat="1" x14ac:dyDescent="0.3">
      <c r="A181" s="378"/>
      <c r="B181" s="135" t="s">
        <v>554</v>
      </c>
      <c r="C181" s="378" t="s">
        <v>560</v>
      </c>
      <c r="D181" s="378" t="s">
        <v>792</v>
      </c>
      <c r="E181" s="136"/>
      <c r="F181" s="378" t="s">
        <v>562</v>
      </c>
      <c r="G181" s="409" t="s">
        <v>14</v>
      </c>
      <c r="H181" s="410" t="s">
        <v>14</v>
      </c>
      <c r="I181" s="409" t="s">
        <v>14</v>
      </c>
      <c r="J181" s="410" t="s">
        <v>14</v>
      </c>
      <c r="K181" s="409" t="s">
        <v>14</v>
      </c>
      <c r="L181" s="410" t="s">
        <v>14</v>
      </c>
      <c r="M181" s="378"/>
      <c r="N181" s="378"/>
      <c r="O181" s="378"/>
      <c r="P181" s="378"/>
      <c r="Q181" s="378"/>
      <c r="R181" s="378"/>
      <c r="S181" s="378"/>
      <c r="T181" s="378"/>
    </row>
    <row r="182" spans="1:20" s="363" customFormat="1" x14ac:dyDescent="0.3">
      <c r="A182" s="378"/>
      <c r="B182" s="135" t="s">
        <v>554</v>
      </c>
      <c r="C182" s="378" t="s">
        <v>561</v>
      </c>
      <c r="D182" s="378" t="s">
        <v>792</v>
      </c>
      <c r="E182" s="136"/>
      <c r="F182" s="378" t="s">
        <v>562</v>
      </c>
      <c r="G182" s="409" t="s">
        <v>14</v>
      </c>
      <c r="H182" s="410" t="s">
        <v>14</v>
      </c>
      <c r="I182" s="409" t="s">
        <v>14</v>
      </c>
      <c r="J182" s="410" t="s">
        <v>14</v>
      </c>
      <c r="K182" s="409" t="s">
        <v>14</v>
      </c>
      <c r="L182" s="410" t="s">
        <v>14</v>
      </c>
      <c r="M182" s="378"/>
      <c r="N182" s="378"/>
      <c r="O182" s="378"/>
      <c r="P182" s="378"/>
      <c r="Q182" s="378"/>
      <c r="R182" s="378"/>
      <c r="S182" s="378"/>
      <c r="T182" s="378"/>
    </row>
    <row r="183" spans="1:20" x14ac:dyDescent="0.3">
      <c r="A183" s="82"/>
      <c r="B183" s="175" t="s">
        <v>526</v>
      </c>
      <c r="C183" s="150" t="s">
        <v>531</v>
      </c>
      <c r="D183" s="181" t="s">
        <v>792</v>
      </c>
      <c r="E183" s="153"/>
      <c r="F183" s="193" t="s">
        <v>815</v>
      </c>
      <c r="G183" s="153"/>
      <c r="H183" s="228">
        <v>0.80003100000000005</v>
      </c>
      <c r="I183" s="411" t="s">
        <v>14</v>
      </c>
      <c r="J183" s="412" t="s">
        <v>14</v>
      </c>
      <c r="K183" s="169"/>
      <c r="L183" s="155" t="s">
        <v>284</v>
      </c>
      <c r="N183" s="369"/>
      <c r="P183" s="369"/>
      <c r="R183" s="369"/>
      <c r="T183" s="369"/>
    </row>
    <row r="184" spans="1:20" x14ac:dyDescent="0.3">
      <c r="A184" s="82"/>
      <c r="B184" s="384"/>
      <c r="C184" s="384"/>
      <c r="D184" s="397"/>
      <c r="E184" s="362"/>
      <c r="F184" s="397"/>
      <c r="G184" s="362"/>
      <c r="H184" s="397"/>
      <c r="I184" s="362"/>
      <c r="J184" s="397"/>
      <c r="K184" s="362"/>
      <c r="L184" s="397"/>
      <c r="N184" s="369"/>
      <c r="P184" s="369"/>
      <c r="R184" s="369"/>
      <c r="T184" s="369"/>
    </row>
    <row r="185" spans="1:20" x14ac:dyDescent="0.3">
      <c r="A185" s="82"/>
      <c r="B185" s="384"/>
      <c r="C185" s="384"/>
      <c r="D185" s="397"/>
      <c r="E185" s="362"/>
      <c r="F185" s="397"/>
      <c r="G185" s="362"/>
      <c r="H185" s="397"/>
      <c r="I185" s="362"/>
      <c r="J185" s="397"/>
      <c r="K185" s="362"/>
      <c r="L185" s="397"/>
      <c r="N185" s="369"/>
      <c r="P185" s="369"/>
      <c r="R185" s="369"/>
      <c r="T185" s="369"/>
    </row>
    <row r="186" spans="1:20" ht="27.6" x14ac:dyDescent="0.3">
      <c r="A186" s="82"/>
      <c r="B186" s="108" t="s">
        <v>501</v>
      </c>
      <c r="C186" s="113" t="s">
        <v>506</v>
      </c>
      <c r="D186" s="112" t="s">
        <v>433</v>
      </c>
      <c r="E186" s="125"/>
      <c r="F186" s="110" t="s">
        <v>184</v>
      </c>
      <c r="G186" s="113"/>
      <c r="H186" s="168" t="s">
        <v>277</v>
      </c>
      <c r="I186" s="125"/>
      <c r="J186" s="110" t="s">
        <v>511</v>
      </c>
      <c r="K186" s="113"/>
      <c r="L186" s="168" t="s">
        <v>183</v>
      </c>
      <c r="M186" s="189"/>
      <c r="N186" s="142" t="s">
        <v>205</v>
      </c>
      <c r="O186" s="168"/>
      <c r="P186" s="168" t="s">
        <v>507</v>
      </c>
      <c r="Q186" s="189"/>
      <c r="R186" s="110" t="s">
        <v>206</v>
      </c>
      <c r="S186" s="189"/>
      <c r="T186" s="110" t="s">
        <v>182</v>
      </c>
    </row>
    <row r="187" spans="1:20" ht="15" thickBot="1" x14ac:dyDescent="0.35">
      <c r="A187" s="82"/>
      <c r="B187" s="173" t="s">
        <v>282</v>
      </c>
      <c r="C187" s="171" t="s">
        <v>269</v>
      </c>
      <c r="D187" s="171"/>
      <c r="E187" s="178"/>
      <c r="F187" s="174" t="s">
        <v>270</v>
      </c>
      <c r="G187" s="172"/>
      <c r="H187" s="171" t="s">
        <v>271</v>
      </c>
      <c r="I187" s="178"/>
      <c r="J187" s="174"/>
      <c r="K187" s="172"/>
      <c r="L187" s="171" t="s">
        <v>272</v>
      </c>
      <c r="M187" s="178"/>
      <c r="N187" s="174" t="s">
        <v>273</v>
      </c>
      <c r="O187" s="172"/>
      <c r="P187" s="171" t="s">
        <v>274</v>
      </c>
      <c r="Q187" s="178"/>
      <c r="R187" s="174" t="s">
        <v>275</v>
      </c>
      <c r="S187" s="178"/>
      <c r="T187" s="174" t="s">
        <v>276</v>
      </c>
    </row>
    <row r="188" spans="1:20" s="363" customFormat="1" ht="15" thickTop="1" x14ac:dyDescent="0.3">
      <c r="A188" s="378"/>
      <c r="B188" s="135" t="s">
        <v>554</v>
      </c>
      <c r="C188" s="378" t="s">
        <v>563</v>
      </c>
      <c r="D188" s="378" t="s">
        <v>436</v>
      </c>
      <c r="E188" s="136"/>
      <c r="F188" s="378" t="s">
        <v>482</v>
      </c>
      <c r="G188" s="136"/>
      <c r="H188" s="378" t="s">
        <v>564</v>
      </c>
      <c r="I188" s="409" t="s">
        <v>14</v>
      </c>
      <c r="J188" s="410" t="s">
        <v>14</v>
      </c>
      <c r="K188" s="136"/>
      <c r="L188" s="378">
        <v>21.67</v>
      </c>
      <c r="M188" s="349"/>
      <c r="N188" s="378">
        <v>0.62</v>
      </c>
      <c r="O188" s="349"/>
      <c r="P188" s="863">
        <v>4</v>
      </c>
      <c r="Q188" s="349"/>
      <c r="R188" s="673">
        <v>25</v>
      </c>
      <c r="S188" s="349"/>
      <c r="T188" s="263">
        <v>0.93600000000000005</v>
      </c>
    </row>
    <row r="189" spans="1:20" x14ac:dyDescent="0.3">
      <c r="A189" s="82"/>
      <c r="B189" s="175" t="s">
        <v>526</v>
      </c>
      <c r="C189" s="150" t="s">
        <v>532</v>
      </c>
      <c r="D189" s="150" t="s">
        <v>436</v>
      </c>
      <c r="E189" s="153"/>
      <c r="F189" s="155" t="s">
        <v>185</v>
      </c>
      <c r="G189" s="153"/>
      <c r="H189" s="150" t="s">
        <v>278</v>
      </c>
      <c r="I189" s="411" t="s">
        <v>14</v>
      </c>
      <c r="J189" s="412" t="s">
        <v>14</v>
      </c>
      <c r="K189" s="153"/>
      <c r="L189" s="235">
        <v>3.2</v>
      </c>
      <c r="M189" s="411" t="s">
        <v>14</v>
      </c>
      <c r="N189" s="412" t="s">
        <v>14</v>
      </c>
      <c r="O189" s="411" t="s">
        <v>14</v>
      </c>
      <c r="P189" s="412" t="s">
        <v>14</v>
      </c>
      <c r="Q189" s="202" t="s">
        <v>919</v>
      </c>
      <c r="R189" s="195">
        <v>3.5</v>
      </c>
      <c r="S189" s="204" t="s">
        <v>919</v>
      </c>
      <c r="T189" s="196">
        <v>0.89500000000000002</v>
      </c>
    </row>
    <row r="190" spans="1:20" x14ac:dyDescent="0.3">
      <c r="A190" s="82"/>
      <c r="B190" s="82"/>
      <c r="C190" s="384"/>
      <c r="D190" s="82"/>
      <c r="E190" s="82"/>
      <c r="F190" s="82"/>
      <c r="G190" s="82"/>
      <c r="H190" s="82"/>
      <c r="I190" s="82"/>
      <c r="J190" s="82"/>
      <c r="K190" s="82"/>
      <c r="L190" s="82"/>
      <c r="M190" s="82"/>
      <c r="N190" s="82"/>
      <c r="O190" s="82"/>
      <c r="P190" s="82"/>
      <c r="Q190" s="82"/>
      <c r="R190" s="82"/>
      <c r="S190" s="82"/>
      <c r="T190" s="82"/>
    </row>
    <row r="191" spans="1:20" x14ac:dyDescent="0.3">
      <c r="A191" s="397"/>
      <c r="B191" s="397"/>
      <c r="C191" s="397"/>
      <c r="D191" s="397"/>
      <c r="E191" s="362"/>
      <c r="F191" s="397"/>
      <c r="G191" s="362"/>
      <c r="H191" s="397"/>
      <c r="I191" s="362"/>
      <c r="J191" s="397"/>
      <c r="K191" s="362"/>
      <c r="L191" s="397"/>
      <c r="M191" s="362"/>
      <c r="N191" s="397"/>
      <c r="O191" s="121"/>
      <c r="P191" s="111"/>
      <c r="Q191" s="82"/>
      <c r="R191" s="82"/>
      <c r="S191" s="82"/>
      <c r="T191" s="82"/>
    </row>
    <row r="192" spans="1:20" x14ac:dyDescent="0.3">
      <c r="A192" s="397"/>
      <c r="B192" s="108" t="s">
        <v>501</v>
      </c>
      <c r="C192" s="113"/>
      <c r="D192" s="112" t="s">
        <v>433</v>
      </c>
      <c r="E192" s="207"/>
      <c r="F192" s="142" t="s">
        <v>538</v>
      </c>
      <c r="G192" s="125"/>
      <c r="H192" s="142" t="s">
        <v>295</v>
      </c>
      <c r="I192" s="362"/>
      <c r="J192" s="397"/>
      <c r="K192" s="362"/>
      <c r="L192" s="397"/>
      <c r="M192" s="362"/>
      <c r="N192" s="397"/>
      <c r="O192" s="121"/>
      <c r="P192" s="111"/>
      <c r="Q192" s="82"/>
      <c r="R192" s="82"/>
      <c r="S192" s="82"/>
      <c r="T192" s="82"/>
    </row>
    <row r="193" spans="1:20" ht="15" thickBot="1" x14ac:dyDescent="0.35">
      <c r="A193" s="397"/>
      <c r="B193" s="173" t="s">
        <v>282</v>
      </c>
      <c r="C193" s="171"/>
      <c r="D193" s="174"/>
      <c r="E193" s="205"/>
      <c r="F193" s="174" t="s">
        <v>289</v>
      </c>
      <c r="G193" s="208"/>
      <c r="H193" s="174" t="s">
        <v>290</v>
      </c>
      <c r="I193" s="362"/>
      <c r="J193" s="397"/>
      <c r="K193" s="362"/>
      <c r="L193" s="397"/>
      <c r="M193" s="362"/>
      <c r="N193" s="397"/>
      <c r="O193" s="121"/>
      <c r="P193" s="111"/>
      <c r="Q193" s="82"/>
      <c r="R193" s="82"/>
      <c r="S193" s="82"/>
      <c r="T193" s="82"/>
    </row>
    <row r="194" spans="1:20" ht="15" thickTop="1" x14ac:dyDescent="0.3">
      <c r="A194" s="397"/>
      <c r="B194" s="135" t="s">
        <v>554</v>
      </c>
      <c r="C194" s="378"/>
      <c r="D194" s="378" t="s">
        <v>436</v>
      </c>
      <c r="E194" s="136"/>
      <c r="F194" s="378" t="s">
        <v>539</v>
      </c>
      <c r="G194" s="349"/>
      <c r="H194" s="263" t="s">
        <v>480</v>
      </c>
      <c r="I194" s="362"/>
      <c r="J194" s="397"/>
      <c r="K194" s="362"/>
      <c r="L194" s="397"/>
      <c r="M194" s="362"/>
      <c r="N194" s="397"/>
      <c r="O194" s="121"/>
      <c r="P194" s="111"/>
      <c r="Q194" s="82"/>
      <c r="R194" s="82"/>
      <c r="S194" s="82"/>
      <c r="T194" s="82"/>
    </row>
    <row r="195" spans="1:20" x14ac:dyDescent="0.3">
      <c r="A195" s="397"/>
      <c r="B195" s="175" t="s">
        <v>526</v>
      </c>
      <c r="C195" s="150"/>
      <c r="D195" s="150" t="s">
        <v>436</v>
      </c>
      <c r="E195" s="153"/>
      <c r="F195" s="155" t="s">
        <v>388</v>
      </c>
      <c r="G195" s="432" t="s">
        <v>14</v>
      </c>
      <c r="H195" s="412" t="s">
        <v>14</v>
      </c>
      <c r="I195" s="362"/>
      <c r="J195" s="397"/>
      <c r="K195" s="362"/>
      <c r="L195" s="397"/>
      <c r="M195" s="362"/>
      <c r="N195" s="397"/>
      <c r="O195" s="121"/>
      <c r="P195" s="111"/>
      <c r="Q195" s="82"/>
      <c r="R195" s="82"/>
      <c r="S195" s="82"/>
      <c r="T195" s="82"/>
    </row>
    <row r="196" spans="1:20" x14ac:dyDescent="0.3">
      <c r="A196" s="397"/>
      <c r="B196" s="85"/>
      <c r="D196" s="85"/>
      <c r="E196" s="85"/>
      <c r="F196" s="85"/>
      <c r="G196" s="85"/>
      <c r="H196" s="85"/>
      <c r="I196" s="85"/>
      <c r="J196" s="397"/>
      <c r="K196" s="362"/>
      <c r="L196" s="397"/>
      <c r="M196" s="362"/>
      <c r="N196" s="397"/>
      <c r="O196" s="121"/>
      <c r="P196" s="111"/>
      <c r="Q196" s="82"/>
      <c r="R196" s="82"/>
      <c r="S196" s="82"/>
      <c r="T196" s="82"/>
    </row>
    <row r="197" spans="1:20" x14ac:dyDescent="0.3">
      <c r="A197" s="82"/>
      <c r="B197" s="85"/>
      <c r="C197" s="83"/>
      <c r="D197" s="397"/>
      <c r="E197" s="82"/>
      <c r="F197" s="82"/>
      <c r="G197" s="82"/>
      <c r="H197" s="82"/>
      <c r="I197" s="82"/>
      <c r="J197" s="82"/>
      <c r="K197" s="82"/>
      <c r="L197" s="82"/>
      <c r="M197" s="82"/>
      <c r="N197" s="82"/>
      <c r="O197" s="82"/>
      <c r="P197" s="82"/>
      <c r="Q197" s="82"/>
      <c r="R197" s="82"/>
      <c r="S197" s="82"/>
      <c r="T197" s="82"/>
    </row>
    <row r="198" spans="1:20" ht="27.6" x14ac:dyDescent="0.3">
      <c r="A198" s="82"/>
      <c r="B198" s="189" t="s">
        <v>505</v>
      </c>
      <c r="C198" s="113" t="s">
        <v>291</v>
      </c>
      <c r="D198" s="114"/>
      <c r="E198" s="125"/>
      <c r="F198" s="142" t="s">
        <v>292</v>
      </c>
      <c r="G198" s="125"/>
      <c r="H198" s="142" t="s">
        <v>293</v>
      </c>
      <c r="I198" s="82"/>
      <c r="J198" s="82"/>
      <c r="K198" s="82"/>
      <c r="L198" s="82"/>
      <c r="M198" s="82"/>
      <c r="N198" s="82"/>
      <c r="O198" s="82"/>
      <c r="P198" s="82"/>
      <c r="Q198" s="82"/>
      <c r="R198" s="82"/>
      <c r="S198" s="82"/>
      <c r="T198" s="82"/>
    </row>
    <row r="199" spans="1:20" ht="15" thickBot="1" x14ac:dyDescent="0.35">
      <c r="A199" s="82"/>
      <c r="B199" s="173" t="s">
        <v>285</v>
      </c>
      <c r="C199" s="171" t="s">
        <v>286</v>
      </c>
      <c r="D199" s="376"/>
      <c r="E199" s="208"/>
      <c r="F199" s="174" t="s">
        <v>287</v>
      </c>
      <c r="G199" s="208"/>
      <c r="H199" s="174" t="s">
        <v>288</v>
      </c>
      <c r="I199" s="82"/>
      <c r="J199" s="82"/>
      <c r="K199" s="82"/>
      <c r="L199" s="82"/>
      <c r="M199" s="82"/>
      <c r="N199" s="82"/>
      <c r="O199" s="82"/>
      <c r="P199" s="82"/>
      <c r="Q199" s="82"/>
      <c r="R199" s="82"/>
      <c r="S199" s="82"/>
      <c r="T199" s="82"/>
    </row>
    <row r="200" spans="1:20" ht="15" thickTop="1" x14ac:dyDescent="0.3">
      <c r="A200" s="82"/>
      <c r="B200" s="137" t="s">
        <v>207</v>
      </c>
      <c r="C200" s="85" t="s">
        <v>297</v>
      </c>
      <c r="D200" s="99"/>
      <c r="E200" s="136"/>
      <c r="F200" s="146" t="s">
        <v>415</v>
      </c>
      <c r="G200" s="136"/>
      <c r="H200" s="146" t="s">
        <v>416</v>
      </c>
      <c r="I200" s="362"/>
      <c r="J200" s="397"/>
      <c r="K200" s="362"/>
      <c r="L200" s="397"/>
      <c r="M200" s="82"/>
      <c r="N200" s="82"/>
      <c r="O200" s="397"/>
      <c r="P200" s="397"/>
      <c r="Q200" s="397"/>
      <c r="R200" s="397"/>
      <c r="S200" s="397"/>
      <c r="T200" s="397"/>
    </row>
    <row r="201" spans="1:20" x14ac:dyDescent="0.3">
      <c r="A201" s="82"/>
      <c r="B201" s="137" t="s">
        <v>208</v>
      </c>
      <c r="C201" s="85" t="s">
        <v>297</v>
      </c>
      <c r="D201" s="99"/>
      <c r="E201" s="136"/>
      <c r="F201" s="146" t="s">
        <v>415</v>
      </c>
      <c r="G201" s="136"/>
      <c r="H201" s="146" t="s">
        <v>416</v>
      </c>
      <c r="I201" s="362"/>
      <c r="J201" s="397"/>
      <c r="K201" s="362"/>
      <c r="L201" s="397"/>
      <c r="M201" s="82"/>
      <c r="N201" s="82"/>
      <c r="O201" s="397"/>
      <c r="P201" s="397"/>
      <c r="Q201" s="397"/>
      <c r="R201" s="397"/>
      <c r="S201" s="397"/>
      <c r="T201" s="397"/>
    </row>
    <row r="202" spans="1:20" x14ac:dyDescent="0.3">
      <c r="A202" s="82"/>
      <c r="B202" s="124" t="s">
        <v>209</v>
      </c>
      <c r="C202" s="85" t="s">
        <v>296</v>
      </c>
      <c r="E202" s="409" t="s">
        <v>14</v>
      </c>
      <c r="F202" s="410" t="s">
        <v>14</v>
      </c>
      <c r="G202" s="409" t="s">
        <v>14</v>
      </c>
      <c r="H202" s="410" t="s">
        <v>14</v>
      </c>
      <c r="I202" s="362"/>
      <c r="J202" s="397"/>
      <c r="K202" s="362"/>
      <c r="L202" s="397"/>
      <c r="M202" s="82"/>
      <c r="N202" s="82"/>
      <c r="O202" s="397"/>
      <c r="P202" s="397"/>
      <c r="Q202" s="397"/>
      <c r="R202" s="397"/>
      <c r="S202" s="397"/>
      <c r="T202" s="397"/>
    </row>
    <row r="203" spans="1:20" x14ac:dyDescent="0.3">
      <c r="A203" s="82"/>
      <c r="B203" s="124" t="s">
        <v>210</v>
      </c>
      <c r="C203" s="85" t="s">
        <v>297</v>
      </c>
      <c r="E203" s="136"/>
      <c r="F203" s="146" t="s">
        <v>415</v>
      </c>
      <c r="G203" s="136"/>
      <c r="H203" s="146" t="s">
        <v>416</v>
      </c>
      <c r="I203" s="362"/>
      <c r="J203" s="397"/>
      <c r="K203" s="362"/>
      <c r="L203" s="397"/>
      <c r="M203" s="82"/>
      <c r="N203" s="82"/>
      <c r="O203" s="397"/>
      <c r="P203" s="397"/>
      <c r="Q203" s="397"/>
      <c r="R203" s="397"/>
      <c r="S203" s="397"/>
      <c r="T203" s="397"/>
    </row>
    <row r="204" spans="1:20" x14ac:dyDescent="0.3">
      <c r="A204" s="82"/>
      <c r="B204" s="175" t="s">
        <v>211</v>
      </c>
      <c r="C204" s="150" t="s">
        <v>297</v>
      </c>
      <c r="D204" s="151"/>
      <c r="E204" s="153"/>
      <c r="F204" s="155" t="s">
        <v>415</v>
      </c>
      <c r="G204" s="153"/>
      <c r="H204" s="155" t="s">
        <v>416</v>
      </c>
      <c r="I204" s="362"/>
      <c r="J204" s="397"/>
      <c r="K204" s="362"/>
      <c r="L204" s="397"/>
      <c r="M204" s="82"/>
      <c r="N204" s="82"/>
      <c r="O204" s="397"/>
      <c r="P204" s="397"/>
      <c r="Q204" s="397"/>
      <c r="R204" s="397"/>
      <c r="S204" s="397"/>
      <c r="T204" s="397"/>
    </row>
    <row r="205" spans="1:20" x14ac:dyDescent="0.3">
      <c r="A205" s="82"/>
    </row>
    <row r="206" spans="1:20" x14ac:dyDescent="0.3">
      <c r="A206" s="24"/>
      <c r="B206" s="24" t="s">
        <v>487</v>
      </c>
      <c r="D206" s="15"/>
      <c r="E206" s="362"/>
      <c r="F206" s="397"/>
      <c r="G206" s="362"/>
      <c r="H206" s="397"/>
      <c r="I206" s="362"/>
      <c r="J206" s="397"/>
      <c r="K206" s="362"/>
      <c r="L206" s="397"/>
      <c r="M206" s="362"/>
      <c r="N206" s="397"/>
      <c r="O206" s="121"/>
      <c r="P206" s="111"/>
      <c r="Q206" s="362"/>
      <c r="R206" s="397"/>
      <c r="S206" s="362"/>
      <c r="T206" s="397"/>
    </row>
    <row r="207" spans="1:20" ht="27.6" x14ac:dyDescent="0.3">
      <c r="A207" s="397"/>
      <c r="B207" s="108" t="s">
        <v>488</v>
      </c>
      <c r="C207" s="389"/>
      <c r="D207" s="112" t="s">
        <v>433</v>
      </c>
      <c r="E207" s="231"/>
      <c r="F207" s="109" t="s">
        <v>836</v>
      </c>
      <c r="G207" s="210"/>
      <c r="H207" s="116" t="s">
        <v>489</v>
      </c>
      <c r="I207" s="231"/>
      <c r="J207" s="109" t="s">
        <v>490</v>
      </c>
      <c r="K207" s="455"/>
      <c r="L207" s="456" t="s">
        <v>491</v>
      </c>
      <c r="M207" s="231"/>
      <c r="N207" s="109" t="s">
        <v>739</v>
      </c>
      <c r="O207" s="121"/>
      <c r="P207" s="111"/>
      <c r="Q207" s="362"/>
      <c r="R207" s="397"/>
      <c r="S207" s="362"/>
      <c r="T207" s="397"/>
    </row>
    <row r="208" spans="1:20" ht="15" thickBot="1" x14ac:dyDescent="0.35">
      <c r="A208" s="397"/>
      <c r="B208" s="212"/>
      <c r="C208" s="376"/>
      <c r="D208" s="211"/>
      <c r="E208" s="375"/>
      <c r="F208" s="355" t="s">
        <v>1057</v>
      </c>
      <c r="G208" s="376"/>
      <c r="H208" s="354" t="s">
        <v>1058</v>
      </c>
      <c r="I208" s="230"/>
      <c r="J208" s="355" t="s">
        <v>1059</v>
      </c>
      <c r="K208" s="211"/>
      <c r="L208" s="354" t="s">
        <v>611</v>
      </c>
      <c r="M208" s="230"/>
      <c r="N208" s="355" t="s">
        <v>1060</v>
      </c>
      <c r="O208" s="121"/>
      <c r="P208" s="111"/>
      <c r="Q208" s="362"/>
      <c r="R208" s="397"/>
      <c r="S208" s="362"/>
      <c r="T208" s="397"/>
    </row>
    <row r="209" spans="1:26" ht="15" thickTop="1" x14ac:dyDescent="0.3">
      <c r="A209" s="397"/>
      <c r="B209" s="356">
        <v>2</v>
      </c>
      <c r="C209" s="379"/>
      <c r="D209" s="181" t="s">
        <v>436</v>
      </c>
      <c r="E209" s="707" t="s">
        <v>919</v>
      </c>
      <c r="F209" s="195">
        <v>240681</v>
      </c>
      <c r="G209" s="359"/>
      <c r="H209" s="150">
        <v>0.82250000000000001</v>
      </c>
      <c r="I209" s="165"/>
      <c r="J209" s="155" t="s">
        <v>475</v>
      </c>
      <c r="K209" s="164"/>
      <c r="L209" s="150" t="s">
        <v>493</v>
      </c>
      <c r="M209" s="165"/>
      <c r="N209" s="155">
        <v>0.25</v>
      </c>
      <c r="O209" s="121"/>
      <c r="P209" s="111"/>
      <c r="Q209" s="362"/>
      <c r="R209" s="397"/>
      <c r="S209" s="362"/>
      <c r="T209" s="397"/>
    </row>
    <row r="210" spans="1:26" x14ac:dyDescent="0.3">
      <c r="A210" s="397"/>
      <c r="B210" s="397"/>
      <c r="C210" s="397"/>
      <c r="D210" s="362"/>
      <c r="E210" s="362"/>
      <c r="F210" s="397"/>
      <c r="G210" s="362"/>
      <c r="H210" s="397"/>
      <c r="I210" s="362"/>
      <c r="J210" s="397"/>
      <c r="K210" s="362"/>
      <c r="L210" s="397"/>
      <c r="M210" s="362"/>
      <c r="N210" s="397"/>
      <c r="O210" s="362"/>
      <c r="P210" s="397"/>
      <c r="Q210" s="362"/>
      <c r="R210" s="397"/>
      <c r="S210" s="362"/>
      <c r="T210" s="397"/>
    </row>
    <row r="211" spans="1:26" s="36" customFormat="1" ht="27.6" x14ac:dyDescent="0.3">
      <c r="A211" s="82"/>
      <c r="B211" s="125" t="s">
        <v>750</v>
      </c>
      <c r="C211" s="113" t="s">
        <v>751</v>
      </c>
      <c r="D211" s="113" t="s">
        <v>433</v>
      </c>
      <c r="E211" s="125"/>
      <c r="F211" s="142" t="s">
        <v>760</v>
      </c>
      <c r="G211" s="113"/>
      <c r="H211" s="113" t="s">
        <v>761</v>
      </c>
      <c r="I211" s="125"/>
      <c r="J211" s="142" t="s">
        <v>1109</v>
      </c>
      <c r="K211" s="207"/>
      <c r="L211" s="113" t="s">
        <v>764</v>
      </c>
      <c r="M211" s="207"/>
      <c r="N211" s="142" t="s">
        <v>772</v>
      </c>
      <c r="O211" s="113"/>
      <c r="P211" s="113" t="s">
        <v>773</v>
      </c>
      <c r="Q211" s="125"/>
      <c r="R211" s="113" t="s">
        <v>492</v>
      </c>
      <c r="S211" s="125"/>
      <c r="T211" s="142" t="s">
        <v>1051</v>
      </c>
      <c r="U211" s="87"/>
      <c r="V211" s="86"/>
      <c r="W211" s="87"/>
      <c r="X211" s="86"/>
      <c r="Y211" s="87"/>
      <c r="Z211" s="86"/>
    </row>
    <row r="212" spans="1:26" s="448" customFormat="1" thickBot="1" x14ac:dyDescent="0.35">
      <c r="A212" s="82"/>
      <c r="B212" s="178"/>
      <c r="C212" s="171"/>
      <c r="D212" s="172"/>
      <c r="E212" s="173"/>
      <c r="F212" s="355" t="s">
        <v>1061</v>
      </c>
      <c r="G212" s="171"/>
      <c r="H212" s="355" t="s">
        <v>1066</v>
      </c>
      <c r="I212" s="173"/>
      <c r="J212" s="355" t="s">
        <v>1110</v>
      </c>
      <c r="K212" s="173"/>
      <c r="L212" s="355" t="s">
        <v>1062</v>
      </c>
      <c r="M212" s="173"/>
      <c r="N212" s="355" t="s">
        <v>1063</v>
      </c>
      <c r="O212" s="171"/>
      <c r="P212" s="355" t="s">
        <v>1064</v>
      </c>
      <c r="Q212" s="173"/>
      <c r="R212" s="354" t="s">
        <v>1065</v>
      </c>
      <c r="S212" s="173"/>
      <c r="T212" s="174" t="s">
        <v>774</v>
      </c>
      <c r="U212" s="87"/>
      <c r="V212" s="86"/>
      <c r="W212" s="87"/>
      <c r="X212" s="86"/>
      <c r="Y212" s="87"/>
      <c r="Z212" s="86"/>
    </row>
    <row r="213" spans="1:26" s="364" customFormat="1" ht="12.75" customHeight="1" thickTop="1" x14ac:dyDescent="0.3">
      <c r="A213" s="378"/>
      <c r="B213" s="135" t="s">
        <v>752</v>
      </c>
      <c r="C213" s="371" t="s">
        <v>758</v>
      </c>
      <c r="D213" s="378" t="s">
        <v>436</v>
      </c>
      <c r="E213" s="136"/>
      <c r="F213" s="371" t="s">
        <v>494</v>
      </c>
      <c r="G213" s="136"/>
      <c r="H213" s="378" t="s">
        <v>762</v>
      </c>
      <c r="I213" s="479" t="s">
        <v>919</v>
      </c>
      <c r="J213" s="587">
        <f>ROUND(F209/500.19/40,2)</f>
        <v>12.03</v>
      </c>
      <c r="K213" s="136"/>
      <c r="L213" s="665" t="str">
        <f>ROUND(19*J213/1000,2)&amp;" (19 W/gpm)"</f>
        <v>0.23 (19 W/gpm)</v>
      </c>
      <c r="M213" s="136"/>
      <c r="N213" s="371">
        <v>0.5</v>
      </c>
      <c r="O213" s="479" t="s">
        <v>919</v>
      </c>
      <c r="P213" s="587">
        <f>ROUND(19/745.6*3960*R213*0.7,1)</f>
        <v>60.4</v>
      </c>
      <c r="Q213" s="136"/>
      <c r="R213" s="371">
        <v>0.85499999999999998</v>
      </c>
      <c r="S213" s="409" t="s">
        <v>14</v>
      </c>
      <c r="T213" s="410" t="s">
        <v>14</v>
      </c>
      <c r="U213" s="87"/>
      <c r="V213" s="86"/>
      <c r="W213" s="87"/>
      <c r="X213" s="86"/>
      <c r="Y213" s="87"/>
      <c r="Z213" s="86"/>
    </row>
    <row r="214" spans="1:26" s="364" customFormat="1" ht="12.75" customHeight="1" x14ac:dyDescent="0.3">
      <c r="A214" s="378"/>
      <c r="B214" s="316" t="s">
        <v>753</v>
      </c>
      <c r="C214" s="160" t="s">
        <v>759</v>
      </c>
      <c r="D214" s="158" t="s">
        <v>436</v>
      </c>
      <c r="E214" s="421"/>
      <c r="F214" s="160" t="s">
        <v>494</v>
      </c>
      <c r="G214" s="421"/>
      <c r="H214" s="158" t="s">
        <v>762</v>
      </c>
      <c r="I214" s="204" t="s">
        <v>919</v>
      </c>
      <c r="J214" s="723">
        <f>ROUND(F209/500.19/40,2)</f>
        <v>12.03</v>
      </c>
      <c r="K214" s="421"/>
      <c r="L214" s="724" t="str">
        <f>ROUND(19*J214/1000,2)&amp;" (19 W/gpm)"</f>
        <v>0.23 (19 W/gpm)</v>
      </c>
      <c r="M214" s="421"/>
      <c r="N214" s="166">
        <v>0.5</v>
      </c>
      <c r="O214" s="204" t="s">
        <v>919</v>
      </c>
      <c r="P214" s="725">
        <f>ROUND(19/745.6*3960*R214*0.7,1)</f>
        <v>60.4</v>
      </c>
      <c r="Q214" s="421"/>
      <c r="R214" s="160">
        <v>0.85499999999999998</v>
      </c>
      <c r="S214" s="411" t="s">
        <v>14</v>
      </c>
      <c r="T214" s="412" t="s">
        <v>14</v>
      </c>
      <c r="U214" s="87"/>
      <c r="V214" s="86"/>
      <c r="W214" s="87"/>
      <c r="X214" s="86"/>
      <c r="Y214" s="87"/>
      <c r="Z214" s="86"/>
    </row>
    <row r="215" spans="1:26" s="369" customFormat="1" ht="13.8" x14ac:dyDescent="0.3">
      <c r="A215" s="82"/>
      <c r="C215" s="85"/>
      <c r="E215" s="76"/>
      <c r="F215" s="371"/>
      <c r="G215" s="76"/>
      <c r="H215" s="29"/>
      <c r="J215" s="85"/>
      <c r="L215" s="85"/>
      <c r="N215" s="85"/>
      <c r="P215" s="85"/>
      <c r="R215" s="85"/>
      <c r="T215" s="85"/>
    </row>
    <row r="216" spans="1:26" s="369" customFormat="1" ht="13.8" x14ac:dyDescent="0.3">
      <c r="A216" s="82"/>
      <c r="C216" s="85"/>
      <c r="E216" s="76"/>
      <c r="F216" s="371"/>
      <c r="G216" s="76"/>
      <c r="H216" s="29"/>
      <c r="J216" s="85"/>
      <c r="L216" s="85"/>
      <c r="N216" s="85"/>
      <c r="P216" s="85"/>
      <c r="R216" s="85"/>
      <c r="T216" s="85"/>
    </row>
    <row r="217" spans="1:26" s="369" customFormat="1" ht="13.8" x14ac:dyDescent="0.3">
      <c r="A217" s="82"/>
      <c r="C217" s="85"/>
      <c r="E217" s="76"/>
      <c r="F217" s="371"/>
      <c r="G217" s="76"/>
      <c r="H217" s="29"/>
      <c r="J217" s="85"/>
      <c r="L217" s="85"/>
      <c r="N217" s="85"/>
      <c r="P217" s="85"/>
      <c r="R217" s="85"/>
      <c r="T217" s="85"/>
    </row>
    <row r="218" spans="1:26" s="369" customFormat="1" ht="13.8" x14ac:dyDescent="0.3">
      <c r="A218" s="82"/>
      <c r="C218" s="85"/>
      <c r="E218" s="76"/>
      <c r="F218" s="371"/>
      <c r="G218" s="76"/>
      <c r="H218" s="29"/>
      <c r="J218" s="85"/>
      <c r="L218" s="85"/>
      <c r="N218" s="85"/>
      <c r="P218" s="85"/>
      <c r="R218" s="85"/>
      <c r="T218" s="85"/>
    </row>
    <row r="219" spans="1:26" s="369" customFormat="1" ht="13.8" x14ac:dyDescent="0.3">
      <c r="A219" s="82"/>
      <c r="C219" s="85"/>
      <c r="E219" s="76"/>
      <c r="F219" s="371"/>
      <c r="G219" s="76"/>
      <c r="H219" s="29"/>
      <c r="J219" s="85"/>
      <c r="L219" s="85"/>
      <c r="N219" s="85"/>
      <c r="P219" s="85"/>
      <c r="R219" s="85"/>
      <c r="T219" s="85"/>
    </row>
    <row r="220" spans="1:26" s="369" customFormat="1" ht="13.8" x14ac:dyDescent="0.3">
      <c r="A220" s="82"/>
      <c r="C220" s="85"/>
      <c r="E220" s="76"/>
      <c r="F220" s="371"/>
      <c r="G220" s="76"/>
      <c r="H220" s="29"/>
      <c r="J220" s="85"/>
      <c r="L220" s="85"/>
      <c r="N220" s="85"/>
      <c r="P220" s="85"/>
      <c r="R220" s="85"/>
      <c r="T220" s="85"/>
    </row>
    <row r="221" spans="1:26" s="369" customFormat="1" ht="13.8" x14ac:dyDescent="0.3">
      <c r="A221" s="82"/>
      <c r="C221" s="85"/>
      <c r="E221" s="76"/>
      <c r="F221" s="371"/>
      <c r="G221" s="76"/>
      <c r="H221" s="29"/>
      <c r="J221" s="85"/>
      <c r="L221" s="85"/>
      <c r="N221" s="85"/>
      <c r="P221" s="85"/>
      <c r="R221" s="85"/>
      <c r="T221" s="85"/>
    </row>
    <row r="222" spans="1:26" s="369" customFormat="1" ht="13.8" x14ac:dyDescent="0.3">
      <c r="A222" s="82"/>
      <c r="C222" s="85"/>
      <c r="E222" s="76"/>
      <c r="F222" s="371"/>
      <c r="G222" s="76"/>
      <c r="H222" s="29"/>
      <c r="J222" s="85"/>
      <c r="L222" s="85"/>
      <c r="N222" s="85"/>
      <c r="P222" s="85"/>
      <c r="R222" s="85"/>
      <c r="T222" s="85"/>
    </row>
    <row r="223" spans="1:26" s="369" customFormat="1" ht="13.8" x14ac:dyDescent="0.3">
      <c r="A223" s="82"/>
      <c r="C223" s="85"/>
      <c r="E223" s="76"/>
      <c r="F223" s="371"/>
      <c r="G223" s="76"/>
      <c r="H223" s="29"/>
      <c r="J223" s="85"/>
      <c r="L223" s="85"/>
      <c r="N223" s="85"/>
      <c r="P223" s="85"/>
      <c r="R223" s="85"/>
      <c r="T223" s="85"/>
    </row>
    <row r="224" spans="1:26" s="369" customFormat="1" ht="13.8" x14ac:dyDescent="0.3">
      <c r="A224" s="82"/>
      <c r="C224" s="85"/>
      <c r="E224" s="76"/>
      <c r="F224" s="371"/>
      <c r="G224" s="76"/>
      <c r="H224" s="29"/>
      <c r="J224" s="85"/>
      <c r="L224" s="85"/>
      <c r="N224" s="85"/>
      <c r="P224" s="85"/>
      <c r="R224" s="85"/>
      <c r="T224" s="85"/>
    </row>
    <row r="225" spans="1:20" s="369" customFormat="1" ht="13.8" x14ac:dyDescent="0.3">
      <c r="A225" s="82"/>
      <c r="C225" s="85"/>
      <c r="E225" s="76"/>
      <c r="F225" s="371"/>
      <c r="G225" s="76"/>
      <c r="H225" s="29"/>
      <c r="J225" s="85"/>
      <c r="L225" s="85"/>
      <c r="N225" s="85"/>
      <c r="P225" s="85"/>
      <c r="R225" s="85"/>
      <c r="T225" s="85"/>
    </row>
    <row r="226" spans="1:20" s="369" customFormat="1" ht="13.8" x14ac:dyDescent="0.3">
      <c r="A226" s="82"/>
      <c r="C226" s="85"/>
      <c r="E226" s="76"/>
      <c r="F226" s="371"/>
      <c r="G226" s="76"/>
      <c r="H226" s="29"/>
      <c r="J226" s="85"/>
      <c r="L226" s="85"/>
      <c r="N226" s="85"/>
      <c r="P226" s="85"/>
      <c r="R226" s="85"/>
      <c r="T226" s="85"/>
    </row>
    <row r="227" spans="1:20" s="369" customFormat="1" ht="13.8" x14ac:dyDescent="0.3">
      <c r="A227" s="82"/>
      <c r="C227" s="85"/>
      <c r="E227" s="76"/>
      <c r="F227" s="371"/>
      <c r="G227" s="76"/>
      <c r="H227" s="29"/>
      <c r="J227" s="85"/>
      <c r="L227" s="85"/>
      <c r="N227" s="85"/>
      <c r="P227" s="85"/>
      <c r="R227" s="85"/>
      <c r="T227" s="85"/>
    </row>
    <row r="228" spans="1:20" s="369" customFormat="1" ht="13.8" x14ac:dyDescent="0.3">
      <c r="A228" s="82"/>
      <c r="C228" s="85"/>
      <c r="E228" s="76"/>
      <c r="F228" s="371"/>
      <c r="G228" s="76"/>
      <c r="H228" s="29"/>
      <c r="J228" s="85"/>
      <c r="L228" s="85"/>
      <c r="N228" s="85"/>
      <c r="P228" s="85"/>
      <c r="R228" s="85"/>
      <c r="T228" s="85"/>
    </row>
  </sheetData>
  <pageMargins left="0.7" right="0.7" top="0.75" bottom="0.75" header="0.3" footer="0.3"/>
  <pageSetup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sheetPr>
  <dimension ref="A1:AD195"/>
  <sheetViews>
    <sheetView zoomScale="85" zoomScaleNormal="85" workbookViewId="0"/>
  </sheetViews>
  <sheetFormatPr defaultColWidth="9.109375" defaultRowHeight="14.4" x14ac:dyDescent="0.3"/>
  <cols>
    <col min="1" max="1" width="3.88671875" style="369" customWidth="1"/>
    <col min="2" max="2" width="27" style="369" bestFit="1" customWidth="1"/>
    <col min="3" max="3" width="30.5546875" style="85" customWidth="1"/>
    <col min="4" max="4" width="11.6640625" style="369" bestFit="1" customWidth="1"/>
    <col min="5" max="5" width="2.6640625" style="76" customWidth="1"/>
    <col min="6" max="6" width="30.6640625" style="371" customWidth="1"/>
    <col min="7" max="7" width="2.6640625" style="76" customWidth="1"/>
    <col min="8" max="8" width="27.88671875" style="29" bestFit="1" customWidth="1"/>
    <col min="9" max="9" width="2.6640625" style="369" customWidth="1"/>
    <col min="10" max="10" width="22" style="85" customWidth="1"/>
    <col min="11" max="11" width="2.6640625" style="369" customWidth="1"/>
    <col min="12" max="12" width="28.109375" style="85" customWidth="1"/>
    <col min="13" max="13" width="2.6640625" style="369" customWidth="1"/>
    <col min="14" max="14" width="26" style="85" customWidth="1"/>
    <col min="15" max="15" width="2.6640625" style="369" customWidth="1"/>
    <col min="16" max="16" width="27.6640625" style="85" customWidth="1"/>
    <col min="17" max="17" width="2.6640625" style="369" customWidth="1"/>
    <col min="18" max="18" width="22" style="85" customWidth="1"/>
    <col min="19" max="19" width="2.6640625" style="369" customWidth="1"/>
    <col min="20" max="20" width="19" style="85" customWidth="1"/>
    <col min="21" max="21" width="2.6640625" style="397" customWidth="1"/>
    <col min="22" max="22" width="23.5546875" style="397" customWidth="1"/>
    <col min="23" max="23" width="17" style="397" customWidth="1"/>
    <col min="24" max="16384" width="9.109375" style="397"/>
  </cols>
  <sheetData>
    <row r="1" spans="1:22" ht="12.75" customHeight="1" x14ac:dyDescent="0.3">
      <c r="U1" s="369"/>
    </row>
    <row r="2" spans="1:22" x14ac:dyDescent="0.3">
      <c r="B2" s="567" t="s">
        <v>5</v>
      </c>
      <c r="C2" s="568"/>
      <c r="D2" s="567"/>
      <c r="E2" s="574"/>
      <c r="F2" s="568" t="s">
        <v>6</v>
      </c>
      <c r="G2" s="369"/>
      <c r="K2" s="567"/>
      <c r="L2" s="568" t="s">
        <v>1101</v>
      </c>
    </row>
    <row r="3" spans="1:22" x14ac:dyDescent="0.3">
      <c r="B3" s="369" t="s">
        <v>0</v>
      </c>
      <c r="C3" s="65" t="s">
        <v>1341</v>
      </c>
      <c r="E3" s="369"/>
      <c r="F3" s="85" t="s">
        <v>8</v>
      </c>
      <c r="G3" s="369"/>
      <c r="H3" s="65"/>
      <c r="K3" s="569"/>
      <c r="L3" s="369" t="s">
        <v>1102</v>
      </c>
    </row>
    <row r="4" spans="1:22" x14ac:dyDescent="0.3">
      <c r="B4" s="369" t="s">
        <v>1</v>
      </c>
      <c r="C4" s="85" t="str">
        <f>C3&amp;".cibd16"</f>
        <v>030006S-OffMed-Run29.cibd16</v>
      </c>
      <c r="F4" s="85" t="s">
        <v>110</v>
      </c>
      <c r="G4" s="369"/>
      <c r="H4" s="396" t="str">
        <f>'Documentation Main Sheet'!I3</f>
        <v>Release package</v>
      </c>
      <c r="K4" s="570">
        <v>1</v>
      </c>
      <c r="L4" s="378" t="s">
        <v>1103</v>
      </c>
    </row>
    <row r="5" spans="1:22" x14ac:dyDescent="0.3">
      <c r="B5" s="369" t="s">
        <v>54</v>
      </c>
      <c r="C5" s="85" t="s">
        <v>56</v>
      </c>
      <c r="F5" s="85" t="s">
        <v>7</v>
      </c>
      <c r="H5" s="396" t="str">
        <f>'Documentation Main Sheet'!I4</f>
        <v>CBECC-Com 209.1.0 release</v>
      </c>
      <c r="I5" s="62"/>
      <c r="K5" s="571">
        <v>1</v>
      </c>
      <c r="L5" s="378" t="s">
        <v>1103</v>
      </c>
      <c r="P5" s="9"/>
      <c r="R5" s="9"/>
      <c r="T5" s="9"/>
    </row>
    <row r="6" spans="1:22" x14ac:dyDescent="0.3">
      <c r="B6" s="369" t="s">
        <v>390</v>
      </c>
      <c r="C6" s="85" t="s">
        <v>395</v>
      </c>
      <c r="F6" s="85" t="s">
        <v>2</v>
      </c>
      <c r="H6" s="394"/>
      <c r="J6" s="9"/>
      <c r="K6" s="572">
        <v>1</v>
      </c>
      <c r="L6" s="381" t="s">
        <v>1104</v>
      </c>
    </row>
    <row r="7" spans="1:22" x14ac:dyDescent="0.3">
      <c r="B7" s="369" t="s">
        <v>432</v>
      </c>
      <c r="C7" s="85" t="s">
        <v>1338</v>
      </c>
      <c r="F7" s="85" t="s">
        <v>3</v>
      </c>
      <c r="H7" s="396" t="str">
        <f>'Documentation Main Sheet'!I6</f>
        <v>Jireh Peng</v>
      </c>
      <c r="K7" s="573">
        <v>1</v>
      </c>
      <c r="L7" s="378" t="s">
        <v>1105</v>
      </c>
    </row>
    <row r="8" spans="1:22" x14ac:dyDescent="0.3">
      <c r="B8" s="369" t="s">
        <v>952</v>
      </c>
      <c r="C8" s="85" t="s">
        <v>430</v>
      </c>
      <c r="F8" s="369"/>
      <c r="G8" s="369"/>
      <c r="H8" s="369"/>
      <c r="K8" s="796">
        <v>1</v>
      </c>
      <c r="L8" s="369" t="s">
        <v>1396</v>
      </c>
    </row>
    <row r="9" spans="1:22" x14ac:dyDescent="0.3">
      <c r="F9" s="369"/>
      <c r="G9" s="369"/>
      <c r="H9" s="369"/>
    </row>
    <row r="10" spans="1:22" x14ac:dyDescent="0.3">
      <c r="A10" s="286"/>
      <c r="B10" s="287" t="s">
        <v>37</v>
      </c>
      <c r="C10" s="288"/>
      <c r="D10" s="286"/>
      <c r="E10" s="286"/>
      <c r="F10" s="289"/>
      <c r="G10" s="286"/>
      <c r="H10" s="288"/>
      <c r="I10" s="286"/>
      <c r="J10" s="288"/>
      <c r="K10" s="286"/>
      <c r="L10" s="288"/>
      <c r="M10" s="286"/>
      <c r="N10" s="288"/>
      <c r="O10" s="286"/>
      <c r="P10" s="288"/>
      <c r="Q10" s="286"/>
      <c r="R10" s="288"/>
      <c r="S10" s="286"/>
      <c r="T10" s="288"/>
      <c r="U10" s="288"/>
      <c r="V10" s="288"/>
    </row>
    <row r="11" spans="1:22" x14ac:dyDescent="0.3">
      <c r="A11" s="26"/>
      <c r="B11" s="28" t="s">
        <v>9</v>
      </c>
      <c r="C11" s="87"/>
      <c r="D11" s="86"/>
      <c r="E11" s="84"/>
      <c r="F11" s="85"/>
      <c r="G11" s="84"/>
      <c r="I11" s="84"/>
      <c r="K11" s="84"/>
      <c r="M11" s="84"/>
      <c r="O11" s="84"/>
      <c r="P11" s="77"/>
      <c r="Q11" s="84"/>
      <c r="R11" s="77"/>
      <c r="S11" s="84"/>
      <c r="T11" s="77"/>
    </row>
    <row r="12" spans="1:22" x14ac:dyDescent="0.3">
      <c r="A12" s="86"/>
      <c r="B12" s="84" t="s">
        <v>17</v>
      </c>
      <c r="C12" s="87"/>
      <c r="D12" s="86"/>
      <c r="E12" s="86"/>
      <c r="G12" s="86"/>
      <c r="H12" s="87"/>
      <c r="I12" s="86"/>
      <c r="J12" s="87"/>
      <c r="K12" s="84"/>
      <c r="L12" s="87"/>
      <c r="M12" s="84"/>
      <c r="N12" s="87"/>
      <c r="O12" s="84"/>
      <c r="P12" s="77"/>
      <c r="Q12" s="84"/>
      <c r="R12" s="77"/>
      <c r="S12" s="84"/>
      <c r="T12" s="77"/>
    </row>
    <row r="13" spans="1:22" ht="38.25" customHeight="1" x14ac:dyDescent="0.3">
      <c r="A13" s="84"/>
      <c r="B13" s="132" t="s">
        <v>137</v>
      </c>
      <c r="C13" s="113" t="s">
        <v>31</v>
      </c>
      <c r="D13" s="112" t="s">
        <v>433</v>
      </c>
      <c r="E13" s="132"/>
      <c r="F13" s="142" t="s">
        <v>49</v>
      </c>
      <c r="G13" s="112"/>
      <c r="H13" s="113" t="s">
        <v>11</v>
      </c>
      <c r="I13" s="132"/>
      <c r="J13" s="142" t="s">
        <v>495</v>
      </c>
      <c r="K13" s="115"/>
      <c r="L13" s="113" t="s">
        <v>496</v>
      </c>
      <c r="M13" s="138"/>
      <c r="N13" s="142" t="s">
        <v>497</v>
      </c>
      <c r="O13" s="115"/>
      <c r="P13" s="116" t="s">
        <v>498</v>
      </c>
      <c r="Q13" s="138"/>
      <c r="R13" s="109" t="s">
        <v>499</v>
      </c>
      <c r="S13" s="84"/>
      <c r="T13" s="77"/>
    </row>
    <row r="14" spans="1:22" ht="15" thickBot="1" x14ac:dyDescent="0.35">
      <c r="A14" s="76"/>
      <c r="B14" s="126"/>
      <c r="C14" s="117" t="s">
        <v>23</v>
      </c>
      <c r="D14" s="118"/>
      <c r="E14" s="133"/>
      <c r="F14" s="143" t="s">
        <v>50</v>
      </c>
      <c r="G14" s="119"/>
      <c r="H14" s="117" t="s">
        <v>25</v>
      </c>
      <c r="I14" s="139"/>
      <c r="J14" s="143" t="s">
        <v>24</v>
      </c>
      <c r="K14" s="118"/>
      <c r="L14" s="117" t="s">
        <v>140</v>
      </c>
      <c r="M14" s="139"/>
      <c r="N14" s="143" t="s">
        <v>141</v>
      </c>
      <c r="O14" s="118"/>
      <c r="P14" s="117" t="s">
        <v>142</v>
      </c>
      <c r="Q14" s="126"/>
      <c r="R14" s="143" t="s">
        <v>143</v>
      </c>
      <c r="S14" s="84"/>
      <c r="T14" s="29"/>
    </row>
    <row r="15" spans="1:22" ht="15" thickTop="1" x14ac:dyDescent="0.3">
      <c r="B15" s="123" t="s">
        <v>10</v>
      </c>
      <c r="C15" s="85" t="s">
        <v>40</v>
      </c>
      <c r="D15" s="369" t="s">
        <v>435</v>
      </c>
      <c r="E15" s="418"/>
      <c r="F15" s="146" t="s">
        <v>321</v>
      </c>
      <c r="G15" s="418"/>
      <c r="H15" s="85" t="s">
        <v>30</v>
      </c>
      <c r="I15" s="418"/>
      <c r="J15" s="144">
        <v>6.5000000000000002E-2</v>
      </c>
      <c r="K15" s="418"/>
      <c r="L15" s="31">
        <v>0.78</v>
      </c>
      <c r="M15" s="418"/>
      <c r="N15" s="222">
        <v>0.78</v>
      </c>
      <c r="O15" s="418"/>
      <c r="P15" s="31">
        <v>0.75</v>
      </c>
      <c r="Q15" s="418"/>
      <c r="R15" s="147">
        <v>0.25</v>
      </c>
      <c r="S15" s="84"/>
      <c r="T15" s="29"/>
    </row>
    <row r="16" spans="1:22" x14ac:dyDescent="0.3">
      <c r="B16" s="123" t="s">
        <v>15</v>
      </c>
      <c r="C16" s="85" t="s">
        <v>58</v>
      </c>
      <c r="D16" s="369" t="s">
        <v>435</v>
      </c>
      <c r="E16" s="409" t="s">
        <v>14</v>
      </c>
      <c r="F16" s="470" t="s">
        <v>14</v>
      </c>
      <c r="G16" s="419"/>
      <c r="H16" s="85" t="s">
        <v>16</v>
      </c>
      <c r="I16" s="419"/>
      <c r="J16" s="146">
        <v>6.8000000000000005E-2</v>
      </c>
      <c r="K16" s="428" t="s">
        <v>14</v>
      </c>
      <c r="L16" s="428" t="s">
        <v>14</v>
      </c>
      <c r="M16" s="409" t="s">
        <v>14</v>
      </c>
      <c r="N16" s="410" t="s">
        <v>14</v>
      </c>
      <c r="O16" s="428" t="s">
        <v>14</v>
      </c>
      <c r="P16" s="428" t="s">
        <v>14</v>
      </c>
      <c r="Q16" s="409" t="s">
        <v>14</v>
      </c>
      <c r="R16" s="410" t="s">
        <v>14</v>
      </c>
      <c r="S16" s="84"/>
      <c r="T16" s="29"/>
    </row>
    <row r="17" spans="1:20" x14ac:dyDescent="0.3">
      <c r="B17" s="149" t="s">
        <v>623</v>
      </c>
      <c r="C17" s="150" t="s">
        <v>624</v>
      </c>
      <c r="D17" s="151" t="s">
        <v>435</v>
      </c>
      <c r="E17" s="411" t="s">
        <v>14</v>
      </c>
      <c r="F17" s="471" t="s">
        <v>14</v>
      </c>
      <c r="G17" s="417"/>
      <c r="H17" s="150" t="s">
        <v>42</v>
      </c>
      <c r="I17" s="417"/>
      <c r="J17" s="155">
        <v>3.9E-2</v>
      </c>
      <c r="K17" s="432" t="s">
        <v>14</v>
      </c>
      <c r="L17" s="432" t="s">
        <v>14</v>
      </c>
      <c r="M17" s="411" t="s">
        <v>14</v>
      </c>
      <c r="N17" s="412" t="s">
        <v>14</v>
      </c>
      <c r="O17" s="432" t="s">
        <v>14</v>
      </c>
      <c r="P17" s="432" t="s">
        <v>14</v>
      </c>
      <c r="Q17" s="411" t="s">
        <v>14</v>
      </c>
      <c r="R17" s="412" t="s">
        <v>14</v>
      </c>
      <c r="S17" s="84"/>
      <c r="T17" s="29"/>
    </row>
    <row r="18" spans="1:20" ht="15" customHeight="1" x14ac:dyDescent="0.3">
      <c r="A18" s="87"/>
      <c r="B18" s="87"/>
      <c r="C18" s="87"/>
      <c r="D18" s="86"/>
      <c r="E18" s="84"/>
      <c r="F18" s="85"/>
      <c r="G18" s="84"/>
      <c r="I18" s="84"/>
      <c r="K18" s="84"/>
      <c r="M18" s="84"/>
      <c r="O18" s="84"/>
      <c r="P18" s="77"/>
      <c r="Q18" s="84"/>
      <c r="R18" s="77"/>
      <c r="S18" s="84"/>
      <c r="T18" s="77"/>
    </row>
    <row r="19" spans="1:20" x14ac:dyDescent="0.3">
      <c r="A19" s="82"/>
      <c r="B19" s="83" t="s">
        <v>18</v>
      </c>
    </row>
    <row r="20" spans="1:20" ht="27.6" x14ac:dyDescent="0.3">
      <c r="A20" s="82"/>
      <c r="B20" s="216" t="s">
        <v>137</v>
      </c>
      <c r="C20" s="116" t="s">
        <v>31</v>
      </c>
      <c r="D20" s="213"/>
      <c r="E20" s="190"/>
      <c r="F20" s="109" t="s">
        <v>11</v>
      </c>
      <c r="G20" s="183"/>
      <c r="H20" s="116" t="s">
        <v>495</v>
      </c>
      <c r="I20" s="190"/>
      <c r="J20" s="109" t="s">
        <v>22</v>
      </c>
      <c r="K20" s="183"/>
      <c r="L20" s="109" t="s">
        <v>39</v>
      </c>
      <c r="M20" s="34"/>
      <c r="N20" s="77"/>
      <c r="O20" s="34"/>
      <c r="P20" s="77"/>
      <c r="Q20" s="34"/>
      <c r="R20" s="77"/>
      <c r="S20" s="34"/>
      <c r="T20" s="77"/>
    </row>
    <row r="21" spans="1:20" ht="15" thickBot="1" x14ac:dyDescent="0.35">
      <c r="A21" s="82"/>
      <c r="B21" s="126"/>
      <c r="C21" s="117" t="s">
        <v>46</v>
      </c>
      <c r="D21" s="118"/>
      <c r="E21" s="133"/>
      <c r="F21" s="143" t="s">
        <v>26</v>
      </c>
      <c r="G21" s="119"/>
      <c r="H21" s="117" t="s">
        <v>47</v>
      </c>
      <c r="I21" s="139"/>
      <c r="J21" s="143" t="s">
        <v>28</v>
      </c>
      <c r="K21" s="118"/>
      <c r="L21" s="143" t="s">
        <v>29</v>
      </c>
      <c r="M21" s="76"/>
      <c r="N21" s="29"/>
      <c r="O21" s="76"/>
      <c r="P21" s="29"/>
      <c r="Q21" s="29"/>
      <c r="R21" s="29"/>
      <c r="S21" s="29"/>
    </row>
    <row r="22" spans="1:20" ht="15" thickTop="1" x14ac:dyDescent="0.3">
      <c r="A22" s="82"/>
      <c r="B22" s="149" t="s">
        <v>20</v>
      </c>
      <c r="C22" s="151" t="s">
        <v>533</v>
      </c>
      <c r="D22" s="158"/>
      <c r="E22" s="153"/>
      <c r="F22" s="166" t="s">
        <v>19</v>
      </c>
      <c r="G22" s="169"/>
      <c r="H22" s="150">
        <v>0.35</v>
      </c>
      <c r="I22" s="153"/>
      <c r="J22" s="163">
        <v>0.32</v>
      </c>
      <c r="K22" s="169"/>
      <c r="L22" s="163">
        <v>0.53</v>
      </c>
    </row>
    <row r="23" spans="1:20" x14ac:dyDescent="0.3">
      <c r="C23" s="371"/>
      <c r="D23" s="378"/>
      <c r="E23" s="369"/>
      <c r="G23" s="369"/>
      <c r="H23" s="85"/>
    </row>
    <row r="24" spans="1:20" x14ac:dyDescent="0.3">
      <c r="A24" s="26"/>
      <c r="B24" s="28" t="s">
        <v>53</v>
      </c>
      <c r="D24" s="83"/>
      <c r="E24" s="40"/>
      <c r="F24" s="38"/>
      <c r="G24" s="40"/>
      <c r="H24" s="38"/>
      <c r="I24" s="40"/>
      <c r="J24" s="38"/>
      <c r="K24" s="40"/>
      <c r="L24" s="38"/>
      <c r="M24" s="40"/>
      <c r="N24" s="38"/>
      <c r="O24" s="40"/>
      <c r="P24" s="38"/>
      <c r="R24" s="38"/>
      <c r="T24" s="397"/>
    </row>
    <row r="25" spans="1:20" x14ac:dyDescent="0.3">
      <c r="B25" s="84" t="s">
        <v>17</v>
      </c>
      <c r="T25" s="397"/>
    </row>
    <row r="26" spans="1:20" x14ac:dyDescent="0.3">
      <c r="A26" s="84"/>
      <c r="B26" s="132" t="s">
        <v>137</v>
      </c>
      <c r="C26" s="113" t="s">
        <v>31</v>
      </c>
      <c r="D26" s="112" t="s">
        <v>433</v>
      </c>
      <c r="E26" s="132"/>
      <c r="F26" s="110" t="s">
        <v>32</v>
      </c>
      <c r="G26" s="112"/>
      <c r="H26" s="168" t="s">
        <v>33</v>
      </c>
      <c r="I26" s="132"/>
      <c r="J26" s="110" t="s">
        <v>34</v>
      </c>
      <c r="K26" s="112"/>
      <c r="L26" s="168" t="s">
        <v>35</v>
      </c>
      <c r="M26" s="132"/>
      <c r="N26" s="110" t="s">
        <v>36</v>
      </c>
      <c r="O26" s="112"/>
      <c r="P26" s="110" t="s">
        <v>144</v>
      </c>
      <c r="Q26" s="84"/>
      <c r="R26" s="78"/>
      <c r="S26" s="84"/>
      <c r="T26" s="397"/>
    </row>
    <row r="27" spans="1:20" ht="15" thickBot="1" x14ac:dyDescent="0.35">
      <c r="A27" s="76"/>
      <c r="B27" s="126"/>
      <c r="C27" s="117" t="s">
        <v>23</v>
      </c>
      <c r="D27" s="118"/>
      <c r="E27" s="133"/>
      <c r="F27" s="519" t="s">
        <v>968</v>
      </c>
      <c r="G27" s="119"/>
      <c r="H27" s="519" t="s">
        <v>968</v>
      </c>
      <c r="I27" s="139"/>
      <c r="J27" s="519" t="s">
        <v>968</v>
      </c>
      <c r="K27" s="118"/>
      <c r="L27" s="519" t="s">
        <v>968</v>
      </c>
      <c r="M27" s="139"/>
      <c r="N27" s="519" t="s">
        <v>968</v>
      </c>
      <c r="O27" s="118"/>
      <c r="P27" s="519" t="s">
        <v>968</v>
      </c>
      <c r="Q27" s="29"/>
      <c r="R27" s="29"/>
      <c r="S27" s="29"/>
      <c r="T27" s="397"/>
    </row>
    <row r="28" spans="1:20" ht="28.2" thickTop="1" x14ac:dyDescent="0.3">
      <c r="A28" s="60"/>
      <c r="B28" s="123" t="s">
        <v>10</v>
      </c>
      <c r="C28" s="85" t="s">
        <v>40</v>
      </c>
      <c r="D28" s="369" t="s">
        <v>435</v>
      </c>
      <c r="E28" s="134"/>
      <c r="F28" s="367" t="s">
        <v>1137</v>
      </c>
      <c r="G28" s="141"/>
      <c r="H28" s="371" t="s">
        <v>1160</v>
      </c>
      <c r="I28" s="480" t="s">
        <v>14</v>
      </c>
      <c r="J28" s="481" t="s">
        <v>14</v>
      </c>
      <c r="K28" s="480" t="s">
        <v>14</v>
      </c>
      <c r="L28" s="481" t="s">
        <v>14</v>
      </c>
      <c r="M28" s="480" t="s">
        <v>14</v>
      </c>
      <c r="N28" s="481" t="s">
        <v>14</v>
      </c>
      <c r="O28" s="480" t="s">
        <v>14</v>
      </c>
      <c r="P28" s="481" t="s">
        <v>14</v>
      </c>
      <c r="R28" s="66"/>
      <c r="T28" s="66"/>
    </row>
    <row r="29" spans="1:20" ht="27.6" x14ac:dyDescent="0.3">
      <c r="A29" s="60"/>
      <c r="B29" s="123" t="s">
        <v>15</v>
      </c>
      <c r="C29" s="85" t="s">
        <v>58</v>
      </c>
      <c r="D29" s="369" t="s">
        <v>435</v>
      </c>
      <c r="E29" s="134"/>
      <c r="F29" s="367" t="s">
        <v>1133</v>
      </c>
      <c r="G29" s="141"/>
      <c r="H29" s="371" t="s">
        <v>1146</v>
      </c>
      <c r="I29" s="268"/>
      <c r="J29" s="367" t="s">
        <v>1172</v>
      </c>
      <c r="K29" s="268"/>
      <c r="L29" s="367" t="s">
        <v>1173</v>
      </c>
      <c r="M29" s="268"/>
      <c r="N29" s="367" t="s">
        <v>1174</v>
      </c>
      <c r="O29" s="409" t="s">
        <v>14</v>
      </c>
      <c r="P29" s="410" t="s">
        <v>14</v>
      </c>
      <c r="R29" s="66"/>
      <c r="T29" s="66"/>
    </row>
    <row r="30" spans="1:20" ht="27.6" x14ac:dyDescent="0.3">
      <c r="A30" s="60"/>
      <c r="B30" s="149" t="s">
        <v>623</v>
      </c>
      <c r="C30" s="150" t="s">
        <v>624</v>
      </c>
      <c r="D30" s="151" t="s">
        <v>435</v>
      </c>
      <c r="E30" s="165"/>
      <c r="F30" s="166" t="s">
        <v>1136</v>
      </c>
      <c r="G30" s="164"/>
      <c r="H30" s="160" t="s">
        <v>1149</v>
      </c>
      <c r="I30" s="272"/>
      <c r="J30" s="166" t="s">
        <v>1141</v>
      </c>
      <c r="K30" s="272"/>
      <c r="L30" s="166" t="s">
        <v>1178</v>
      </c>
      <c r="M30" s="272"/>
      <c r="N30" s="166" t="s">
        <v>1171</v>
      </c>
      <c r="O30" s="411" t="s">
        <v>14</v>
      </c>
      <c r="P30" s="412" t="s">
        <v>14</v>
      </c>
      <c r="R30" s="66"/>
      <c r="T30" s="66"/>
    </row>
    <row r="32" spans="1:20" s="82" customFormat="1" ht="13.8" x14ac:dyDescent="0.3">
      <c r="A32" s="26"/>
      <c r="B32" s="28" t="s">
        <v>114</v>
      </c>
      <c r="D32" s="86"/>
      <c r="E32" s="84"/>
      <c r="G32" s="86"/>
      <c r="H32" s="84"/>
      <c r="J32" s="86"/>
      <c r="K32" s="84"/>
      <c r="M32" s="86"/>
      <c r="N32" s="84"/>
      <c r="P32" s="85"/>
      <c r="Q32" s="84"/>
      <c r="S32" s="86"/>
      <c r="T32" s="84"/>
    </row>
    <row r="33" spans="1:20" s="82" customFormat="1" ht="13.8" x14ac:dyDescent="0.3">
      <c r="B33" s="77" t="s">
        <v>212</v>
      </c>
      <c r="D33" s="86"/>
      <c r="E33" s="84"/>
      <c r="G33" s="86"/>
      <c r="H33" s="84"/>
      <c r="J33" s="86"/>
      <c r="K33" s="84"/>
      <c r="M33" s="86"/>
      <c r="N33" s="84"/>
      <c r="P33" s="86"/>
      <c r="Q33" s="84"/>
      <c r="S33" s="86"/>
      <c r="T33" s="84"/>
    </row>
    <row r="34" spans="1:20" s="85" customFormat="1" ht="38.25" customHeight="1" x14ac:dyDescent="0.3">
      <c r="B34" s="249" t="s">
        <v>138</v>
      </c>
      <c r="C34" s="256" t="s">
        <v>190</v>
      </c>
      <c r="D34" s="112" t="s">
        <v>433</v>
      </c>
      <c r="E34" s="258"/>
      <c r="F34" s="243" t="s">
        <v>524</v>
      </c>
      <c r="G34" s="258"/>
      <c r="H34" s="243" t="s">
        <v>123</v>
      </c>
      <c r="I34" s="82"/>
      <c r="J34" s="86"/>
      <c r="K34" s="84"/>
      <c r="L34" s="87"/>
      <c r="M34" s="87"/>
      <c r="N34" s="87"/>
      <c r="O34" s="87"/>
      <c r="P34" s="87"/>
      <c r="Q34" s="87"/>
      <c r="R34" s="87"/>
    </row>
    <row r="35" spans="1:20" s="369" customFormat="1" thickBot="1" x14ac:dyDescent="0.35">
      <c r="B35" s="100" t="s">
        <v>213</v>
      </c>
      <c r="C35" s="117"/>
      <c r="D35" s="215"/>
      <c r="E35" s="100"/>
      <c r="F35" s="101" t="s">
        <v>149</v>
      </c>
      <c r="G35" s="100"/>
      <c r="H35" s="101" t="s">
        <v>150</v>
      </c>
      <c r="I35" s="82"/>
      <c r="J35" s="86"/>
      <c r="K35" s="75"/>
      <c r="L35" s="87"/>
      <c r="M35" s="87"/>
      <c r="N35" s="87"/>
      <c r="O35" s="87"/>
      <c r="P35" s="87"/>
      <c r="Q35" s="87"/>
      <c r="R35" s="63"/>
    </row>
    <row r="36" spans="1:20" s="369" customFormat="1" ht="28.2" thickTop="1" x14ac:dyDescent="0.3">
      <c r="B36" s="175" t="s">
        <v>581</v>
      </c>
      <c r="C36" s="253" t="s">
        <v>117</v>
      </c>
      <c r="D36" s="229" t="s">
        <v>1339</v>
      </c>
      <c r="E36" s="153"/>
      <c r="F36" s="199">
        <v>0.75</v>
      </c>
      <c r="G36" s="153"/>
      <c r="H36" s="199" t="s">
        <v>130</v>
      </c>
      <c r="I36" s="82"/>
      <c r="J36" s="86"/>
      <c r="K36" s="87"/>
      <c r="L36" s="87"/>
      <c r="M36" s="87"/>
      <c r="N36" s="87"/>
      <c r="O36" s="87"/>
      <c r="P36" s="87"/>
      <c r="Q36" s="370"/>
    </row>
    <row r="37" spans="1:20" x14ac:dyDescent="0.3">
      <c r="I37" s="82"/>
      <c r="J37" s="86"/>
    </row>
    <row r="38" spans="1:20" x14ac:dyDescent="0.3">
      <c r="B38" s="85"/>
      <c r="C38" s="83"/>
      <c r="D38" s="397"/>
      <c r="E38" s="369"/>
      <c r="F38" s="369"/>
      <c r="G38" s="369"/>
      <c r="H38" s="369"/>
      <c r="J38" s="369"/>
      <c r="L38" s="66"/>
      <c r="N38" s="66"/>
      <c r="P38" s="66"/>
      <c r="R38" s="66"/>
      <c r="T38" s="66"/>
    </row>
    <row r="39" spans="1:20" x14ac:dyDescent="0.3">
      <c r="A39" s="26"/>
      <c r="B39" s="28" t="s">
        <v>517</v>
      </c>
      <c r="C39" s="83"/>
      <c r="D39" s="397"/>
      <c r="E39" s="369"/>
      <c r="F39" s="369"/>
      <c r="G39" s="369"/>
      <c r="H39" s="369"/>
      <c r="J39" s="369"/>
      <c r="L39" s="66"/>
      <c r="N39" s="66"/>
      <c r="P39" s="66"/>
      <c r="R39" s="66"/>
      <c r="T39" s="66"/>
    </row>
    <row r="40" spans="1:20" ht="41.4" x14ac:dyDescent="0.3">
      <c r="A40" s="82"/>
      <c r="B40" s="108" t="s">
        <v>500</v>
      </c>
      <c r="C40" s="116" t="s">
        <v>501</v>
      </c>
      <c r="D40" s="112" t="s">
        <v>433</v>
      </c>
      <c r="E40" s="177"/>
      <c r="F40" s="113" t="s">
        <v>437</v>
      </c>
      <c r="G40" s="177"/>
      <c r="H40" s="116" t="s">
        <v>137</v>
      </c>
      <c r="I40" s="177"/>
      <c r="J40" s="109" t="s">
        <v>186</v>
      </c>
      <c r="K40" s="125"/>
      <c r="L40" s="142" t="s">
        <v>510</v>
      </c>
      <c r="M40" s="113"/>
      <c r="N40" s="113" t="s">
        <v>509</v>
      </c>
      <c r="O40" s="207"/>
      <c r="P40" s="142" t="s">
        <v>508</v>
      </c>
      <c r="Q40" s="125"/>
      <c r="R40" s="142" t="s">
        <v>486</v>
      </c>
      <c r="S40" s="125"/>
      <c r="T40" s="142" t="s">
        <v>534</v>
      </c>
    </row>
    <row r="41" spans="1:20" ht="15" thickBot="1" x14ac:dyDescent="0.35">
      <c r="A41" s="82"/>
      <c r="B41" s="173" t="s">
        <v>259</v>
      </c>
      <c r="C41" s="171" t="s">
        <v>258</v>
      </c>
      <c r="D41" s="376"/>
      <c r="E41" s="178"/>
      <c r="F41" s="376"/>
      <c r="G41" s="230"/>
      <c r="H41" s="171" t="s">
        <v>260</v>
      </c>
      <c r="I41" s="178"/>
      <c r="J41" s="174" t="s">
        <v>261</v>
      </c>
      <c r="K41" s="208"/>
      <c r="L41" s="174" t="s">
        <v>646</v>
      </c>
      <c r="M41" s="205"/>
      <c r="N41" s="171" t="s">
        <v>647</v>
      </c>
      <c r="O41" s="208"/>
      <c r="P41" s="174" t="s">
        <v>289</v>
      </c>
      <c r="Q41" s="230"/>
      <c r="R41" s="174" t="s">
        <v>1127</v>
      </c>
      <c r="S41" s="230"/>
      <c r="T41" s="174" t="s">
        <v>1128</v>
      </c>
    </row>
    <row r="42" spans="1:20" s="364" customFormat="1" thickTop="1" x14ac:dyDescent="0.3">
      <c r="A42" s="378"/>
      <c r="B42" s="135" t="s">
        <v>568</v>
      </c>
      <c r="C42" s="378" t="s">
        <v>554</v>
      </c>
      <c r="D42" s="378" t="s">
        <v>435</v>
      </c>
      <c r="E42" s="131"/>
      <c r="F42" s="371" t="s">
        <v>567</v>
      </c>
      <c r="G42" s="418"/>
      <c r="H42" s="378" t="s">
        <v>449</v>
      </c>
      <c r="I42" s="418"/>
      <c r="J42" s="378" t="s">
        <v>187</v>
      </c>
      <c r="K42" s="418"/>
      <c r="L42" s="378">
        <v>55</v>
      </c>
      <c r="M42" s="418"/>
      <c r="N42" s="378">
        <v>60</v>
      </c>
      <c r="O42" s="418"/>
      <c r="P42" s="263" t="s">
        <v>930</v>
      </c>
      <c r="Q42" s="134"/>
      <c r="R42" s="206">
        <v>60</v>
      </c>
      <c r="S42" s="134"/>
      <c r="T42" s="206">
        <v>55</v>
      </c>
    </row>
    <row r="43" spans="1:20" s="364" customFormat="1" ht="13.8" x14ac:dyDescent="0.3">
      <c r="A43" s="378"/>
      <c r="B43" s="135" t="s">
        <v>569</v>
      </c>
      <c r="C43" s="378" t="s">
        <v>565</v>
      </c>
      <c r="D43" s="378" t="s">
        <v>435</v>
      </c>
      <c r="E43" s="131"/>
      <c r="F43" s="371" t="s">
        <v>571</v>
      </c>
      <c r="G43" s="419"/>
      <c r="H43" s="378" t="s">
        <v>449</v>
      </c>
      <c r="I43" s="419"/>
      <c r="J43" s="378" t="s">
        <v>187</v>
      </c>
      <c r="K43" s="419"/>
      <c r="L43" s="378">
        <v>55</v>
      </c>
      <c r="M43" s="418"/>
      <c r="N43" s="378">
        <v>60</v>
      </c>
      <c r="O43" s="419"/>
      <c r="P43" s="197" t="s">
        <v>930</v>
      </c>
      <c r="Q43" s="136"/>
      <c r="R43" s="206">
        <v>60</v>
      </c>
      <c r="S43" s="136"/>
      <c r="T43" s="206">
        <v>55</v>
      </c>
    </row>
    <row r="44" spans="1:20" x14ac:dyDescent="0.3">
      <c r="A44" s="82"/>
      <c r="B44" s="175" t="s">
        <v>570</v>
      </c>
      <c r="C44" s="150" t="s">
        <v>566</v>
      </c>
      <c r="D44" s="199" t="s">
        <v>435</v>
      </c>
      <c r="E44" s="179"/>
      <c r="F44" s="150" t="s">
        <v>572</v>
      </c>
      <c r="G44" s="153"/>
      <c r="H44" s="150" t="s">
        <v>449</v>
      </c>
      <c r="I44" s="153"/>
      <c r="J44" s="155" t="s">
        <v>187</v>
      </c>
      <c r="K44" s="153"/>
      <c r="L44" s="209">
        <v>55</v>
      </c>
      <c r="M44" s="169"/>
      <c r="N44" s="151">
        <v>60</v>
      </c>
      <c r="O44" s="153"/>
      <c r="P44" s="209" t="s">
        <v>930</v>
      </c>
      <c r="Q44" s="153"/>
      <c r="R44" s="209">
        <v>60</v>
      </c>
      <c r="S44" s="153"/>
      <c r="T44" s="209">
        <v>55</v>
      </c>
    </row>
    <row r="45" spans="1:20" x14ac:dyDescent="0.3">
      <c r="A45" s="82"/>
      <c r="B45" s="77"/>
      <c r="C45" s="75"/>
      <c r="D45" s="29"/>
      <c r="E45" s="369"/>
      <c r="F45" s="369"/>
      <c r="G45" s="369"/>
      <c r="H45" s="369"/>
      <c r="J45" s="369"/>
      <c r="K45" s="84"/>
      <c r="L45" s="82"/>
      <c r="N45" s="369"/>
      <c r="P45" s="369"/>
      <c r="R45" s="369"/>
      <c r="T45" s="369"/>
    </row>
    <row r="46" spans="1:20" x14ac:dyDescent="0.3">
      <c r="A46" s="82"/>
      <c r="B46" s="77"/>
      <c r="C46" s="84"/>
      <c r="D46" s="82"/>
      <c r="E46" s="84"/>
      <c r="F46" s="82"/>
      <c r="G46" s="84"/>
      <c r="H46" s="82"/>
      <c r="I46" s="84"/>
      <c r="J46" s="82"/>
      <c r="K46" s="84"/>
      <c r="L46" s="82"/>
      <c r="N46" s="369"/>
      <c r="P46" s="369"/>
      <c r="R46" s="369"/>
      <c r="T46" s="369"/>
    </row>
    <row r="47" spans="1:20" ht="41.4" x14ac:dyDescent="0.3">
      <c r="A47" s="82"/>
      <c r="B47" s="108" t="s">
        <v>501</v>
      </c>
      <c r="C47" s="116" t="s">
        <v>502</v>
      </c>
      <c r="D47" s="112" t="s">
        <v>433</v>
      </c>
      <c r="E47" s="177"/>
      <c r="F47" s="110" t="s">
        <v>137</v>
      </c>
      <c r="G47" s="170"/>
      <c r="H47" s="168" t="s">
        <v>503</v>
      </c>
      <c r="I47" s="189"/>
      <c r="J47" s="110" t="s">
        <v>204</v>
      </c>
      <c r="K47" s="182"/>
      <c r="L47" s="110" t="s">
        <v>1053</v>
      </c>
      <c r="M47" s="442"/>
      <c r="N47" s="110" t="s">
        <v>1054</v>
      </c>
      <c r="O47" s="441"/>
      <c r="P47" s="110" t="s">
        <v>1055</v>
      </c>
      <c r="R47" s="369"/>
      <c r="T47" s="369"/>
    </row>
    <row r="48" spans="1:20" ht="15" thickBot="1" x14ac:dyDescent="0.35">
      <c r="A48" s="82"/>
      <c r="B48" s="173" t="s">
        <v>280</v>
      </c>
      <c r="C48" s="171" t="s">
        <v>262</v>
      </c>
      <c r="D48" s="376"/>
      <c r="E48" s="178"/>
      <c r="F48" s="174" t="s">
        <v>264</v>
      </c>
      <c r="G48" s="172"/>
      <c r="H48" s="171" t="s">
        <v>933</v>
      </c>
      <c r="I48" s="178"/>
      <c r="J48" s="174" t="s">
        <v>263</v>
      </c>
      <c r="K48" s="184"/>
      <c r="L48" s="171" t="s">
        <v>629</v>
      </c>
      <c r="M48" s="173"/>
      <c r="N48" s="174" t="s">
        <v>630</v>
      </c>
      <c r="O48" s="171"/>
      <c r="P48" s="174" t="s">
        <v>631</v>
      </c>
      <c r="R48" s="369"/>
      <c r="T48" s="369"/>
    </row>
    <row r="49" spans="1:23" s="363" customFormat="1" ht="15" thickTop="1" x14ac:dyDescent="0.3">
      <c r="A49" s="378"/>
      <c r="B49" s="135" t="s">
        <v>554</v>
      </c>
      <c r="C49" s="378" t="s">
        <v>558</v>
      </c>
      <c r="D49" s="378" t="s">
        <v>435</v>
      </c>
      <c r="E49" s="418"/>
      <c r="F49" s="378" t="s">
        <v>173</v>
      </c>
      <c r="G49" s="418"/>
      <c r="H49" s="378">
        <v>9.8000000000000007</v>
      </c>
      <c r="I49" s="409" t="s">
        <v>14</v>
      </c>
      <c r="J49" s="410" t="s">
        <v>14</v>
      </c>
      <c r="K49" s="418"/>
      <c r="L49" s="378" t="s">
        <v>454</v>
      </c>
      <c r="M49" s="418"/>
      <c r="N49" s="378" t="s">
        <v>530</v>
      </c>
      <c r="O49" s="418"/>
      <c r="P49" s="263" t="s">
        <v>673</v>
      </c>
      <c r="Q49" s="378"/>
      <c r="R49" s="378"/>
      <c r="S49" s="378"/>
      <c r="T49" s="378"/>
    </row>
    <row r="50" spans="1:23" s="363" customFormat="1" x14ac:dyDescent="0.3">
      <c r="A50" s="378"/>
      <c r="B50" s="135" t="s">
        <v>565</v>
      </c>
      <c r="C50" s="378" t="s">
        <v>573</v>
      </c>
      <c r="D50" s="378" t="s">
        <v>435</v>
      </c>
      <c r="E50" s="419"/>
      <c r="F50" s="378" t="s">
        <v>173</v>
      </c>
      <c r="G50" s="419"/>
      <c r="H50" s="378">
        <v>9.8000000000000007</v>
      </c>
      <c r="I50" s="409" t="s">
        <v>14</v>
      </c>
      <c r="J50" s="410" t="s">
        <v>14</v>
      </c>
      <c r="K50" s="419"/>
      <c r="L50" s="378" t="s">
        <v>454</v>
      </c>
      <c r="M50" s="419"/>
      <c r="N50" s="378" t="s">
        <v>530</v>
      </c>
      <c r="O50" s="419"/>
      <c r="P50" s="197" t="s">
        <v>673</v>
      </c>
      <c r="Q50" s="378"/>
      <c r="R50" s="378"/>
      <c r="S50" s="378"/>
      <c r="T50" s="378"/>
    </row>
    <row r="51" spans="1:23" x14ac:dyDescent="0.3">
      <c r="A51" s="82"/>
      <c r="B51" s="175" t="s">
        <v>566</v>
      </c>
      <c r="C51" s="150" t="s">
        <v>574</v>
      </c>
      <c r="D51" s="199" t="s">
        <v>435</v>
      </c>
      <c r="E51" s="153"/>
      <c r="F51" s="150" t="s">
        <v>173</v>
      </c>
      <c r="G51" s="153"/>
      <c r="H51" s="252">
        <v>9.8000000000000007</v>
      </c>
      <c r="I51" s="411" t="s">
        <v>14</v>
      </c>
      <c r="J51" s="412" t="s">
        <v>14</v>
      </c>
      <c r="K51" s="153"/>
      <c r="L51" s="209" t="s">
        <v>454</v>
      </c>
      <c r="M51" s="153"/>
      <c r="N51" s="151" t="s">
        <v>530</v>
      </c>
      <c r="O51" s="153"/>
      <c r="P51" s="199" t="s">
        <v>673</v>
      </c>
      <c r="R51" s="369"/>
      <c r="T51" s="369"/>
    </row>
    <row r="52" spans="1:23" x14ac:dyDescent="0.3">
      <c r="A52" s="82"/>
      <c r="B52" s="77"/>
      <c r="C52" s="75"/>
      <c r="D52" s="82"/>
      <c r="E52" s="84"/>
      <c r="F52" s="82"/>
      <c r="G52" s="84"/>
      <c r="H52" s="82"/>
      <c r="I52" s="84"/>
      <c r="J52" s="82"/>
      <c r="K52" s="29"/>
      <c r="L52" s="369"/>
      <c r="N52" s="369"/>
      <c r="P52" s="369"/>
      <c r="R52" s="369"/>
      <c r="T52" s="369"/>
    </row>
    <row r="53" spans="1:23" x14ac:dyDescent="0.3">
      <c r="G53" s="369"/>
      <c r="H53" s="85"/>
      <c r="S53" s="362"/>
      <c r="T53" s="397"/>
    </row>
    <row r="54" spans="1:23" x14ac:dyDescent="0.3">
      <c r="A54" s="82"/>
      <c r="B54" s="108" t="s">
        <v>501</v>
      </c>
      <c r="C54" s="116" t="s">
        <v>504</v>
      </c>
      <c r="D54" s="112" t="s">
        <v>433</v>
      </c>
      <c r="E54" s="177"/>
      <c r="F54" s="110" t="s">
        <v>474</v>
      </c>
      <c r="G54" s="369"/>
      <c r="H54" s="85"/>
      <c r="L54" s="369"/>
      <c r="N54" s="369"/>
      <c r="P54" s="369"/>
      <c r="R54" s="369"/>
      <c r="S54" s="362"/>
      <c r="T54" s="397"/>
    </row>
    <row r="55" spans="1:23" ht="15" thickBot="1" x14ac:dyDescent="0.35">
      <c r="A55" s="82"/>
      <c r="B55" s="173" t="s">
        <v>282</v>
      </c>
      <c r="C55" s="171" t="s">
        <v>265</v>
      </c>
      <c r="D55" s="171"/>
      <c r="E55" s="178"/>
      <c r="F55" s="174" t="s">
        <v>266</v>
      </c>
      <c r="G55" s="369"/>
      <c r="H55" s="85"/>
      <c r="L55" s="369"/>
      <c r="N55" s="369"/>
      <c r="P55" s="369"/>
      <c r="R55" s="369"/>
      <c r="S55" s="362"/>
      <c r="T55" s="397"/>
    </row>
    <row r="56" spans="1:23" s="363" customFormat="1" ht="15" thickTop="1" x14ac:dyDescent="0.3">
      <c r="A56" s="378"/>
      <c r="B56" s="135" t="s">
        <v>554</v>
      </c>
      <c r="C56" s="378" t="s">
        <v>559</v>
      </c>
      <c r="D56" s="378" t="s">
        <v>435</v>
      </c>
      <c r="E56" s="418"/>
      <c r="F56" s="263" t="s">
        <v>562</v>
      </c>
      <c r="G56" s="369"/>
      <c r="H56" s="85"/>
      <c r="I56" s="369"/>
      <c r="J56" s="85"/>
      <c r="K56" s="378"/>
      <c r="L56" s="378"/>
      <c r="M56" s="378"/>
      <c r="N56" s="378"/>
      <c r="O56" s="378"/>
      <c r="P56" s="378"/>
      <c r="Q56" s="378"/>
      <c r="R56" s="378"/>
      <c r="S56" s="364"/>
    </row>
    <row r="57" spans="1:23" s="363" customFormat="1" x14ac:dyDescent="0.3">
      <c r="A57" s="378"/>
      <c r="B57" s="135" t="s">
        <v>565</v>
      </c>
      <c r="C57" s="378" t="s">
        <v>575</v>
      </c>
      <c r="D57" s="378" t="s">
        <v>435</v>
      </c>
      <c r="E57" s="419"/>
      <c r="F57" s="274" t="s">
        <v>562</v>
      </c>
      <c r="G57" s="369"/>
      <c r="H57" s="85"/>
      <c r="I57" s="369"/>
      <c r="J57" s="85"/>
      <c r="K57" s="378"/>
      <c r="L57" s="378"/>
      <c r="M57" s="378"/>
      <c r="N57" s="378"/>
      <c r="O57" s="378"/>
      <c r="P57" s="378"/>
      <c r="Q57" s="378"/>
      <c r="R57" s="378"/>
      <c r="S57" s="364"/>
    </row>
    <row r="58" spans="1:23" s="363" customFormat="1" x14ac:dyDescent="0.3">
      <c r="A58" s="378"/>
      <c r="B58" s="135" t="s">
        <v>566</v>
      </c>
      <c r="C58" s="378" t="s">
        <v>576</v>
      </c>
      <c r="D58" s="378" t="s">
        <v>435</v>
      </c>
      <c r="E58" s="419"/>
      <c r="F58" s="274" t="s">
        <v>562</v>
      </c>
      <c r="G58" s="369"/>
      <c r="H58" s="85"/>
      <c r="I58" s="369"/>
      <c r="J58" s="85"/>
      <c r="K58" s="378"/>
      <c r="L58" s="378"/>
      <c r="M58" s="378"/>
      <c r="N58" s="378"/>
      <c r="O58" s="378"/>
      <c r="P58" s="378"/>
      <c r="Q58" s="378"/>
      <c r="R58" s="378"/>
      <c r="S58" s="364"/>
    </row>
    <row r="59" spans="1:23" x14ac:dyDescent="0.3">
      <c r="A59" s="82"/>
      <c r="B59" s="175" t="s">
        <v>582</v>
      </c>
      <c r="C59" s="150" t="s">
        <v>583</v>
      </c>
      <c r="D59" s="181" t="s">
        <v>435</v>
      </c>
      <c r="E59" s="417"/>
      <c r="F59" s="193" t="s">
        <v>562</v>
      </c>
      <c r="G59" s="369"/>
      <c r="H59" s="85"/>
      <c r="L59" s="369"/>
      <c r="N59" s="369"/>
      <c r="P59" s="369"/>
      <c r="R59" s="369"/>
      <c r="S59" s="362"/>
      <c r="T59" s="397"/>
    </row>
    <row r="60" spans="1:23" x14ac:dyDescent="0.3">
      <c r="A60" s="82"/>
      <c r="B60" s="384"/>
      <c r="C60" s="384"/>
      <c r="D60" s="397"/>
      <c r="E60" s="362"/>
      <c r="F60" s="397"/>
      <c r="G60" s="362"/>
      <c r="H60" s="397"/>
      <c r="I60" s="362"/>
      <c r="J60" s="397"/>
      <c r="K60" s="362"/>
      <c r="L60" s="397"/>
      <c r="N60" s="369"/>
      <c r="P60" s="369"/>
      <c r="R60" s="369"/>
      <c r="T60" s="369"/>
    </row>
    <row r="61" spans="1:23" x14ac:dyDescent="0.3">
      <c r="A61" s="82"/>
      <c r="B61" s="83"/>
      <c r="C61" s="86"/>
      <c r="D61" s="82"/>
      <c r="E61" s="84"/>
      <c r="F61" s="82"/>
      <c r="G61" s="84"/>
      <c r="H61" s="82"/>
      <c r="I61" s="84"/>
      <c r="J61" s="82"/>
      <c r="K61" s="84"/>
      <c r="L61" s="82"/>
      <c r="M61" s="84"/>
      <c r="N61" s="82"/>
      <c r="O61" s="84"/>
      <c r="P61" s="82"/>
      <c r="Q61" s="84"/>
      <c r="R61" s="82"/>
      <c r="S61" s="84"/>
      <c r="T61" s="82"/>
    </row>
    <row r="62" spans="1:23" ht="27.6" x14ac:dyDescent="0.3">
      <c r="A62" s="82"/>
      <c r="B62" s="108" t="s">
        <v>501</v>
      </c>
      <c r="C62" s="116" t="s">
        <v>506</v>
      </c>
      <c r="D62" s="116" t="s">
        <v>433</v>
      </c>
      <c r="E62" s="177"/>
      <c r="F62" s="110" t="s">
        <v>184</v>
      </c>
      <c r="G62" s="113"/>
      <c r="H62" s="168" t="s">
        <v>277</v>
      </c>
      <c r="I62" s="125"/>
      <c r="J62" s="110" t="s">
        <v>511</v>
      </c>
      <c r="K62" s="125"/>
      <c r="L62" s="110" t="s">
        <v>183</v>
      </c>
      <c r="M62" s="168"/>
      <c r="N62" s="113" t="s">
        <v>205</v>
      </c>
      <c r="O62" s="189"/>
      <c r="P62" s="110" t="s">
        <v>507</v>
      </c>
      <c r="Q62" s="168"/>
      <c r="R62" s="168" t="s">
        <v>206</v>
      </c>
      <c r="S62" s="189"/>
      <c r="T62" s="110" t="s">
        <v>182</v>
      </c>
      <c r="U62" s="189"/>
      <c r="V62" s="110" t="s">
        <v>1398</v>
      </c>
    </row>
    <row r="63" spans="1:23" ht="15" thickBot="1" x14ac:dyDescent="0.35">
      <c r="A63" s="82"/>
      <c r="B63" s="173" t="s">
        <v>282</v>
      </c>
      <c r="C63" s="171" t="s">
        <v>269</v>
      </c>
      <c r="D63" s="171"/>
      <c r="E63" s="178"/>
      <c r="F63" s="174" t="s">
        <v>270</v>
      </c>
      <c r="G63" s="172"/>
      <c r="H63" s="171" t="s">
        <v>271</v>
      </c>
      <c r="I63" s="178"/>
      <c r="J63" s="174"/>
      <c r="K63" s="178"/>
      <c r="L63" s="174" t="s">
        <v>272</v>
      </c>
      <c r="M63" s="172"/>
      <c r="N63" s="171" t="s">
        <v>273</v>
      </c>
      <c r="O63" s="178"/>
      <c r="P63" s="174" t="s">
        <v>274</v>
      </c>
      <c r="Q63" s="172"/>
      <c r="R63" s="171" t="s">
        <v>275</v>
      </c>
      <c r="S63" s="178"/>
      <c r="T63" s="174" t="s">
        <v>276</v>
      </c>
      <c r="U63" s="173"/>
      <c r="V63" s="174" t="s">
        <v>774</v>
      </c>
    </row>
    <row r="64" spans="1:23" s="363" customFormat="1" ht="28.2" thickTop="1" x14ac:dyDescent="0.3">
      <c r="A64" s="378"/>
      <c r="B64" s="135" t="s">
        <v>554</v>
      </c>
      <c r="C64" s="378" t="s">
        <v>563</v>
      </c>
      <c r="D64" s="378" t="s">
        <v>435</v>
      </c>
      <c r="E64" s="418"/>
      <c r="F64" s="378" t="s">
        <v>482</v>
      </c>
      <c r="G64" s="418"/>
      <c r="H64" s="378" t="s">
        <v>564</v>
      </c>
      <c r="I64" s="361" t="s">
        <v>919</v>
      </c>
      <c r="J64" s="90">
        <v>14718.9</v>
      </c>
      <c r="K64" s="361" t="s">
        <v>919</v>
      </c>
      <c r="L64" s="496">
        <v>14.9649</v>
      </c>
      <c r="M64" s="418"/>
      <c r="N64" s="1">
        <v>0.62</v>
      </c>
      <c r="O64" s="418"/>
      <c r="P64" s="378">
        <v>4</v>
      </c>
      <c r="Q64" s="418"/>
      <c r="R64" s="263">
        <v>15</v>
      </c>
      <c r="S64" s="418"/>
      <c r="T64" s="263">
        <v>0.92400000000000004</v>
      </c>
      <c r="U64" s="897"/>
      <c r="V64" s="535" t="s">
        <v>974</v>
      </c>
      <c r="W64" s="397"/>
    </row>
    <row r="65" spans="1:23" s="363" customFormat="1" ht="27.6" x14ac:dyDescent="0.3">
      <c r="A65" s="378"/>
      <c r="B65" s="135" t="s">
        <v>565</v>
      </c>
      <c r="C65" s="378" t="s">
        <v>577</v>
      </c>
      <c r="D65" s="378" t="s">
        <v>435</v>
      </c>
      <c r="E65" s="419"/>
      <c r="F65" s="378" t="s">
        <v>482</v>
      </c>
      <c r="G65" s="419"/>
      <c r="H65" s="378" t="s">
        <v>564</v>
      </c>
      <c r="I65" s="140" t="s">
        <v>919</v>
      </c>
      <c r="J65" s="90">
        <v>14222.9</v>
      </c>
      <c r="K65" s="140" t="s">
        <v>919</v>
      </c>
      <c r="L65" s="496">
        <v>14.460699999999999</v>
      </c>
      <c r="M65" s="418"/>
      <c r="N65" s="1">
        <v>0.62</v>
      </c>
      <c r="O65" s="418"/>
      <c r="P65" s="378">
        <v>4</v>
      </c>
      <c r="Q65" s="418"/>
      <c r="R65" s="378">
        <v>15</v>
      </c>
      <c r="S65" s="418"/>
      <c r="T65" s="197">
        <v>0.92400000000000004</v>
      </c>
      <c r="U65" s="899"/>
      <c r="V65" s="535" t="s">
        <v>974</v>
      </c>
      <c r="W65" s="397"/>
    </row>
    <row r="66" spans="1:23" s="363" customFormat="1" ht="27.6" x14ac:dyDescent="0.3">
      <c r="A66" s="378"/>
      <c r="B66" s="135" t="s">
        <v>566</v>
      </c>
      <c r="C66" s="378" t="s">
        <v>578</v>
      </c>
      <c r="D66" s="378" t="s">
        <v>435</v>
      </c>
      <c r="E66" s="419"/>
      <c r="F66" s="378" t="s">
        <v>482</v>
      </c>
      <c r="G66" s="419"/>
      <c r="H66" s="378" t="s">
        <v>564</v>
      </c>
      <c r="I66" s="140" t="s">
        <v>919</v>
      </c>
      <c r="J66" s="697">
        <v>14857</v>
      </c>
      <c r="K66" s="140" t="s">
        <v>919</v>
      </c>
      <c r="L66" s="496">
        <v>15.105399999999999</v>
      </c>
      <c r="M66" s="419"/>
      <c r="N66" s="1">
        <v>0.62</v>
      </c>
      <c r="O66" s="419"/>
      <c r="P66" s="378">
        <v>4</v>
      </c>
      <c r="Q66" s="419"/>
      <c r="R66" s="378">
        <v>20</v>
      </c>
      <c r="S66" s="419"/>
      <c r="T66" s="431">
        <v>0.93</v>
      </c>
      <c r="U66" s="893"/>
      <c r="V66" s="535" t="s">
        <v>974</v>
      </c>
      <c r="W66" s="397"/>
    </row>
    <row r="67" spans="1:23" s="363" customFormat="1" x14ac:dyDescent="0.3">
      <c r="A67" s="378"/>
      <c r="B67" s="135" t="s">
        <v>791</v>
      </c>
      <c r="C67" s="378" t="s">
        <v>554</v>
      </c>
      <c r="D67" s="378" t="s">
        <v>435</v>
      </c>
      <c r="E67" s="419"/>
      <c r="F67" s="378" t="s">
        <v>482</v>
      </c>
      <c r="G67" s="419"/>
      <c r="H67" s="378" t="s">
        <v>564</v>
      </c>
      <c r="I67" s="250" t="s">
        <v>919</v>
      </c>
      <c r="J67" s="90">
        <v>13825.1</v>
      </c>
      <c r="K67" s="250" t="s">
        <v>919</v>
      </c>
      <c r="L67" s="496">
        <v>4.3574200000000003</v>
      </c>
      <c r="M67" s="419"/>
      <c r="N67" s="1">
        <v>0.5</v>
      </c>
      <c r="O67" s="419"/>
      <c r="P67" s="378">
        <v>1</v>
      </c>
      <c r="Q67" s="419"/>
      <c r="R67" s="378">
        <v>5</v>
      </c>
      <c r="S67" s="419"/>
      <c r="T67" s="197">
        <v>0.89500000000000002</v>
      </c>
      <c r="U67" s="893"/>
      <c r="V67" s="535" t="s">
        <v>976</v>
      </c>
      <c r="W67" s="397"/>
    </row>
    <row r="68" spans="1:23" s="363" customFormat="1" x14ac:dyDescent="0.3">
      <c r="A68" s="378"/>
      <c r="B68" s="135" t="s">
        <v>793</v>
      </c>
      <c r="C68" s="378" t="s">
        <v>565</v>
      </c>
      <c r="D68" s="378" t="s">
        <v>435</v>
      </c>
      <c r="E68" s="419"/>
      <c r="F68" s="378" t="s">
        <v>482</v>
      </c>
      <c r="G68" s="419"/>
      <c r="H68" s="378" t="s">
        <v>564</v>
      </c>
      <c r="I68" s="250" t="s">
        <v>919</v>
      </c>
      <c r="J68" s="90">
        <v>13329.1</v>
      </c>
      <c r="K68" s="250" t="s">
        <v>919</v>
      </c>
      <c r="L68" s="496">
        <v>4.2011099999999999</v>
      </c>
      <c r="M68" s="419"/>
      <c r="N68" s="1">
        <v>0.5</v>
      </c>
      <c r="O68" s="419"/>
      <c r="P68" s="378">
        <v>1</v>
      </c>
      <c r="Q68" s="419"/>
      <c r="R68" s="378">
        <v>5</v>
      </c>
      <c r="S68" s="419"/>
      <c r="T68" s="197">
        <v>0.89500000000000002</v>
      </c>
      <c r="U68" s="893"/>
      <c r="V68" s="535" t="s">
        <v>976</v>
      </c>
      <c r="W68" s="397"/>
    </row>
    <row r="69" spans="1:23" x14ac:dyDescent="0.3">
      <c r="A69" s="82"/>
      <c r="B69" s="284" t="s">
        <v>794</v>
      </c>
      <c r="C69" s="160" t="s">
        <v>566</v>
      </c>
      <c r="D69" s="160" t="s">
        <v>435</v>
      </c>
      <c r="E69" s="417"/>
      <c r="F69" s="270" t="s">
        <v>482</v>
      </c>
      <c r="G69" s="417"/>
      <c r="H69" s="160" t="s">
        <v>564</v>
      </c>
      <c r="I69" s="204" t="s">
        <v>919</v>
      </c>
      <c r="J69" s="195">
        <v>13963.2</v>
      </c>
      <c r="K69" s="204" t="s">
        <v>919</v>
      </c>
      <c r="L69" s="511">
        <v>4.4009600000000004</v>
      </c>
      <c r="M69" s="417"/>
      <c r="N69" s="234">
        <v>0.5</v>
      </c>
      <c r="O69" s="417"/>
      <c r="P69" s="158">
        <v>1</v>
      </c>
      <c r="Q69" s="417"/>
      <c r="R69" s="158">
        <v>5</v>
      </c>
      <c r="S69" s="417"/>
      <c r="T69" s="199">
        <v>0.89500000000000002</v>
      </c>
      <c r="U69" s="891"/>
      <c r="V69" s="929" t="s">
        <v>976</v>
      </c>
    </row>
    <row r="70" spans="1:23" x14ac:dyDescent="0.3">
      <c r="A70" s="82"/>
      <c r="B70" s="82"/>
      <c r="C70" s="384"/>
      <c r="D70" s="82"/>
      <c r="E70" s="82"/>
      <c r="F70" s="82"/>
      <c r="G70" s="82"/>
      <c r="H70" s="82"/>
      <c r="I70" s="82"/>
      <c r="J70" s="82"/>
      <c r="K70" s="82"/>
      <c r="L70" s="82"/>
      <c r="M70" s="82"/>
      <c r="N70" s="82"/>
      <c r="O70" s="82"/>
      <c r="P70" s="82"/>
      <c r="Q70" s="82"/>
      <c r="R70" s="82"/>
      <c r="S70" s="82"/>
      <c r="T70" s="369"/>
    </row>
    <row r="71" spans="1:23" x14ac:dyDescent="0.3">
      <c r="A71" s="397"/>
      <c r="B71" s="397"/>
      <c r="C71" s="397"/>
      <c r="D71" s="397"/>
      <c r="E71" s="362"/>
      <c r="F71" s="397"/>
      <c r="G71" s="362"/>
      <c r="H71" s="397"/>
      <c r="I71" s="362"/>
      <c r="J71" s="397"/>
      <c r="K71" s="362"/>
      <c r="L71" s="504"/>
      <c r="M71" s="362"/>
      <c r="N71" s="397"/>
      <c r="O71" s="121"/>
      <c r="P71" s="111"/>
      <c r="Q71" s="82"/>
      <c r="R71" s="82"/>
      <c r="S71" s="82"/>
      <c r="T71" s="82"/>
    </row>
    <row r="72" spans="1:23" x14ac:dyDescent="0.3">
      <c r="A72" s="397"/>
      <c r="B72" s="108" t="s">
        <v>501</v>
      </c>
      <c r="C72" s="113"/>
      <c r="D72" s="142" t="s">
        <v>433</v>
      </c>
      <c r="E72" s="114"/>
      <c r="F72" s="142" t="s">
        <v>538</v>
      </c>
      <c r="G72" s="125"/>
      <c r="H72" s="142" t="s">
        <v>295</v>
      </c>
      <c r="I72" s="362"/>
      <c r="J72" s="397"/>
      <c r="K72" s="362"/>
      <c r="L72" s="504"/>
      <c r="M72" s="362"/>
      <c r="N72" s="397"/>
      <c r="O72" s="121"/>
      <c r="P72" s="111"/>
      <c r="Q72" s="82"/>
      <c r="R72" s="82"/>
      <c r="S72" s="82"/>
      <c r="T72" s="82"/>
    </row>
    <row r="73" spans="1:23" ht="15" thickBot="1" x14ac:dyDescent="0.35">
      <c r="A73" s="397"/>
      <c r="B73" s="173" t="s">
        <v>282</v>
      </c>
      <c r="C73" s="171"/>
      <c r="D73" s="174"/>
      <c r="E73" s="205"/>
      <c r="F73" s="174" t="s">
        <v>289</v>
      </c>
      <c r="G73" s="208"/>
      <c r="H73" s="174" t="s">
        <v>290</v>
      </c>
      <c r="I73" s="362"/>
      <c r="J73" s="397"/>
      <c r="K73" s="362"/>
      <c r="L73" s="504"/>
      <c r="M73" s="362"/>
      <c r="N73" s="397"/>
      <c r="O73" s="121"/>
      <c r="P73" s="111"/>
      <c r="Q73" s="82"/>
      <c r="R73" s="82"/>
      <c r="S73" s="82"/>
      <c r="T73" s="82"/>
    </row>
    <row r="74" spans="1:23" ht="15" thickTop="1" x14ac:dyDescent="0.3">
      <c r="A74" s="397"/>
      <c r="B74" s="135" t="s">
        <v>554</v>
      </c>
      <c r="C74" s="378"/>
      <c r="D74" s="378" t="s">
        <v>435</v>
      </c>
      <c r="E74" s="418"/>
      <c r="F74" s="378" t="s">
        <v>539</v>
      </c>
      <c r="G74" s="418"/>
      <c r="H74" s="263" t="s">
        <v>480</v>
      </c>
      <c r="I74" s="362"/>
      <c r="J74" s="397"/>
      <c r="K74" s="362"/>
      <c r="L74" s="504"/>
      <c r="M74" s="362"/>
      <c r="N74" s="397"/>
      <c r="O74" s="121"/>
      <c r="P74" s="111"/>
      <c r="Q74" s="82"/>
      <c r="R74" s="82"/>
      <c r="S74" s="82"/>
      <c r="T74" s="82"/>
    </row>
    <row r="75" spans="1:23" x14ac:dyDescent="0.3">
      <c r="A75" s="397"/>
      <c r="B75" s="135" t="s">
        <v>565</v>
      </c>
      <c r="C75" s="378"/>
      <c r="D75" s="378" t="s">
        <v>435</v>
      </c>
      <c r="E75" s="419"/>
      <c r="F75" s="378" t="s">
        <v>539</v>
      </c>
      <c r="G75" s="419"/>
      <c r="H75" s="274" t="s">
        <v>480</v>
      </c>
      <c r="I75" s="362"/>
      <c r="J75" s="397"/>
      <c r="K75" s="362"/>
      <c r="L75" s="504"/>
      <c r="M75" s="362"/>
      <c r="N75" s="397"/>
      <c r="O75" s="121"/>
      <c r="P75" s="111"/>
      <c r="Q75" s="82"/>
      <c r="R75" s="82"/>
      <c r="S75" s="82"/>
      <c r="T75" s="82"/>
    </row>
    <row r="76" spans="1:23" x14ac:dyDescent="0.3">
      <c r="A76" s="397"/>
      <c r="B76" s="175" t="s">
        <v>566</v>
      </c>
      <c r="C76" s="150"/>
      <c r="D76" s="150" t="s">
        <v>435</v>
      </c>
      <c r="E76" s="417"/>
      <c r="F76" s="155" t="s">
        <v>539</v>
      </c>
      <c r="G76" s="417"/>
      <c r="H76" s="267" t="s">
        <v>480</v>
      </c>
      <c r="I76" s="362"/>
      <c r="J76" s="397"/>
      <c r="K76" s="362"/>
      <c r="L76" s="504"/>
      <c r="M76" s="362"/>
      <c r="N76" s="397"/>
      <c r="O76" s="121"/>
      <c r="P76" s="111"/>
      <c r="Q76" s="82"/>
      <c r="R76" s="82"/>
      <c r="S76" s="82"/>
      <c r="T76" s="82"/>
    </row>
    <row r="77" spans="1:23" x14ac:dyDescent="0.3">
      <c r="A77" s="397"/>
      <c r="B77" s="85"/>
      <c r="D77" s="85"/>
      <c r="E77" s="85"/>
      <c r="F77" s="85"/>
      <c r="G77" s="85"/>
      <c r="H77" s="85"/>
      <c r="I77" s="85"/>
      <c r="J77" s="397"/>
      <c r="K77" s="362"/>
      <c r="L77" s="504"/>
      <c r="M77" s="362"/>
      <c r="N77" s="397"/>
      <c r="O77" s="121"/>
      <c r="P77" s="111"/>
      <c r="Q77" s="82"/>
      <c r="R77" s="82"/>
      <c r="S77" s="82"/>
      <c r="T77" s="82"/>
    </row>
    <row r="78" spans="1:23" x14ac:dyDescent="0.3">
      <c r="A78" s="82"/>
      <c r="B78" s="85"/>
      <c r="C78" s="83"/>
      <c r="D78" s="397"/>
      <c r="E78" s="82"/>
      <c r="F78" s="82"/>
      <c r="G78" s="82"/>
      <c r="H78" s="82"/>
      <c r="I78" s="82"/>
      <c r="J78" s="82"/>
      <c r="K78" s="82"/>
      <c r="L78" s="82"/>
      <c r="M78" s="82"/>
      <c r="N78" s="82"/>
      <c r="O78" s="82"/>
      <c r="P78" s="82"/>
      <c r="Q78" s="82"/>
      <c r="R78" s="82"/>
      <c r="S78" s="82"/>
      <c r="T78" s="82"/>
    </row>
    <row r="79" spans="1:23" x14ac:dyDescent="0.3">
      <c r="A79" s="82"/>
      <c r="B79" s="108" t="s">
        <v>505</v>
      </c>
      <c r="C79" s="113" t="s">
        <v>291</v>
      </c>
      <c r="D79" s="373"/>
      <c r="E79" s="207"/>
      <c r="F79" s="142" t="s">
        <v>292</v>
      </c>
      <c r="G79" s="125"/>
      <c r="H79" s="142" t="s">
        <v>293</v>
      </c>
      <c r="I79" s="362"/>
      <c r="J79" s="397"/>
      <c r="K79" s="362"/>
      <c r="L79" s="397"/>
      <c r="M79" s="82"/>
      <c r="N79" s="82"/>
      <c r="O79" s="362"/>
      <c r="P79" s="397"/>
      <c r="Q79" s="362"/>
      <c r="R79" s="397"/>
      <c r="S79" s="362"/>
      <c r="T79" s="397"/>
    </row>
    <row r="80" spans="1:23" ht="15" thickBot="1" x14ac:dyDescent="0.35">
      <c r="A80" s="82"/>
      <c r="B80" s="173" t="s">
        <v>285</v>
      </c>
      <c r="C80" s="171" t="s">
        <v>286</v>
      </c>
      <c r="D80" s="376"/>
      <c r="E80" s="208"/>
      <c r="F80" s="174" t="s">
        <v>287</v>
      </c>
      <c r="G80" s="208"/>
      <c r="H80" s="174" t="s">
        <v>288</v>
      </c>
      <c r="I80" s="362"/>
      <c r="J80" s="397"/>
      <c r="K80" s="362"/>
      <c r="L80" s="397"/>
      <c r="M80" s="82"/>
      <c r="N80" s="82"/>
      <c r="O80" s="362"/>
      <c r="P80" s="397"/>
      <c r="Q80" s="362"/>
      <c r="R80" s="397"/>
      <c r="S80" s="362"/>
      <c r="T80" s="397"/>
    </row>
    <row r="81" spans="1:28" ht="15" thickTop="1" x14ac:dyDescent="0.3">
      <c r="A81" s="82"/>
      <c r="B81" s="135" t="s">
        <v>579</v>
      </c>
      <c r="C81" s="378" t="s">
        <v>297</v>
      </c>
      <c r="D81" s="99"/>
      <c r="E81" s="418"/>
      <c r="F81" s="378" t="s">
        <v>413</v>
      </c>
      <c r="G81" s="418"/>
      <c r="H81" s="263" t="s">
        <v>414</v>
      </c>
      <c r="I81" s="362"/>
      <c r="J81" s="397"/>
      <c r="K81" s="362"/>
      <c r="L81" s="397"/>
      <c r="M81" s="82"/>
      <c r="N81" s="82"/>
      <c r="O81" s="362"/>
      <c r="P81" s="397"/>
      <c r="Q81" s="362"/>
      <c r="R81" s="397"/>
      <c r="S81" s="362"/>
      <c r="T81" s="397"/>
    </row>
    <row r="82" spans="1:28" x14ac:dyDescent="0.3">
      <c r="A82" s="82"/>
      <c r="B82" s="175" t="s">
        <v>580</v>
      </c>
      <c r="C82" s="150" t="s">
        <v>337</v>
      </c>
      <c r="D82" s="151"/>
      <c r="E82" s="411" t="s">
        <v>14</v>
      </c>
      <c r="F82" s="412" t="s">
        <v>14</v>
      </c>
      <c r="G82" s="411" t="s">
        <v>14</v>
      </c>
      <c r="H82" s="412" t="s">
        <v>14</v>
      </c>
      <c r="I82" s="362"/>
      <c r="J82" s="397"/>
      <c r="K82" s="362"/>
      <c r="L82" s="397"/>
      <c r="M82" s="82"/>
      <c r="N82" s="82"/>
      <c r="O82" s="362"/>
      <c r="P82" s="397"/>
      <c r="Q82" s="362"/>
      <c r="R82" s="397"/>
      <c r="S82" s="362"/>
      <c r="T82" s="397"/>
    </row>
    <row r="83" spans="1:28" x14ac:dyDescent="0.3">
      <c r="A83" s="397"/>
      <c r="B83" s="397"/>
      <c r="C83" s="397"/>
      <c r="D83" s="397"/>
      <c r="E83" s="362"/>
      <c r="F83" s="397"/>
      <c r="G83" s="362"/>
      <c r="H83" s="397"/>
      <c r="I83" s="362"/>
      <c r="J83" s="397"/>
      <c r="K83" s="362"/>
      <c r="L83" s="397"/>
      <c r="M83" s="362"/>
      <c r="N83" s="397"/>
      <c r="O83" s="121"/>
      <c r="P83" s="111"/>
      <c r="Q83" s="82"/>
      <c r="R83" s="82"/>
      <c r="S83" s="82"/>
      <c r="T83" s="82"/>
    </row>
    <row r="84" spans="1:28" x14ac:dyDescent="0.3">
      <c r="A84" s="26"/>
      <c r="B84" s="28" t="s">
        <v>487</v>
      </c>
      <c r="C84" s="397"/>
      <c r="D84" s="397"/>
      <c r="E84" s="362"/>
      <c r="F84" s="397"/>
      <c r="G84" s="362"/>
      <c r="H84" s="397"/>
      <c r="I84" s="362"/>
      <c r="J84" s="397"/>
      <c r="K84" s="362"/>
      <c r="L84" s="397"/>
      <c r="M84" s="362"/>
      <c r="N84" s="397"/>
      <c r="O84" s="121"/>
      <c r="P84" s="111"/>
      <c r="Q84" s="82"/>
      <c r="R84" s="82"/>
      <c r="S84" s="82"/>
      <c r="T84" s="82"/>
    </row>
    <row r="85" spans="1:28" ht="27.6" x14ac:dyDescent="0.3">
      <c r="A85" s="397"/>
      <c r="B85" s="108" t="s">
        <v>488</v>
      </c>
      <c r="C85" s="112" t="s">
        <v>433</v>
      </c>
      <c r="D85" s="373"/>
      <c r="E85" s="231"/>
      <c r="F85" s="109" t="s">
        <v>836</v>
      </c>
      <c r="G85" s="210"/>
      <c r="H85" s="116" t="s">
        <v>489</v>
      </c>
      <c r="I85" s="231"/>
      <c r="J85" s="109" t="s">
        <v>490</v>
      </c>
      <c r="K85" s="455"/>
      <c r="L85" s="456" t="s">
        <v>491</v>
      </c>
      <c r="M85" s="231"/>
      <c r="N85" s="109" t="s">
        <v>739</v>
      </c>
      <c r="O85" s="121"/>
      <c r="P85" s="111"/>
      <c r="Q85" s="82"/>
      <c r="R85" s="82"/>
      <c r="S85" s="82"/>
      <c r="T85" s="82"/>
    </row>
    <row r="86" spans="1:28" ht="15" thickBot="1" x14ac:dyDescent="0.35">
      <c r="A86" s="397"/>
      <c r="B86" s="212"/>
      <c r="C86" s="118"/>
      <c r="D86" s="376"/>
      <c r="E86" s="375"/>
      <c r="F86" s="355" t="s">
        <v>1057</v>
      </c>
      <c r="G86" s="376"/>
      <c r="H86" s="354" t="s">
        <v>1058</v>
      </c>
      <c r="I86" s="230"/>
      <c r="J86" s="355" t="s">
        <v>1059</v>
      </c>
      <c r="K86" s="211"/>
      <c r="L86" s="354" t="s">
        <v>611</v>
      </c>
      <c r="M86" s="230"/>
      <c r="N86" s="355" t="s">
        <v>1060</v>
      </c>
      <c r="O86" s="121"/>
      <c r="P86" s="111"/>
      <c r="Q86" s="82"/>
      <c r="R86" s="82"/>
      <c r="S86" s="82"/>
      <c r="T86" s="82"/>
    </row>
    <row r="87" spans="1:28" ht="15" thickTop="1" x14ac:dyDescent="0.3">
      <c r="A87" s="397"/>
      <c r="B87" s="356">
        <v>2</v>
      </c>
      <c r="C87" s="392" t="s">
        <v>435</v>
      </c>
      <c r="D87" s="379"/>
      <c r="E87" s="204" t="s">
        <v>919</v>
      </c>
      <c r="F87" s="195">
        <v>311701</v>
      </c>
      <c r="G87" s="359"/>
      <c r="H87" s="726">
        <v>0.82250000000000001</v>
      </c>
      <c r="I87" s="165"/>
      <c r="J87" s="155" t="s">
        <v>475</v>
      </c>
      <c r="K87" s="164"/>
      <c r="L87" s="150" t="s">
        <v>493</v>
      </c>
      <c r="M87" s="165"/>
      <c r="N87" s="155">
        <v>0.25</v>
      </c>
      <c r="O87" s="121"/>
      <c r="P87" s="111"/>
      <c r="Q87" s="82"/>
      <c r="R87" s="82"/>
      <c r="S87" s="82"/>
      <c r="T87" s="82"/>
    </row>
    <row r="88" spans="1:28" x14ac:dyDescent="0.3">
      <c r="A88" s="397"/>
      <c r="B88" s="85"/>
      <c r="D88" s="85"/>
      <c r="E88" s="85"/>
      <c r="F88" s="85"/>
      <c r="G88" s="85"/>
      <c r="H88" s="85"/>
      <c r="I88" s="85"/>
      <c r="K88" s="85"/>
      <c r="M88" s="85"/>
      <c r="O88" s="85"/>
      <c r="Q88" s="85"/>
      <c r="R88" s="388"/>
      <c r="S88" s="85"/>
    </row>
    <row r="89" spans="1:28" x14ac:dyDescent="0.3">
      <c r="A89" s="397"/>
      <c r="B89" s="397"/>
      <c r="C89" s="397"/>
      <c r="D89" s="362"/>
      <c r="E89" s="362"/>
      <c r="F89" s="397"/>
      <c r="G89" s="362"/>
      <c r="H89" s="397"/>
      <c r="I89" s="362"/>
      <c r="J89" s="397"/>
      <c r="K89" s="362"/>
      <c r="L89" s="397"/>
      <c r="M89" s="362"/>
      <c r="N89" s="397"/>
      <c r="O89" s="362"/>
      <c r="P89" s="397"/>
      <c r="Q89" s="362"/>
      <c r="R89" s="397"/>
      <c r="S89" s="362"/>
      <c r="T89" s="397"/>
    </row>
    <row r="90" spans="1:28" s="36" customFormat="1" ht="27.6" x14ac:dyDescent="0.3">
      <c r="A90" s="82"/>
      <c r="B90" s="125" t="s">
        <v>750</v>
      </c>
      <c r="C90" s="113" t="s">
        <v>751</v>
      </c>
      <c r="D90" s="113" t="s">
        <v>433</v>
      </c>
      <c r="E90" s="113"/>
      <c r="F90" s="113" t="s">
        <v>938</v>
      </c>
      <c r="G90" s="125"/>
      <c r="H90" s="142" t="s">
        <v>760</v>
      </c>
      <c r="I90" s="113"/>
      <c r="J90" s="113" t="s">
        <v>761</v>
      </c>
      <c r="K90" s="125"/>
      <c r="L90" s="142" t="s">
        <v>1109</v>
      </c>
      <c r="M90" s="207"/>
      <c r="N90" s="113" t="s">
        <v>764</v>
      </c>
      <c r="O90" s="207"/>
      <c r="P90" s="142" t="s">
        <v>772</v>
      </c>
      <c r="Q90" s="113"/>
      <c r="R90" s="113" t="s">
        <v>773</v>
      </c>
      <c r="S90" s="125"/>
      <c r="T90" s="142" t="s">
        <v>492</v>
      </c>
      <c r="U90" s="113"/>
      <c r="V90" s="142" t="s">
        <v>1051</v>
      </c>
      <c r="W90" s="87"/>
      <c r="X90" s="86"/>
      <c r="Y90" s="87"/>
      <c r="Z90" s="86"/>
      <c r="AA90" s="87"/>
      <c r="AB90" s="86"/>
    </row>
    <row r="91" spans="1:28" s="448" customFormat="1" thickBot="1" x14ac:dyDescent="0.35">
      <c r="A91" s="82"/>
      <c r="B91" s="178"/>
      <c r="C91" s="171"/>
      <c r="D91" s="172"/>
      <c r="E91" s="172"/>
      <c r="F91" s="172"/>
      <c r="G91" s="173"/>
      <c r="H91" s="355" t="s">
        <v>1061</v>
      </c>
      <c r="I91" s="171"/>
      <c r="J91" s="355" t="s">
        <v>1066</v>
      </c>
      <c r="K91" s="173"/>
      <c r="L91" s="355" t="s">
        <v>1110</v>
      </c>
      <c r="M91" s="173"/>
      <c r="N91" s="355" t="s">
        <v>1062</v>
      </c>
      <c r="O91" s="173"/>
      <c r="P91" s="355" t="s">
        <v>1063</v>
      </c>
      <c r="Q91" s="171"/>
      <c r="R91" s="355" t="s">
        <v>1064</v>
      </c>
      <c r="S91" s="173"/>
      <c r="T91" s="355" t="s">
        <v>1065</v>
      </c>
      <c r="U91" s="171"/>
      <c r="V91" s="174" t="s">
        <v>774</v>
      </c>
      <c r="W91" s="87"/>
      <c r="X91" s="86"/>
      <c r="Y91" s="87"/>
      <c r="Z91" s="86"/>
      <c r="AA91" s="87"/>
      <c r="AB91" s="86"/>
    </row>
    <row r="92" spans="1:28" s="364" customFormat="1" ht="12.75" customHeight="1" thickTop="1" x14ac:dyDescent="0.3">
      <c r="A92" s="378"/>
      <c r="B92" s="487" t="s">
        <v>939</v>
      </c>
      <c r="C92" s="493" t="s">
        <v>940</v>
      </c>
      <c r="D92" s="400" t="s">
        <v>435</v>
      </c>
      <c r="E92" s="400"/>
      <c r="F92" s="400">
        <v>2</v>
      </c>
      <c r="G92" s="508"/>
      <c r="H92" s="493" t="s">
        <v>494</v>
      </c>
      <c r="I92" s="508"/>
      <c r="J92" s="400" t="s">
        <v>762</v>
      </c>
      <c r="K92" s="658" t="s">
        <v>919</v>
      </c>
      <c r="L92" s="723">
        <f>ROUND(F87/500.19/40,2)</f>
        <v>15.58</v>
      </c>
      <c r="M92" s="508"/>
      <c r="N92" s="709" t="str">
        <f>ROUND(19*L92/1000,3)&amp;" (19 W/gpm)"</f>
        <v>0.296 (19 W/gpm)</v>
      </c>
      <c r="O92" s="508"/>
      <c r="P92" s="509">
        <v>0.5</v>
      </c>
      <c r="Q92" s="510" t="s">
        <v>919</v>
      </c>
      <c r="R92" s="727">
        <f>ROUND(19/745.6*3960*T92*0.7,1)</f>
        <v>60.4</v>
      </c>
      <c r="S92" s="508"/>
      <c r="T92" s="509">
        <v>0.85499999999999998</v>
      </c>
      <c r="U92" s="494" t="s">
        <v>14</v>
      </c>
      <c r="V92" s="478" t="s">
        <v>14</v>
      </c>
      <c r="W92" s="87"/>
      <c r="X92" s="86"/>
      <c r="Y92" s="87"/>
      <c r="Z92" s="86"/>
      <c r="AA92" s="87"/>
      <c r="AB92" s="86"/>
    </row>
    <row r="93" spans="1:28" s="86" customFormat="1" ht="13.8" x14ac:dyDescent="0.3">
      <c r="A93" s="82"/>
      <c r="B93" s="85"/>
      <c r="C93" s="83"/>
      <c r="E93" s="362"/>
      <c r="G93" s="25"/>
      <c r="I93" s="87"/>
      <c r="K93" s="87"/>
      <c r="M93" s="87"/>
      <c r="O93" s="87"/>
      <c r="Q93" s="87"/>
      <c r="S93" s="87"/>
    </row>
    <row r="94" spans="1:28" s="86" customFormat="1" ht="13.8" x14ac:dyDescent="0.3">
      <c r="A94" s="291"/>
      <c r="B94" s="291" t="s">
        <v>48</v>
      </c>
      <c r="C94" s="292"/>
      <c r="D94" s="290"/>
      <c r="E94" s="292"/>
      <c r="F94" s="290"/>
      <c r="G94" s="293"/>
      <c r="H94" s="290"/>
      <c r="I94" s="292"/>
      <c r="J94" s="290"/>
      <c r="K94" s="292"/>
      <c r="L94" s="290"/>
      <c r="M94" s="290"/>
      <c r="N94" s="290"/>
      <c r="O94" s="292"/>
      <c r="P94" s="290"/>
      <c r="Q94" s="292"/>
      <c r="R94" s="292"/>
      <c r="S94" s="292"/>
      <c r="T94" s="292"/>
      <c r="U94" s="292"/>
      <c r="V94" s="292"/>
    </row>
    <row r="95" spans="1:28" s="86" customFormat="1" ht="13.8" x14ac:dyDescent="0.3">
      <c r="A95" s="24"/>
      <c r="B95" s="24" t="s">
        <v>9</v>
      </c>
      <c r="C95" s="87"/>
      <c r="E95" s="84"/>
      <c r="F95" s="369"/>
      <c r="G95" s="84"/>
      <c r="H95" s="369"/>
      <c r="I95" s="84"/>
      <c r="J95" s="369"/>
      <c r="K95" s="84"/>
      <c r="L95" s="369"/>
      <c r="M95" s="84"/>
      <c r="N95" s="369"/>
      <c r="O95" s="84"/>
      <c r="P95" s="369"/>
      <c r="Q95" s="84"/>
      <c r="R95" s="63"/>
      <c r="S95" s="84"/>
      <c r="T95" s="63"/>
    </row>
    <row r="96" spans="1:28" x14ac:dyDescent="0.3">
      <c r="A96" s="86"/>
      <c r="B96" s="84" t="s">
        <v>17</v>
      </c>
      <c r="C96" s="87"/>
      <c r="D96" s="86"/>
      <c r="E96" s="86"/>
      <c r="G96" s="86"/>
      <c r="H96" s="87"/>
      <c r="I96" s="86"/>
      <c r="J96" s="87"/>
      <c r="K96" s="84"/>
      <c r="L96" s="87"/>
      <c r="M96" s="84"/>
      <c r="N96" s="87"/>
      <c r="O96" s="84"/>
      <c r="P96" s="77"/>
      <c r="Q96" s="84"/>
      <c r="R96" s="77"/>
      <c r="S96" s="84"/>
      <c r="T96" s="77"/>
    </row>
    <row r="97" spans="1:20" ht="55.2" x14ac:dyDescent="0.3">
      <c r="A97" s="84"/>
      <c r="B97" s="132" t="s">
        <v>137</v>
      </c>
      <c r="C97" s="113" t="s">
        <v>31</v>
      </c>
      <c r="D97" s="112" t="s">
        <v>433</v>
      </c>
      <c r="E97" s="132"/>
      <c r="F97" s="113" t="s">
        <v>49</v>
      </c>
      <c r="G97" s="132"/>
      <c r="H97" s="113" t="s">
        <v>11</v>
      </c>
      <c r="I97" s="132"/>
      <c r="J97" s="142" t="s">
        <v>495</v>
      </c>
      <c r="K97" s="138"/>
      <c r="L97" s="142" t="s">
        <v>496</v>
      </c>
      <c r="M97" s="115"/>
      <c r="N97" s="113" t="s">
        <v>497</v>
      </c>
      <c r="O97" s="138"/>
      <c r="P97" s="109" t="s">
        <v>498</v>
      </c>
      <c r="Q97" s="115"/>
      <c r="R97" s="109" t="s">
        <v>499</v>
      </c>
      <c r="S97" s="84"/>
      <c r="T97" s="77"/>
    </row>
    <row r="98" spans="1:20" ht="15" thickBot="1" x14ac:dyDescent="0.35">
      <c r="A98" s="76"/>
      <c r="B98" s="126"/>
      <c r="C98" s="117" t="s">
        <v>23</v>
      </c>
      <c r="D98" s="118"/>
      <c r="E98" s="133"/>
      <c r="F98" s="117" t="s">
        <v>50</v>
      </c>
      <c r="G98" s="133"/>
      <c r="H98" s="117" t="s">
        <v>25</v>
      </c>
      <c r="I98" s="139"/>
      <c r="J98" s="143" t="s">
        <v>24</v>
      </c>
      <c r="K98" s="139"/>
      <c r="L98" s="143" t="s">
        <v>140</v>
      </c>
      <c r="M98" s="118"/>
      <c r="N98" s="117" t="s">
        <v>141</v>
      </c>
      <c r="O98" s="139"/>
      <c r="P98" s="143" t="s">
        <v>142</v>
      </c>
      <c r="Q98" s="117"/>
      <c r="R98" s="143" t="s">
        <v>143</v>
      </c>
      <c r="S98" s="84"/>
      <c r="T98" s="29"/>
    </row>
    <row r="99" spans="1:20" ht="28.2" thickTop="1" x14ac:dyDescent="0.3">
      <c r="B99" s="123" t="s">
        <v>10</v>
      </c>
      <c r="C99" s="85" t="s">
        <v>1326</v>
      </c>
      <c r="D99" s="369" t="s">
        <v>435</v>
      </c>
      <c r="E99" s="134"/>
      <c r="F99" s="85" t="s">
        <v>321</v>
      </c>
      <c r="G99" s="134"/>
      <c r="H99" s="85" t="s">
        <v>30</v>
      </c>
      <c r="I99" s="221"/>
      <c r="J99" s="144">
        <v>4.9000000000000002E-2</v>
      </c>
      <c r="K99" s="134"/>
      <c r="L99" s="147">
        <v>0.85</v>
      </c>
      <c r="M99" s="141"/>
      <c r="N99" s="63">
        <v>0.85</v>
      </c>
      <c r="O99" s="134"/>
      <c r="P99" s="147">
        <v>0.63</v>
      </c>
      <c r="Q99" s="141"/>
      <c r="R99" s="147">
        <v>0.37</v>
      </c>
      <c r="S99" s="84"/>
      <c r="T99" s="29"/>
    </row>
    <row r="100" spans="1:20" x14ac:dyDescent="0.3">
      <c r="B100" s="123" t="s">
        <v>15</v>
      </c>
      <c r="C100" s="85" t="s">
        <v>1115</v>
      </c>
      <c r="D100" s="369" t="s">
        <v>435</v>
      </c>
      <c r="E100" s="409" t="s">
        <v>14</v>
      </c>
      <c r="F100" s="470" t="s">
        <v>14</v>
      </c>
      <c r="G100" s="134"/>
      <c r="H100" s="85" t="s">
        <v>16</v>
      </c>
      <c r="I100" s="221"/>
      <c r="J100" s="146">
        <v>6.9000000000000006E-2</v>
      </c>
      <c r="K100" s="428" t="s">
        <v>14</v>
      </c>
      <c r="L100" s="428" t="s">
        <v>14</v>
      </c>
      <c r="M100" s="409" t="s">
        <v>14</v>
      </c>
      <c r="N100" s="410" t="s">
        <v>14</v>
      </c>
      <c r="O100" s="428" t="s">
        <v>14</v>
      </c>
      <c r="P100" s="428" t="s">
        <v>14</v>
      </c>
      <c r="Q100" s="409" t="s">
        <v>14</v>
      </c>
      <c r="R100" s="410" t="s">
        <v>14</v>
      </c>
      <c r="S100" s="84"/>
      <c r="T100" s="29"/>
    </row>
    <row r="101" spans="1:20" x14ac:dyDescent="0.3">
      <c r="B101" s="149" t="s">
        <v>623</v>
      </c>
      <c r="C101" s="150" t="s">
        <v>52</v>
      </c>
      <c r="D101" s="151" t="s">
        <v>435</v>
      </c>
      <c r="E101" s="411" t="s">
        <v>14</v>
      </c>
      <c r="F101" s="471" t="s">
        <v>14</v>
      </c>
      <c r="G101" s="153"/>
      <c r="H101" s="150" t="s">
        <v>43</v>
      </c>
      <c r="I101" s="277"/>
      <c r="J101" s="155">
        <v>7.0999999999999994E-2</v>
      </c>
      <c r="K101" s="432" t="s">
        <v>14</v>
      </c>
      <c r="L101" s="432" t="s">
        <v>14</v>
      </c>
      <c r="M101" s="411" t="s">
        <v>14</v>
      </c>
      <c r="N101" s="412" t="s">
        <v>14</v>
      </c>
      <c r="O101" s="432" t="s">
        <v>14</v>
      </c>
      <c r="P101" s="432" t="s">
        <v>14</v>
      </c>
      <c r="Q101" s="411" t="s">
        <v>14</v>
      </c>
      <c r="R101" s="412" t="s">
        <v>14</v>
      </c>
      <c r="S101" s="84"/>
      <c r="T101" s="29"/>
    </row>
    <row r="102" spans="1:20" ht="15" customHeight="1" x14ac:dyDescent="0.3">
      <c r="A102" s="87"/>
      <c r="B102" s="87"/>
      <c r="C102" s="87"/>
      <c r="D102" s="86"/>
      <c r="E102" s="84"/>
      <c r="F102" s="85"/>
      <c r="G102" s="84"/>
      <c r="I102" s="84"/>
      <c r="K102" s="84"/>
      <c r="M102" s="84"/>
      <c r="O102" s="84"/>
      <c r="P102" s="77"/>
      <c r="Q102" s="84"/>
      <c r="R102" s="77"/>
      <c r="S102" s="84"/>
      <c r="T102" s="77"/>
    </row>
    <row r="103" spans="1:20" x14ac:dyDescent="0.3">
      <c r="A103" s="82"/>
      <c r="B103" s="83" t="s">
        <v>18</v>
      </c>
      <c r="G103" s="84"/>
    </row>
    <row r="104" spans="1:20" ht="27.6" x14ac:dyDescent="0.3">
      <c r="A104" s="82"/>
      <c r="B104" s="216" t="s">
        <v>137</v>
      </c>
      <c r="C104" s="116" t="s">
        <v>31</v>
      </c>
      <c r="D104" s="213"/>
      <c r="E104" s="190"/>
      <c r="F104" s="109" t="s">
        <v>11</v>
      </c>
      <c r="G104" s="183"/>
      <c r="H104" s="116" t="s">
        <v>495</v>
      </c>
      <c r="I104" s="190"/>
      <c r="J104" s="109" t="s">
        <v>22</v>
      </c>
      <c r="K104" s="183"/>
      <c r="L104" s="109" t="s">
        <v>39</v>
      </c>
      <c r="M104" s="34"/>
      <c r="N104" s="77"/>
      <c r="O104" s="34"/>
      <c r="P104" s="77"/>
      <c r="Q104" s="34"/>
      <c r="R104" s="77"/>
      <c r="S104" s="34"/>
      <c r="T104" s="77"/>
    </row>
    <row r="105" spans="1:20" ht="15" thickBot="1" x14ac:dyDescent="0.35">
      <c r="A105" s="82"/>
      <c r="B105" s="126"/>
      <c r="C105" s="117" t="s">
        <v>46</v>
      </c>
      <c r="D105" s="118"/>
      <c r="E105" s="133"/>
      <c r="F105" s="143" t="s">
        <v>26</v>
      </c>
      <c r="G105" s="119"/>
      <c r="H105" s="117" t="s">
        <v>47</v>
      </c>
      <c r="I105" s="139"/>
      <c r="J105" s="143" t="s">
        <v>28</v>
      </c>
      <c r="K105" s="118"/>
      <c r="L105" s="143" t="s">
        <v>29</v>
      </c>
      <c r="M105" s="76"/>
      <c r="N105" s="29"/>
      <c r="O105" s="76"/>
      <c r="P105" s="29"/>
      <c r="Q105" s="29"/>
      <c r="R105" s="29"/>
      <c r="S105" s="29"/>
      <c r="T105" s="29"/>
    </row>
    <row r="106" spans="1:20" ht="15" thickTop="1" x14ac:dyDescent="0.3">
      <c r="A106" s="82"/>
      <c r="B106" s="149" t="s">
        <v>20</v>
      </c>
      <c r="C106" s="151" t="s">
        <v>533</v>
      </c>
      <c r="D106" s="158"/>
      <c r="E106" s="153"/>
      <c r="F106" s="166" t="s">
        <v>19</v>
      </c>
      <c r="G106" s="169"/>
      <c r="H106" s="150">
        <v>0.36</v>
      </c>
      <c r="I106" s="153"/>
      <c r="J106" s="163">
        <v>0.25</v>
      </c>
      <c r="K106" s="169"/>
      <c r="L106" s="163">
        <v>0.42</v>
      </c>
    </row>
    <row r="107" spans="1:20" x14ac:dyDescent="0.3">
      <c r="C107" s="371"/>
      <c r="D107" s="378"/>
      <c r="E107" s="369"/>
      <c r="G107" s="369"/>
      <c r="H107" s="85"/>
    </row>
    <row r="108" spans="1:20" x14ac:dyDescent="0.3">
      <c r="A108" s="24"/>
      <c r="B108" s="24" t="s">
        <v>53</v>
      </c>
      <c r="D108" s="83"/>
      <c r="E108" s="40"/>
      <c r="F108" s="38"/>
      <c r="G108" s="40"/>
      <c r="H108" s="38"/>
      <c r="I108" s="40"/>
      <c r="J108" s="38"/>
      <c r="K108" s="40"/>
      <c r="L108" s="38"/>
      <c r="M108" s="40"/>
      <c r="N108" s="38"/>
      <c r="O108" s="40"/>
      <c r="P108" s="38"/>
      <c r="R108" s="38"/>
      <c r="T108" s="38"/>
    </row>
    <row r="109" spans="1:20" x14ac:dyDescent="0.3">
      <c r="B109" s="84" t="s">
        <v>17</v>
      </c>
    </row>
    <row r="110" spans="1:20" x14ac:dyDescent="0.3">
      <c r="A110" s="84"/>
      <c r="B110" s="132" t="s">
        <v>137</v>
      </c>
      <c r="C110" s="113" t="s">
        <v>31</v>
      </c>
      <c r="D110" s="112" t="s">
        <v>433</v>
      </c>
      <c r="E110" s="132"/>
      <c r="F110" s="110" t="s">
        <v>32</v>
      </c>
      <c r="G110" s="112"/>
      <c r="H110" s="168" t="s">
        <v>33</v>
      </c>
      <c r="I110" s="132"/>
      <c r="J110" s="110" t="s">
        <v>34</v>
      </c>
      <c r="K110" s="112"/>
      <c r="L110" s="168" t="s">
        <v>35</v>
      </c>
      <c r="M110" s="132"/>
      <c r="N110" s="110" t="s">
        <v>36</v>
      </c>
      <c r="O110" s="112"/>
      <c r="P110" s="110" t="s">
        <v>144</v>
      </c>
      <c r="Q110" s="112"/>
      <c r="R110" s="110" t="s">
        <v>1114</v>
      </c>
      <c r="S110" s="84"/>
      <c r="T110" s="78"/>
    </row>
    <row r="111" spans="1:20" ht="15" thickBot="1" x14ac:dyDescent="0.35">
      <c r="A111" s="76"/>
      <c r="B111" s="126"/>
      <c r="C111" s="117" t="s">
        <v>23</v>
      </c>
      <c r="D111" s="118"/>
      <c r="E111" s="133"/>
      <c r="F111" s="519" t="s">
        <v>968</v>
      </c>
      <c r="G111" s="119"/>
      <c r="H111" s="519" t="s">
        <v>968</v>
      </c>
      <c r="I111" s="139"/>
      <c r="J111" s="519" t="s">
        <v>968</v>
      </c>
      <c r="K111" s="118"/>
      <c r="L111" s="519" t="s">
        <v>968</v>
      </c>
      <c r="M111" s="139"/>
      <c r="N111" s="519" t="s">
        <v>968</v>
      </c>
      <c r="O111" s="118"/>
      <c r="P111" s="519" t="s">
        <v>968</v>
      </c>
      <c r="Q111" s="118"/>
      <c r="R111" s="519" t="s">
        <v>968</v>
      </c>
      <c r="S111" s="29"/>
      <c r="T111" s="29"/>
    </row>
    <row r="112" spans="1:20" ht="28.2" thickTop="1" x14ac:dyDescent="0.3">
      <c r="A112" s="60"/>
      <c r="B112" s="123" t="s">
        <v>10</v>
      </c>
      <c r="C112" s="85" t="s">
        <v>1326</v>
      </c>
      <c r="D112" s="369" t="s">
        <v>435</v>
      </c>
      <c r="E112" s="134"/>
      <c r="F112" s="367" t="s">
        <v>1137</v>
      </c>
      <c r="G112" s="141"/>
      <c r="H112" s="371" t="s">
        <v>1151</v>
      </c>
      <c r="I112" s="480" t="s">
        <v>14</v>
      </c>
      <c r="J112" s="481" t="s">
        <v>14</v>
      </c>
      <c r="K112" s="480" t="s">
        <v>14</v>
      </c>
      <c r="L112" s="481" t="s">
        <v>14</v>
      </c>
      <c r="M112" s="480" t="s">
        <v>14</v>
      </c>
      <c r="N112" s="481" t="s">
        <v>14</v>
      </c>
      <c r="O112" s="480" t="s">
        <v>14</v>
      </c>
      <c r="P112" s="481" t="s">
        <v>14</v>
      </c>
      <c r="Q112" s="480" t="s">
        <v>14</v>
      </c>
      <c r="R112" s="481" t="s">
        <v>14</v>
      </c>
      <c r="T112" s="66"/>
    </row>
    <row r="113" spans="1:20" ht="27.6" x14ac:dyDescent="0.3">
      <c r="A113" s="60"/>
      <c r="B113" s="123" t="s">
        <v>15</v>
      </c>
      <c r="C113" s="85" t="s">
        <v>1115</v>
      </c>
      <c r="D113" s="369" t="s">
        <v>435</v>
      </c>
      <c r="E113" s="134"/>
      <c r="F113" s="367" t="s">
        <v>1133</v>
      </c>
      <c r="G113" s="141"/>
      <c r="H113" s="371" t="s">
        <v>1150</v>
      </c>
      <c r="I113" s="136"/>
      <c r="J113" s="367" t="s">
        <v>1294</v>
      </c>
      <c r="K113" s="136"/>
      <c r="L113" s="371" t="s">
        <v>1179</v>
      </c>
      <c r="M113" s="136"/>
      <c r="N113" s="367" t="s">
        <v>1184</v>
      </c>
      <c r="O113" s="136"/>
      <c r="P113" s="367" t="s">
        <v>1173</v>
      </c>
      <c r="Q113" s="136"/>
      <c r="R113" s="367" t="s">
        <v>1174</v>
      </c>
      <c r="T113" s="66"/>
    </row>
    <row r="114" spans="1:20" ht="15" customHeight="1" x14ac:dyDescent="0.3">
      <c r="A114" s="60"/>
      <c r="B114" s="149" t="s">
        <v>623</v>
      </c>
      <c r="C114" s="150" t="s">
        <v>52</v>
      </c>
      <c r="D114" s="151" t="s">
        <v>435</v>
      </c>
      <c r="E114" s="165"/>
      <c r="F114" s="166" t="s">
        <v>1138</v>
      </c>
      <c r="G114" s="164"/>
      <c r="H114" s="160" t="s">
        <v>1152</v>
      </c>
      <c r="I114" s="165"/>
      <c r="J114" s="166" t="s">
        <v>1171</v>
      </c>
      <c r="K114" s="411" t="s">
        <v>14</v>
      </c>
      <c r="L114" s="412" t="s">
        <v>14</v>
      </c>
      <c r="M114" s="411" t="s">
        <v>14</v>
      </c>
      <c r="N114" s="412" t="s">
        <v>14</v>
      </c>
      <c r="O114" s="411" t="s">
        <v>14</v>
      </c>
      <c r="P114" s="412" t="s">
        <v>14</v>
      </c>
      <c r="Q114" s="411" t="s">
        <v>14</v>
      </c>
      <c r="R114" s="412" t="s">
        <v>14</v>
      </c>
      <c r="T114" s="66"/>
    </row>
    <row r="116" spans="1:20" s="82" customFormat="1" ht="13.8" x14ac:dyDescent="0.3">
      <c r="A116" s="24"/>
      <c r="B116" s="24" t="s">
        <v>114</v>
      </c>
      <c r="D116" s="86"/>
      <c r="E116" s="84"/>
      <c r="G116" s="86"/>
      <c r="H116" s="84"/>
      <c r="J116" s="86"/>
      <c r="K116" s="84"/>
      <c r="M116" s="86"/>
      <c r="N116" s="84"/>
      <c r="P116" s="86"/>
      <c r="Q116" s="84"/>
      <c r="S116" s="86"/>
      <c r="T116" s="84"/>
    </row>
    <row r="117" spans="1:20" s="82" customFormat="1" ht="13.8" x14ac:dyDescent="0.3">
      <c r="B117" s="77" t="s">
        <v>212</v>
      </c>
      <c r="D117" s="86"/>
      <c r="E117" s="84"/>
      <c r="G117" s="86"/>
      <c r="H117" s="84"/>
      <c r="J117" s="86"/>
      <c r="K117" s="84"/>
      <c r="M117" s="86"/>
      <c r="N117" s="84"/>
      <c r="P117" s="86"/>
      <c r="Q117" s="84"/>
      <c r="S117" s="86"/>
      <c r="T117" s="84"/>
    </row>
    <row r="118" spans="1:20" s="85" customFormat="1" ht="38.25" customHeight="1" x14ac:dyDescent="0.3">
      <c r="B118" s="249" t="s">
        <v>138</v>
      </c>
      <c r="C118" s="256" t="s">
        <v>190</v>
      </c>
      <c r="D118" s="112" t="s">
        <v>433</v>
      </c>
      <c r="E118" s="258"/>
      <c r="F118" s="243" t="s">
        <v>524</v>
      </c>
      <c r="G118" s="258"/>
      <c r="H118" s="243" t="s">
        <v>123</v>
      </c>
      <c r="I118" s="82"/>
      <c r="J118" s="86"/>
      <c r="L118" s="87"/>
      <c r="M118" s="87"/>
      <c r="N118" s="87"/>
      <c r="O118" s="87"/>
      <c r="P118" s="87"/>
      <c r="Q118" s="87"/>
      <c r="R118" s="87"/>
    </row>
    <row r="119" spans="1:20" s="369" customFormat="1" thickBot="1" x14ac:dyDescent="0.35">
      <c r="B119" s="100" t="s">
        <v>213</v>
      </c>
      <c r="C119" s="117"/>
      <c r="D119" s="215"/>
      <c r="E119" s="100"/>
      <c r="F119" s="101" t="s">
        <v>149</v>
      </c>
      <c r="G119" s="100"/>
      <c r="H119" s="101" t="s">
        <v>150</v>
      </c>
      <c r="I119" s="82"/>
      <c r="J119" s="86"/>
      <c r="K119" s="75"/>
      <c r="L119" s="87"/>
      <c r="M119" s="87"/>
      <c r="N119" s="87"/>
      <c r="O119" s="87"/>
      <c r="P119" s="87"/>
      <c r="Q119" s="87"/>
      <c r="R119" s="63"/>
    </row>
    <row r="120" spans="1:20" s="369" customFormat="1" ht="28.2" thickTop="1" x14ac:dyDescent="0.3">
      <c r="B120" s="175" t="s">
        <v>581</v>
      </c>
      <c r="C120" s="253" t="s">
        <v>117</v>
      </c>
      <c r="D120" s="229" t="s">
        <v>1340</v>
      </c>
      <c r="E120" s="153"/>
      <c r="F120" s="199">
        <v>0.75</v>
      </c>
      <c r="G120" s="153"/>
      <c r="H120" s="199" t="s">
        <v>130</v>
      </c>
      <c r="I120" s="82"/>
      <c r="J120" s="86"/>
      <c r="K120" s="87"/>
      <c r="L120" s="87"/>
      <c r="M120" s="87"/>
      <c r="N120" s="87"/>
      <c r="O120" s="87"/>
      <c r="P120" s="87"/>
      <c r="Q120" s="370"/>
    </row>
    <row r="122" spans="1:20" x14ac:dyDescent="0.3">
      <c r="A122" s="82"/>
      <c r="B122" s="85"/>
      <c r="C122" s="83"/>
      <c r="D122" s="397"/>
      <c r="E122" s="369"/>
      <c r="F122" s="369"/>
      <c r="G122" s="369"/>
      <c r="H122" s="369"/>
      <c r="J122" s="369"/>
      <c r="L122" s="66"/>
      <c r="N122" s="66"/>
      <c r="P122" s="66"/>
      <c r="R122" s="66"/>
      <c r="T122" s="66"/>
    </row>
    <row r="123" spans="1:20" x14ac:dyDescent="0.3">
      <c r="A123" s="24"/>
      <c r="B123" s="24" t="s">
        <v>517</v>
      </c>
    </row>
    <row r="124" spans="1:20" ht="41.4" x14ac:dyDescent="0.3">
      <c r="A124" s="82"/>
      <c r="B124" s="108" t="s">
        <v>500</v>
      </c>
      <c r="C124" s="116" t="s">
        <v>501</v>
      </c>
      <c r="D124" s="112" t="s">
        <v>433</v>
      </c>
      <c r="E124" s="125"/>
      <c r="F124" s="142" t="s">
        <v>437</v>
      </c>
      <c r="G124" s="113"/>
      <c r="H124" s="168" t="s">
        <v>137</v>
      </c>
      <c r="I124" s="125"/>
      <c r="J124" s="110" t="s">
        <v>186</v>
      </c>
      <c r="K124" s="125"/>
      <c r="L124" s="142" t="s">
        <v>510</v>
      </c>
      <c r="M124" s="113"/>
      <c r="N124" s="113" t="s">
        <v>509</v>
      </c>
      <c r="O124" s="207"/>
      <c r="P124" s="142" t="s">
        <v>508</v>
      </c>
      <c r="Q124" s="125"/>
      <c r="R124" s="142" t="s">
        <v>486</v>
      </c>
      <c r="S124" s="125"/>
      <c r="T124" s="142" t="s">
        <v>534</v>
      </c>
    </row>
    <row r="125" spans="1:20" ht="15" thickBot="1" x14ac:dyDescent="0.35">
      <c r="A125" s="82"/>
      <c r="B125" s="173" t="s">
        <v>259</v>
      </c>
      <c r="C125" s="171" t="s">
        <v>258</v>
      </c>
      <c r="D125" s="376"/>
      <c r="E125" s="178"/>
      <c r="F125" s="174"/>
      <c r="G125" s="172"/>
      <c r="H125" s="174" t="s">
        <v>260</v>
      </c>
      <c r="I125" s="178"/>
      <c r="J125" s="174" t="s">
        <v>261</v>
      </c>
      <c r="K125" s="208"/>
      <c r="L125" s="174" t="s">
        <v>646</v>
      </c>
      <c r="M125" s="205"/>
      <c r="N125" s="171" t="s">
        <v>647</v>
      </c>
      <c r="O125" s="208"/>
      <c r="P125" s="174" t="s">
        <v>1387</v>
      </c>
      <c r="Q125" s="230"/>
      <c r="R125" s="174" t="s">
        <v>1127</v>
      </c>
      <c r="S125" s="230"/>
      <c r="T125" s="174" t="s">
        <v>1128</v>
      </c>
    </row>
    <row r="126" spans="1:20" s="364" customFormat="1" thickTop="1" x14ac:dyDescent="0.3">
      <c r="A126" s="378"/>
      <c r="B126" s="135" t="s">
        <v>568</v>
      </c>
      <c r="C126" s="378" t="s">
        <v>554</v>
      </c>
      <c r="D126" s="378" t="s">
        <v>435</v>
      </c>
      <c r="E126" s="131"/>
      <c r="F126" s="371" t="s">
        <v>567</v>
      </c>
      <c r="G126" s="418"/>
      <c r="H126" s="378" t="s">
        <v>449</v>
      </c>
      <c r="I126" s="418"/>
      <c r="J126" s="378" t="s">
        <v>187</v>
      </c>
      <c r="K126" s="418"/>
      <c r="L126" s="378">
        <v>55</v>
      </c>
      <c r="M126" s="418"/>
      <c r="N126" s="378">
        <v>60</v>
      </c>
      <c r="O126" s="418"/>
      <c r="P126" s="263" t="s">
        <v>930</v>
      </c>
      <c r="Q126" s="418"/>
      <c r="R126" s="206">
        <v>60</v>
      </c>
      <c r="S126" s="418"/>
      <c r="T126" s="206">
        <v>55</v>
      </c>
    </row>
    <row r="127" spans="1:20" s="364" customFormat="1" ht="13.8" x14ac:dyDescent="0.3">
      <c r="A127" s="378"/>
      <c r="B127" s="135" t="s">
        <v>569</v>
      </c>
      <c r="C127" s="378" t="s">
        <v>565</v>
      </c>
      <c r="D127" s="378" t="s">
        <v>435</v>
      </c>
      <c r="E127" s="131"/>
      <c r="F127" s="371" t="s">
        <v>571</v>
      </c>
      <c r="G127" s="419"/>
      <c r="H127" s="378" t="s">
        <v>449</v>
      </c>
      <c r="I127" s="419"/>
      <c r="J127" s="378" t="s">
        <v>187</v>
      </c>
      <c r="K127" s="419"/>
      <c r="L127" s="378">
        <v>55</v>
      </c>
      <c r="M127" s="419"/>
      <c r="N127" s="378">
        <v>60</v>
      </c>
      <c r="O127" s="419"/>
      <c r="P127" s="197" t="s">
        <v>930</v>
      </c>
      <c r="Q127" s="419"/>
      <c r="R127" s="206">
        <v>60</v>
      </c>
      <c r="S127" s="419"/>
      <c r="T127" s="206">
        <v>55</v>
      </c>
    </row>
    <row r="128" spans="1:20" x14ac:dyDescent="0.3">
      <c r="A128" s="82"/>
      <c r="B128" s="175" t="s">
        <v>570</v>
      </c>
      <c r="C128" s="150" t="s">
        <v>566</v>
      </c>
      <c r="D128" s="199" t="s">
        <v>435</v>
      </c>
      <c r="E128" s="179"/>
      <c r="F128" s="150" t="s">
        <v>572</v>
      </c>
      <c r="G128" s="417"/>
      <c r="H128" s="150" t="s">
        <v>449</v>
      </c>
      <c r="I128" s="417"/>
      <c r="J128" s="155" t="s">
        <v>187</v>
      </c>
      <c r="K128" s="417"/>
      <c r="L128" s="209">
        <v>55</v>
      </c>
      <c r="M128" s="417"/>
      <c r="N128" s="151">
        <v>60</v>
      </c>
      <c r="O128" s="417"/>
      <c r="P128" s="209" t="s">
        <v>930</v>
      </c>
      <c r="Q128" s="417"/>
      <c r="R128" s="209">
        <v>60</v>
      </c>
      <c r="S128" s="417"/>
      <c r="T128" s="209">
        <v>55</v>
      </c>
    </row>
    <row r="129" spans="1:30" x14ac:dyDescent="0.3">
      <c r="A129" s="82"/>
      <c r="B129" s="77"/>
      <c r="C129" s="75"/>
      <c r="D129" s="29"/>
      <c r="E129" s="369"/>
      <c r="F129" s="369"/>
      <c r="G129" s="369"/>
      <c r="H129" s="369"/>
      <c r="J129" s="369"/>
      <c r="K129" s="84"/>
      <c r="L129" s="82"/>
      <c r="N129" s="369"/>
      <c r="P129" s="369"/>
      <c r="R129" s="369"/>
      <c r="T129" s="369"/>
    </row>
    <row r="130" spans="1:30" x14ac:dyDescent="0.3">
      <c r="A130" s="82"/>
      <c r="B130" s="77"/>
      <c r="C130" s="75"/>
      <c r="D130" s="29"/>
      <c r="E130" s="369"/>
      <c r="F130" s="369"/>
      <c r="G130" s="369"/>
      <c r="H130" s="369"/>
      <c r="J130" s="369"/>
      <c r="K130" s="84"/>
      <c r="L130" s="82"/>
      <c r="N130" s="369"/>
      <c r="P130" s="369"/>
      <c r="R130" s="369"/>
      <c r="T130" s="369"/>
      <c r="U130" s="369"/>
      <c r="V130" s="369"/>
      <c r="W130" s="369"/>
      <c r="X130" s="369"/>
      <c r="Y130" s="369"/>
      <c r="Z130" s="369"/>
      <c r="AA130" s="369"/>
      <c r="AB130" s="369"/>
      <c r="AC130" s="369"/>
      <c r="AD130" s="369"/>
    </row>
    <row r="131" spans="1:30" ht="41.4" x14ac:dyDescent="0.3">
      <c r="A131" s="82"/>
      <c r="B131" s="108" t="s">
        <v>501</v>
      </c>
      <c r="C131" s="116" t="s">
        <v>502</v>
      </c>
      <c r="D131" s="112" t="s">
        <v>433</v>
      </c>
      <c r="E131" s="177"/>
      <c r="F131" s="110" t="s">
        <v>137</v>
      </c>
      <c r="G131" s="170"/>
      <c r="H131" s="168" t="s">
        <v>503</v>
      </c>
      <c r="I131" s="189"/>
      <c r="J131" s="110" t="s">
        <v>204</v>
      </c>
      <c r="K131" s="182"/>
      <c r="L131" s="110" t="s">
        <v>1053</v>
      </c>
      <c r="M131" s="442"/>
      <c r="N131" s="110" t="s">
        <v>1054</v>
      </c>
      <c r="O131" s="441"/>
      <c r="P131" s="110" t="s">
        <v>1055</v>
      </c>
      <c r="R131" s="369"/>
      <c r="T131" s="369"/>
      <c r="U131" s="369"/>
      <c r="V131" s="369"/>
      <c r="W131" s="369"/>
      <c r="X131" s="369"/>
      <c r="Y131" s="369"/>
      <c r="Z131" s="369"/>
      <c r="AA131" s="369"/>
      <c r="AB131" s="369"/>
      <c r="AC131" s="369"/>
      <c r="AD131" s="369"/>
    </row>
    <row r="132" spans="1:30" ht="15" thickBot="1" x14ac:dyDescent="0.35">
      <c r="A132" s="82"/>
      <c r="B132" s="173" t="s">
        <v>280</v>
      </c>
      <c r="C132" s="171" t="s">
        <v>262</v>
      </c>
      <c r="D132" s="376"/>
      <c r="E132" s="178"/>
      <c r="F132" s="174" t="s">
        <v>264</v>
      </c>
      <c r="G132" s="172"/>
      <c r="H132" s="171" t="s">
        <v>933</v>
      </c>
      <c r="I132" s="178"/>
      <c r="J132" s="174" t="s">
        <v>263</v>
      </c>
      <c r="K132" s="184"/>
      <c r="L132" s="171" t="s">
        <v>629</v>
      </c>
      <c r="M132" s="173"/>
      <c r="N132" s="174" t="s">
        <v>630</v>
      </c>
      <c r="O132" s="171"/>
      <c r="P132" s="174" t="s">
        <v>631</v>
      </c>
      <c r="R132" s="369"/>
      <c r="T132" s="369"/>
      <c r="U132" s="369"/>
      <c r="V132" s="369"/>
      <c r="W132" s="369"/>
      <c r="X132" s="369"/>
      <c r="Y132" s="369"/>
      <c r="Z132" s="369"/>
      <c r="AA132" s="369"/>
      <c r="AB132" s="369"/>
      <c r="AC132" s="369"/>
      <c r="AD132" s="369"/>
    </row>
    <row r="133" spans="1:30" s="363" customFormat="1" ht="15" thickTop="1" x14ac:dyDescent="0.3">
      <c r="A133" s="378"/>
      <c r="B133" s="135" t="s">
        <v>554</v>
      </c>
      <c r="C133" s="378" t="s">
        <v>558</v>
      </c>
      <c r="D133" s="378" t="s">
        <v>435</v>
      </c>
      <c r="E133" s="418"/>
      <c r="F133" s="378" t="s">
        <v>173</v>
      </c>
      <c r="G133" s="418"/>
      <c r="H133" s="378">
        <v>9.8000000000000007</v>
      </c>
      <c r="I133" s="418"/>
      <c r="J133" s="378">
        <v>1.1499999999999999</v>
      </c>
      <c r="K133" s="418"/>
      <c r="L133" s="378" t="s">
        <v>454</v>
      </c>
      <c r="M133" s="418"/>
      <c r="N133" s="378" t="s">
        <v>530</v>
      </c>
      <c r="O133" s="418"/>
      <c r="P133" s="263" t="s">
        <v>673</v>
      </c>
      <c r="Q133" s="378"/>
      <c r="R133" s="378"/>
      <c r="S133" s="378"/>
      <c r="T133" s="378"/>
      <c r="U133" s="378"/>
      <c r="V133" s="378"/>
      <c r="W133" s="378"/>
      <c r="X133" s="378"/>
      <c r="Y133" s="378"/>
      <c r="Z133" s="378"/>
      <c r="AA133" s="378"/>
      <c r="AB133" s="378"/>
      <c r="AC133" s="378"/>
      <c r="AD133" s="378"/>
    </row>
    <row r="134" spans="1:30" s="363" customFormat="1" x14ac:dyDescent="0.3">
      <c r="A134" s="378"/>
      <c r="B134" s="135" t="s">
        <v>565</v>
      </c>
      <c r="C134" s="378" t="s">
        <v>573</v>
      </c>
      <c r="D134" s="378" t="s">
        <v>435</v>
      </c>
      <c r="E134" s="419"/>
      <c r="F134" s="378" t="s">
        <v>173</v>
      </c>
      <c r="G134" s="419"/>
      <c r="H134" s="378">
        <v>9.8000000000000007</v>
      </c>
      <c r="I134" s="419"/>
      <c r="J134" s="378">
        <v>1.1499999999999999</v>
      </c>
      <c r="K134" s="419"/>
      <c r="L134" s="378" t="s">
        <v>454</v>
      </c>
      <c r="M134" s="419"/>
      <c r="N134" s="378" t="s">
        <v>530</v>
      </c>
      <c r="O134" s="419"/>
      <c r="P134" s="197" t="s">
        <v>673</v>
      </c>
      <c r="Q134" s="378"/>
      <c r="R134" s="378"/>
      <c r="S134" s="378"/>
      <c r="T134" s="378"/>
      <c r="U134" s="378"/>
      <c r="V134" s="378"/>
      <c r="W134" s="378"/>
      <c r="X134" s="378"/>
      <c r="Y134" s="378"/>
      <c r="Z134" s="378"/>
      <c r="AA134" s="378"/>
      <c r="AB134" s="378"/>
      <c r="AC134" s="378"/>
      <c r="AD134" s="378"/>
    </row>
    <row r="135" spans="1:30" x14ac:dyDescent="0.3">
      <c r="A135" s="82"/>
      <c r="B135" s="175" t="s">
        <v>566</v>
      </c>
      <c r="C135" s="150" t="s">
        <v>574</v>
      </c>
      <c r="D135" s="199" t="s">
        <v>435</v>
      </c>
      <c r="E135" s="417"/>
      <c r="F135" s="150" t="s">
        <v>173</v>
      </c>
      <c r="G135" s="417"/>
      <c r="H135" s="252">
        <v>9.8000000000000007</v>
      </c>
      <c r="I135" s="153"/>
      <c r="J135" s="252">
        <v>1.1499999999999999</v>
      </c>
      <c r="K135" s="153"/>
      <c r="L135" s="209" t="s">
        <v>454</v>
      </c>
      <c r="M135" s="169"/>
      <c r="N135" s="151" t="s">
        <v>530</v>
      </c>
      <c r="O135" s="153"/>
      <c r="P135" s="209" t="s">
        <v>673</v>
      </c>
      <c r="R135" s="369"/>
      <c r="T135" s="369"/>
      <c r="U135" s="369"/>
      <c r="V135" s="369"/>
      <c r="W135" s="369"/>
      <c r="X135" s="369"/>
      <c r="Y135" s="369"/>
      <c r="Z135" s="369"/>
      <c r="AA135" s="369"/>
      <c r="AB135" s="369"/>
      <c r="AC135" s="369"/>
      <c r="AD135" s="369"/>
    </row>
    <row r="136" spans="1:30" x14ac:dyDescent="0.3">
      <c r="A136" s="82"/>
      <c r="B136" s="77"/>
      <c r="C136" s="75"/>
      <c r="D136" s="82"/>
      <c r="E136" s="84"/>
      <c r="F136" s="82"/>
      <c r="G136" s="84"/>
      <c r="H136" s="82"/>
      <c r="I136" s="84"/>
      <c r="J136" s="82"/>
      <c r="K136" s="29"/>
      <c r="L136" s="369"/>
      <c r="N136" s="369"/>
      <c r="P136" s="369"/>
      <c r="R136" s="369"/>
      <c r="T136" s="369"/>
    </row>
    <row r="137" spans="1:30" x14ac:dyDescent="0.3">
      <c r="A137" s="82"/>
      <c r="B137" s="77"/>
      <c r="C137" s="75"/>
      <c r="D137" s="82"/>
      <c r="E137" s="84"/>
      <c r="F137" s="82"/>
      <c r="G137" s="84"/>
      <c r="H137" s="82"/>
      <c r="I137" s="84"/>
      <c r="J137" s="82"/>
      <c r="K137" s="29"/>
      <c r="L137" s="369"/>
      <c r="N137" s="369"/>
      <c r="P137" s="369"/>
      <c r="R137" s="369"/>
      <c r="T137" s="369"/>
    </row>
    <row r="138" spans="1:30" x14ac:dyDescent="0.3">
      <c r="A138" s="82"/>
      <c r="B138" s="108" t="s">
        <v>501</v>
      </c>
      <c r="C138" s="116" t="s">
        <v>504</v>
      </c>
      <c r="D138" s="112" t="s">
        <v>433</v>
      </c>
      <c r="E138" s="177"/>
      <c r="F138" s="110" t="s">
        <v>474</v>
      </c>
      <c r="G138" s="369"/>
      <c r="H138" s="85"/>
      <c r="L138" s="369"/>
      <c r="N138" s="369"/>
      <c r="P138" s="369"/>
      <c r="R138" s="369"/>
      <c r="S138" s="362"/>
      <c r="T138" s="397"/>
    </row>
    <row r="139" spans="1:30" ht="15" thickBot="1" x14ac:dyDescent="0.35">
      <c r="A139" s="82"/>
      <c r="B139" s="173" t="s">
        <v>282</v>
      </c>
      <c r="C139" s="171" t="s">
        <v>265</v>
      </c>
      <c r="D139" s="376"/>
      <c r="E139" s="178"/>
      <c r="F139" s="174" t="s">
        <v>266</v>
      </c>
      <c r="G139" s="369"/>
      <c r="H139" s="85"/>
      <c r="L139" s="369"/>
      <c r="N139" s="369"/>
      <c r="P139" s="369"/>
      <c r="R139" s="369"/>
      <c r="S139" s="362"/>
      <c r="T139" s="397"/>
    </row>
    <row r="140" spans="1:30" s="363" customFormat="1" ht="15" thickTop="1" x14ac:dyDescent="0.3">
      <c r="A140" s="378"/>
      <c r="B140" s="135" t="s">
        <v>554</v>
      </c>
      <c r="C140" s="378" t="s">
        <v>559</v>
      </c>
      <c r="D140" s="378" t="s">
        <v>435</v>
      </c>
      <c r="E140" s="420"/>
      <c r="F140" s="263" t="s">
        <v>562</v>
      </c>
      <c r="G140" s="369"/>
      <c r="H140" s="85"/>
      <c r="I140" s="369"/>
      <c r="J140" s="85"/>
      <c r="K140" s="378"/>
      <c r="L140" s="378"/>
      <c r="M140" s="378"/>
      <c r="N140" s="378"/>
      <c r="O140" s="378"/>
      <c r="P140" s="378"/>
      <c r="Q140" s="378"/>
      <c r="R140" s="378"/>
      <c r="S140" s="364"/>
    </row>
    <row r="141" spans="1:30" s="363" customFormat="1" x14ac:dyDescent="0.3">
      <c r="A141" s="378"/>
      <c r="B141" s="135" t="s">
        <v>565</v>
      </c>
      <c r="C141" s="378" t="s">
        <v>575</v>
      </c>
      <c r="D141" s="378" t="s">
        <v>435</v>
      </c>
      <c r="E141" s="416"/>
      <c r="F141" s="274" t="s">
        <v>562</v>
      </c>
      <c r="G141" s="369"/>
      <c r="H141" s="85"/>
      <c r="I141" s="369"/>
      <c r="J141" s="85"/>
      <c r="K141" s="378"/>
      <c r="L141" s="378"/>
      <c r="M141" s="378"/>
      <c r="N141" s="378"/>
      <c r="O141" s="378"/>
      <c r="P141" s="378"/>
      <c r="Q141" s="378"/>
      <c r="R141" s="378"/>
      <c r="S141" s="364"/>
    </row>
    <row r="142" spans="1:30" s="363" customFormat="1" x14ac:dyDescent="0.3">
      <c r="A142" s="378"/>
      <c r="B142" s="135" t="s">
        <v>566</v>
      </c>
      <c r="C142" s="378" t="s">
        <v>576</v>
      </c>
      <c r="D142" s="378" t="s">
        <v>435</v>
      </c>
      <c r="E142" s="416"/>
      <c r="F142" s="274" t="s">
        <v>562</v>
      </c>
      <c r="G142" s="369"/>
      <c r="H142" s="85"/>
      <c r="I142" s="369"/>
      <c r="J142" s="85"/>
      <c r="K142" s="378"/>
      <c r="L142" s="378"/>
      <c r="M142" s="378"/>
      <c r="N142" s="378"/>
      <c r="O142" s="378"/>
      <c r="P142" s="378"/>
      <c r="Q142" s="378"/>
      <c r="R142" s="378"/>
      <c r="S142" s="364"/>
    </row>
    <row r="143" spans="1:30" x14ac:dyDescent="0.3">
      <c r="A143" s="82"/>
      <c r="B143" s="175" t="s">
        <v>582</v>
      </c>
      <c r="C143" s="150" t="s">
        <v>583</v>
      </c>
      <c r="D143" s="181" t="s">
        <v>435</v>
      </c>
      <c r="E143" s="417"/>
      <c r="F143" s="193" t="s">
        <v>562</v>
      </c>
      <c r="G143" s="369"/>
      <c r="H143" s="85"/>
      <c r="L143" s="369"/>
      <c r="N143" s="369"/>
      <c r="P143" s="369"/>
      <c r="R143" s="369"/>
      <c r="S143" s="362"/>
      <c r="T143" s="397"/>
    </row>
    <row r="144" spans="1:30" x14ac:dyDescent="0.3">
      <c r="A144" s="82"/>
      <c r="B144" s="384"/>
      <c r="C144" s="384"/>
      <c r="D144" s="397"/>
      <c r="E144" s="362"/>
      <c r="F144" s="397"/>
      <c r="G144" s="362"/>
      <c r="H144" s="397"/>
      <c r="I144" s="362"/>
      <c r="J144" s="397"/>
      <c r="K144" s="362"/>
      <c r="L144" s="397"/>
      <c r="N144" s="369"/>
      <c r="P144" s="369"/>
      <c r="R144" s="369"/>
      <c r="T144" s="369"/>
    </row>
    <row r="145" spans="1:22" x14ac:dyDescent="0.3">
      <c r="A145" s="82"/>
      <c r="B145" s="384"/>
      <c r="C145" s="384"/>
      <c r="D145" s="397"/>
      <c r="E145" s="362"/>
      <c r="F145" s="397"/>
      <c r="G145" s="362"/>
      <c r="H145" s="397"/>
      <c r="I145" s="362"/>
      <c r="J145" s="397"/>
      <c r="K145" s="362"/>
      <c r="L145" s="397"/>
      <c r="N145" s="369"/>
      <c r="P145" s="369"/>
      <c r="R145" s="369"/>
      <c r="T145" s="369"/>
    </row>
    <row r="146" spans="1:22" ht="27.6" x14ac:dyDescent="0.3">
      <c r="A146" s="82"/>
      <c r="B146" s="108" t="s">
        <v>501</v>
      </c>
      <c r="C146" s="113" t="s">
        <v>506</v>
      </c>
      <c r="D146" s="113" t="s">
        <v>433</v>
      </c>
      <c r="E146" s="125"/>
      <c r="F146" s="110" t="s">
        <v>184</v>
      </c>
      <c r="G146" s="113"/>
      <c r="H146" s="168" t="s">
        <v>277</v>
      </c>
      <c r="I146" s="125"/>
      <c r="J146" s="110" t="s">
        <v>511</v>
      </c>
      <c r="K146" s="113"/>
      <c r="L146" s="168" t="s">
        <v>183</v>
      </c>
      <c r="M146" s="189"/>
      <c r="N146" s="142" t="s">
        <v>205</v>
      </c>
      <c r="O146" s="168"/>
      <c r="P146" s="168" t="s">
        <v>507</v>
      </c>
      <c r="Q146" s="189"/>
      <c r="R146" s="110" t="s">
        <v>206</v>
      </c>
      <c r="S146" s="189"/>
      <c r="T146" s="110" t="s">
        <v>182</v>
      </c>
      <c r="U146" s="189"/>
      <c r="V146" s="110" t="s">
        <v>1398</v>
      </c>
    </row>
    <row r="147" spans="1:22" ht="15" thickBot="1" x14ac:dyDescent="0.35">
      <c r="A147" s="82"/>
      <c r="B147" s="173" t="s">
        <v>282</v>
      </c>
      <c r="C147" s="171" t="s">
        <v>269</v>
      </c>
      <c r="D147" s="171"/>
      <c r="E147" s="178"/>
      <c r="F147" s="174" t="s">
        <v>270</v>
      </c>
      <c r="G147" s="172"/>
      <c r="H147" s="171" t="s">
        <v>271</v>
      </c>
      <c r="I147" s="178"/>
      <c r="J147" s="174"/>
      <c r="K147" s="172"/>
      <c r="L147" s="171" t="s">
        <v>272</v>
      </c>
      <c r="M147" s="178"/>
      <c r="N147" s="174" t="s">
        <v>273</v>
      </c>
      <c r="O147" s="172"/>
      <c r="P147" s="171" t="s">
        <v>274</v>
      </c>
      <c r="Q147" s="178"/>
      <c r="R147" s="174" t="s">
        <v>275</v>
      </c>
      <c r="S147" s="178"/>
      <c r="T147" s="174" t="s">
        <v>276</v>
      </c>
      <c r="U147" s="173"/>
      <c r="V147" s="174" t="s">
        <v>774</v>
      </c>
    </row>
    <row r="148" spans="1:22" s="363" customFormat="1" ht="28.2" thickTop="1" x14ac:dyDescent="0.3">
      <c r="A148" s="378"/>
      <c r="B148" s="135" t="s">
        <v>554</v>
      </c>
      <c r="C148" s="378" t="s">
        <v>563</v>
      </c>
      <c r="D148" s="378" t="s">
        <v>435</v>
      </c>
      <c r="E148" s="418"/>
      <c r="F148" s="378" t="s">
        <v>482</v>
      </c>
      <c r="G148" s="418"/>
      <c r="H148" s="378" t="s">
        <v>564</v>
      </c>
      <c r="I148" s="361" t="s">
        <v>919</v>
      </c>
      <c r="J148" s="90">
        <v>15267.4</v>
      </c>
      <c r="K148" s="361" t="s">
        <v>919</v>
      </c>
      <c r="L148" s="385">
        <f t="shared" ref="L148:L153" si="0">(J148*P148)/(6353*N148)</f>
        <v>15.504384517347658</v>
      </c>
      <c r="M148" s="418"/>
      <c r="N148" s="677">
        <f>IF(J148&lt;2000,0.5,IF(J148&lt;10000,0.6,0.62))</f>
        <v>0.62</v>
      </c>
      <c r="O148" s="418"/>
      <c r="P148" s="807">
        <v>4</v>
      </c>
      <c r="Q148" s="418"/>
      <c r="R148" s="804">
        <v>20</v>
      </c>
      <c r="S148" s="418"/>
      <c r="T148" s="835">
        <v>0.93</v>
      </c>
      <c r="U148" s="897"/>
      <c r="V148" s="535" t="s">
        <v>974</v>
      </c>
    </row>
    <row r="149" spans="1:22" s="363" customFormat="1" ht="27.6" x14ac:dyDescent="0.3">
      <c r="A149" s="378"/>
      <c r="B149" s="135" t="s">
        <v>565</v>
      </c>
      <c r="C149" s="378" t="s">
        <v>577</v>
      </c>
      <c r="D149" s="378" t="s">
        <v>435</v>
      </c>
      <c r="E149" s="419"/>
      <c r="F149" s="378" t="s">
        <v>482</v>
      </c>
      <c r="G149" s="419"/>
      <c r="H149" s="378" t="s">
        <v>564</v>
      </c>
      <c r="I149" s="395" t="s">
        <v>919</v>
      </c>
      <c r="J149" s="90">
        <v>14158.2</v>
      </c>
      <c r="K149" s="395" t="s">
        <v>919</v>
      </c>
      <c r="L149" s="386">
        <f t="shared" si="0"/>
        <v>14.377967229096743</v>
      </c>
      <c r="M149" s="418"/>
      <c r="N149" s="677">
        <f>IF(J149&lt;2000,0.5,IF(J149&lt;10000,0.6,0.62))</f>
        <v>0.62</v>
      </c>
      <c r="O149" s="419"/>
      <c r="P149" s="807">
        <v>4</v>
      </c>
      <c r="Q149" s="419"/>
      <c r="R149" s="807">
        <v>15</v>
      </c>
      <c r="S149" s="419"/>
      <c r="T149" s="837">
        <v>0.92400000000000004</v>
      </c>
      <c r="U149" s="899"/>
      <c r="V149" s="535" t="s">
        <v>974</v>
      </c>
    </row>
    <row r="150" spans="1:22" s="363" customFormat="1" ht="27.6" x14ac:dyDescent="0.3">
      <c r="A150" s="378"/>
      <c r="B150" s="135" t="s">
        <v>566</v>
      </c>
      <c r="C150" s="378" t="s">
        <v>578</v>
      </c>
      <c r="D150" s="378" t="s">
        <v>435</v>
      </c>
      <c r="E150" s="419"/>
      <c r="F150" s="378" t="s">
        <v>482</v>
      </c>
      <c r="G150" s="419"/>
      <c r="H150" s="378" t="s">
        <v>564</v>
      </c>
      <c r="I150" s="250" t="s">
        <v>919</v>
      </c>
      <c r="J150" s="90">
        <v>14876.2</v>
      </c>
      <c r="K150" s="250" t="s">
        <v>919</v>
      </c>
      <c r="L150" s="386">
        <f t="shared" si="0"/>
        <v>15.107112210131866</v>
      </c>
      <c r="M150" s="419"/>
      <c r="N150" s="677">
        <f>IF(J150&lt;2000,0.5,IF(J150&lt;10000,0.6,0.62))</f>
        <v>0.62</v>
      </c>
      <c r="O150" s="419"/>
      <c r="P150" s="807">
        <v>4</v>
      </c>
      <c r="Q150" s="419"/>
      <c r="R150" s="807">
        <v>20</v>
      </c>
      <c r="S150" s="419"/>
      <c r="T150" s="837">
        <v>0.93</v>
      </c>
      <c r="U150" s="893"/>
      <c r="V150" s="535" t="s">
        <v>974</v>
      </c>
    </row>
    <row r="151" spans="1:22" s="363" customFormat="1" x14ac:dyDescent="0.3">
      <c r="A151" s="378"/>
      <c r="B151" s="135" t="s">
        <v>554</v>
      </c>
      <c r="C151" s="378" t="s">
        <v>791</v>
      </c>
      <c r="D151" s="378" t="s">
        <v>435</v>
      </c>
      <c r="E151" s="419"/>
      <c r="F151" s="378" t="s">
        <v>482</v>
      </c>
      <c r="G151" s="419"/>
      <c r="H151" s="378" t="s">
        <v>564</v>
      </c>
      <c r="I151" s="250" t="s">
        <v>919</v>
      </c>
      <c r="J151" s="90">
        <v>14373.6</v>
      </c>
      <c r="K151" s="250" t="s">
        <v>919</v>
      </c>
      <c r="L151" s="386">
        <f>(J151*P151)/(6353*N151)</f>
        <v>4.5249803242562567</v>
      </c>
      <c r="M151" s="419"/>
      <c r="N151" s="797">
        <f>IF(J151&lt;10000,0.4,0.5)</f>
        <v>0.5</v>
      </c>
      <c r="O151" s="419"/>
      <c r="P151" s="653">
        <f>IF(J151&lt;10000,0.75,1)</f>
        <v>1</v>
      </c>
      <c r="Q151" s="419"/>
      <c r="R151" s="807">
        <v>5</v>
      </c>
      <c r="S151" s="419"/>
      <c r="T151" s="806">
        <v>0.89500000000000002</v>
      </c>
      <c r="U151" s="893"/>
      <c r="V151" s="535" t="s">
        <v>976</v>
      </c>
    </row>
    <row r="152" spans="1:22" s="363" customFormat="1" x14ac:dyDescent="0.3">
      <c r="A152" s="378"/>
      <c r="B152" s="135" t="s">
        <v>565</v>
      </c>
      <c r="C152" s="378" t="s">
        <v>793</v>
      </c>
      <c r="D152" s="378" t="s">
        <v>435</v>
      </c>
      <c r="E152" s="419"/>
      <c r="F152" s="378" t="s">
        <v>482</v>
      </c>
      <c r="G152" s="419"/>
      <c r="H152" s="378" t="s">
        <v>564</v>
      </c>
      <c r="I152" s="250" t="s">
        <v>919</v>
      </c>
      <c r="J152" s="90">
        <v>13264.4</v>
      </c>
      <c r="K152" s="250" t="s">
        <v>919</v>
      </c>
      <c r="L152" s="386">
        <f t="shared" si="0"/>
        <v>4.1757909648984732</v>
      </c>
      <c r="M152" s="419"/>
      <c r="N152" s="797">
        <f t="shared" ref="N152:N153" si="1">IF(J152&lt;10000,0.4,0.5)</f>
        <v>0.5</v>
      </c>
      <c r="O152" s="419"/>
      <c r="P152" s="653">
        <f t="shared" ref="P152:P153" si="2">IF(J152&lt;10000,0.75,1)</f>
        <v>1</v>
      </c>
      <c r="Q152" s="419"/>
      <c r="R152" s="807">
        <v>5</v>
      </c>
      <c r="S152" s="419"/>
      <c r="T152" s="806">
        <v>0.89500000000000002</v>
      </c>
      <c r="U152" s="893"/>
      <c r="V152" s="535" t="s">
        <v>976</v>
      </c>
    </row>
    <row r="153" spans="1:22" x14ac:dyDescent="0.3">
      <c r="A153" s="82"/>
      <c r="B153" s="284" t="s">
        <v>566</v>
      </c>
      <c r="C153" s="160" t="s">
        <v>794</v>
      </c>
      <c r="D153" s="199" t="s">
        <v>435</v>
      </c>
      <c r="E153" s="417"/>
      <c r="F153" s="270" t="s">
        <v>482</v>
      </c>
      <c r="G153" s="417"/>
      <c r="H153" s="160" t="s">
        <v>564</v>
      </c>
      <c r="I153" s="204" t="s">
        <v>919</v>
      </c>
      <c r="J153" s="195">
        <v>13982.4</v>
      </c>
      <c r="K153" s="204" t="s">
        <v>919</v>
      </c>
      <c r="L153" s="483">
        <f t="shared" si="0"/>
        <v>4.4018259090193608</v>
      </c>
      <c r="M153" s="417"/>
      <c r="N153" s="689">
        <f t="shared" si="1"/>
        <v>0.5</v>
      </c>
      <c r="O153" s="417"/>
      <c r="P153" s="675">
        <f t="shared" si="2"/>
        <v>1</v>
      </c>
      <c r="Q153" s="417"/>
      <c r="R153" s="808">
        <v>5</v>
      </c>
      <c r="S153" s="417"/>
      <c r="T153" s="843">
        <v>0.89500000000000002</v>
      </c>
      <c r="U153" s="891"/>
      <c r="V153" s="929" t="s">
        <v>976</v>
      </c>
    </row>
    <row r="154" spans="1:22" x14ac:dyDescent="0.3">
      <c r="A154" s="82"/>
      <c r="B154" s="82"/>
      <c r="C154" s="384"/>
      <c r="D154" s="82"/>
      <c r="E154" s="82"/>
      <c r="F154" s="82"/>
      <c r="G154" s="82"/>
      <c r="H154" s="82"/>
      <c r="I154" s="82"/>
      <c r="J154" s="82"/>
      <c r="K154" s="82"/>
      <c r="L154" s="82"/>
      <c r="M154" s="82"/>
      <c r="N154" s="82"/>
      <c r="O154" s="82"/>
      <c r="P154" s="82"/>
      <c r="Q154" s="82"/>
      <c r="R154" s="82"/>
      <c r="S154" s="82"/>
      <c r="T154" s="82"/>
    </row>
    <row r="155" spans="1:22" x14ac:dyDescent="0.3">
      <c r="A155" s="397"/>
      <c r="B155" s="397"/>
      <c r="C155" s="397"/>
      <c r="D155" s="397"/>
      <c r="E155" s="362"/>
      <c r="F155" s="397"/>
      <c r="G155" s="362"/>
      <c r="H155" s="397"/>
      <c r="I155" s="362"/>
      <c r="J155" s="397"/>
      <c r="K155" s="362"/>
      <c r="L155" s="397"/>
      <c r="M155" s="362"/>
      <c r="N155" s="397"/>
      <c r="O155" s="121"/>
      <c r="P155" s="111"/>
      <c r="Q155" s="82"/>
      <c r="R155" s="82"/>
      <c r="S155" s="82"/>
      <c r="T155" s="82"/>
    </row>
    <row r="156" spans="1:22" x14ac:dyDescent="0.3">
      <c r="A156" s="397"/>
      <c r="B156" s="108" t="s">
        <v>501</v>
      </c>
      <c r="C156" s="113"/>
      <c r="D156" s="142" t="s">
        <v>433</v>
      </c>
      <c r="E156" s="114"/>
      <c r="F156" s="142" t="s">
        <v>538</v>
      </c>
      <c r="G156" s="125"/>
      <c r="H156" s="142" t="s">
        <v>295</v>
      </c>
      <c r="I156" s="362"/>
      <c r="J156" s="397"/>
      <c r="K156" s="362"/>
      <c r="L156" s="504"/>
      <c r="M156" s="362"/>
      <c r="N156" s="397"/>
      <c r="O156" s="121"/>
      <c r="P156" s="111"/>
      <c r="Q156" s="82"/>
      <c r="R156" s="82"/>
      <c r="S156" s="82"/>
      <c r="T156" s="82"/>
    </row>
    <row r="157" spans="1:22" ht="15" thickBot="1" x14ac:dyDescent="0.35">
      <c r="A157" s="397"/>
      <c r="B157" s="173" t="s">
        <v>282</v>
      </c>
      <c r="C157" s="171"/>
      <c r="D157" s="174"/>
      <c r="E157" s="205"/>
      <c r="F157" s="174" t="s">
        <v>289</v>
      </c>
      <c r="G157" s="208"/>
      <c r="H157" s="174" t="s">
        <v>290</v>
      </c>
      <c r="I157" s="362"/>
      <c r="J157" s="397"/>
      <c r="K157" s="362"/>
      <c r="L157" s="504"/>
      <c r="M157" s="362"/>
      <c r="N157" s="397"/>
      <c r="O157" s="121"/>
      <c r="P157" s="111"/>
      <c r="Q157" s="82"/>
      <c r="R157" s="82"/>
      <c r="S157" s="82"/>
      <c r="T157" s="82"/>
    </row>
    <row r="158" spans="1:22" ht="15" thickTop="1" x14ac:dyDescent="0.3">
      <c r="A158" s="397"/>
      <c r="B158" s="135" t="s">
        <v>554</v>
      </c>
      <c r="C158" s="378" t="s">
        <v>625</v>
      </c>
      <c r="D158" s="378" t="s">
        <v>435</v>
      </c>
      <c r="E158" s="418"/>
      <c r="F158" s="378" t="s">
        <v>539</v>
      </c>
      <c r="G158" s="418"/>
      <c r="H158" s="263" t="s">
        <v>480</v>
      </c>
      <c r="I158" s="362"/>
      <c r="J158" s="397"/>
      <c r="K158" s="362"/>
      <c r="L158" s="504"/>
      <c r="M158" s="362"/>
      <c r="N158" s="397"/>
      <c r="O158" s="121"/>
      <c r="P158" s="111"/>
      <c r="Q158" s="82"/>
      <c r="R158" s="82"/>
      <c r="S158" s="82"/>
      <c r="T158" s="82"/>
    </row>
    <row r="159" spans="1:22" x14ac:dyDescent="0.3">
      <c r="A159" s="397"/>
      <c r="B159" s="135" t="s">
        <v>565</v>
      </c>
      <c r="C159" s="378" t="s">
        <v>626</v>
      </c>
      <c r="D159" s="378" t="s">
        <v>435</v>
      </c>
      <c r="E159" s="419"/>
      <c r="F159" s="378" t="s">
        <v>539</v>
      </c>
      <c r="G159" s="419"/>
      <c r="H159" s="274" t="s">
        <v>480</v>
      </c>
      <c r="I159" s="362"/>
      <c r="J159" s="397"/>
      <c r="K159" s="362"/>
      <c r="L159" s="504"/>
      <c r="M159" s="362"/>
      <c r="N159" s="397"/>
      <c r="O159" s="121"/>
      <c r="P159" s="111"/>
      <c r="Q159" s="82"/>
      <c r="R159" s="82"/>
      <c r="S159" s="82"/>
      <c r="T159" s="82"/>
    </row>
    <row r="160" spans="1:22" x14ac:dyDescent="0.3">
      <c r="A160" s="397"/>
      <c r="B160" s="175" t="s">
        <v>566</v>
      </c>
      <c r="C160" s="150" t="s">
        <v>627</v>
      </c>
      <c r="D160" s="150" t="s">
        <v>435</v>
      </c>
      <c r="E160" s="417"/>
      <c r="F160" s="155" t="s">
        <v>539</v>
      </c>
      <c r="G160" s="417"/>
      <c r="H160" s="267" t="s">
        <v>480</v>
      </c>
      <c r="I160" s="362"/>
      <c r="J160" s="397"/>
      <c r="K160" s="362"/>
      <c r="L160" s="504"/>
      <c r="M160" s="362"/>
      <c r="N160" s="397"/>
      <c r="O160" s="121"/>
      <c r="P160" s="111"/>
      <c r="Q160" s="82"/>
      <c r="R160" s="82"/>
      <c r="S160" s="82"/>
      <c r="T160" s="82"/>
    </row>
    <row r="161" spans="1:28" x14ac:dyDescent="0.3">
      <c r="A161" s="397"/>
      <c r="B161" s="85"/>
      <c r="D161" s="85"/>
      <c r="E161" s="85"/>
      <c r="F161" s="85"/>
      <c r="G161" s="85"/>
      <c r="H161" s="85"/>
      <c r="I161" s="85"/>
      <c r="J161" s="397"/>
      <c r="K161" s="362"/>
      <c r="L161" s="504"/>
      <c r="M161" s="362"/>
      <c r="N161" s="397"/>
      <c r="O161" s="121"/>
      <c r="P161" s="111"/>
      <c r="Q161" s="82"/>
      <c r="R161" s="82"/>
      <c r="S161" s="82"/>
      <c r="T161" s="82"/>
    </row>
    <row r="162" spans="1:28" x14ac:dyDescent="0.3">
      <c r="A162" s="82"/>
      <c r="B162" s="85"/>
      <c r="C162" s="83"/>
      <c r="D162" s="397"/>
      <c r="E162" s="82"/>
      <c r="F162" s="82"/>
      <c r="G162" s="82"/>
      <c r="H162" s="82"/>
      <c r="I162" s="82"/>
      <c r="J162" s="82"/>
      <c r="K162" s="82"/>
      <c r="L162" s="82"/>
      <c r="M162" s="82"/>
      <c r="N162" s="82"/>
      <c r="O162" s="82"/>
      <c r="P162" s="82"/>
      <c r="Q162" s="82"/>
      <c r="R162" s="82"/>
      <c r="S162" s="82"/>
      <c r="T162" s="82"/>
    </row>
    <row r="163" spans="1:28" x14ac:dyDescent="0.3">
      <c r="A163" s="82"/>
      <c r="B163" s="108" t="s">
        <v>505</v>
      </c>
      <c r="C163" s="113" t="s">
        <v>291</v>
      </c>
      <c r="D163" s="373"/>
      <c r="E163" s="207"/>
      <c r="F163" s="142" t="s">
        <v>292</v>
      </c>
      <c r="G163" s="125"/>
      <c r="H163" s="142" t="s">
        <v>293</v>
      </c>
      <c r="I163" s="362"/>
      <c r="J163" s="397"/>
      <c r="K163" s="362"/>
      <c r="L163" s="397"/>
      <c r="M163" s="82"/>
      <c r="N163" s="82"/>
      <c r="O163" s="362"/>
      <c r="P163" s="397"/>
      <c r="Q163" s="362"/>
      <c r="R163" s="397"/>
      <c r="S163" s="362"/>
      <c r="T163" s="397"/>
    </row>
    <row r="164" spans="1:28" ht="15" thickBot="1" x14ac:dyDescent="0.35">
      <c r="A164" s="82"/>
      <c r="B164" s="173" t="s">
        <v>285</v>
      </c>
      <c r="C164" s="171" t="s">
        <v>286</v>
      </c>
      <c r="D164" s="376"/>
      <c r="E164" s="208"/>
      <c r="F164" s="174" t="s">
        <v>287</v>
      </c>
      <c r="G164" s="208"/>
      <c r="H164" s="174" t="s">
        <v>288</v>
      </c>
      <c r="I164" s="362"/>
      <c r="J164" s="397"/>
      <c r="K164" s="362"/>
      <c r="L164" s="397"/>
      <c r="M164" s="82"/>
      <c r="N164" s="82"/>
      <c r="O164" s="362"/>
      <c r="P164" s="397"/>
      <c r="Q164" s="362"/>
      <c r="R164" s="397"/>
      <c r="S164" s="362"/>
      <c r="T164" s="397"/>
    </row>
    <row r="165" spans="1:28" ht="15" thickTop="1" x14ac:dyDescent="0.3">
      <c r="A165" s="82"/>
      <c r="B165" s="135" t="s">
        <v>579</v>
      </c>
      <c r="C165" s="378" t="s">
        <v>297</v>
      </c>
      <c r="D165" s="99"/>
      <c r="E165" s="418"/>
      <c r="F165" s="378" t="s">
        <v>413</v>
      </c>
      <c r="G165" s="418"/>
      <c r="H165" s="263" t="s">
        <v>414</v>
      </c>
      <c r="I165" s="362"/>
      <c r="J165" s="397"/>
      <c r="K165" s="362"/>
      <c r="L165" s="397"/>
      <c r="M165" s="82"/>
      <c r="N165" s="82"/>
      <c r="O165" s="362"/>
      <c r="P165" s="397"/>
      <c r="Q165" s="362"/>
      <c r="R165" s="397"/>
      <c r="S165" s="362"/>
      <c r="T165" s="397"/>
    </row>
    <row r="166" spans="1:28" x14ac:dyDescent="0.3">
      <c r="A166" s="82"/>
      <c r="B166" s="175" t="s">
        <v>580</v>
      </c>
      <c r="C166" s="150" t="s">
        <v>337</v>
      </c>
      <c r="D166" s="151"/>
      <c r="E166" s="411" t="s">
        <v>14</v>
      </c>
      <c r="F166" s="412" t="s">
        <v>14</v>
      </c>
      <c r="G166" s="411" t="s">
        <v>14</v>
      </c>
      <c r="H166" s="412" t="s">
        <v>14</v>
      </c>
      <c r="I166" s="362"/>
      <c r="J166" s="397"/>
      <c r="K166" s="362"/>
      <c r="L166" s="397"/>
      <c r="M166" s="82"/>
      <c r="N166" s="82"/>
      <c r="O166" s="362"/>
      <c r="P166" s="397"/>
      <c r="Q166" s="362"/>
      <c r="R166" s="397"/>
      <c r="S166" s="362"/>
      <c r="T166" s="397"/>
    </row>
    <row r="167" spans="1:28" x14ac:dyDescent="0.3">
      <c r="A167" s="82"/>
    </row>
    <row r="168" spans="1:28" x14ac:dyDescent="0.3">
      <c r="A168" s="82"/>
    </row>
    <row r="169" spans="1:28" x14ac:dyDescent="0.3">
      <c r="A169" s="24"/>
      <c r="B169" s="24" t="s">
        <v>487</v>
      </c>
      <c r="C169" s="397"/>
      <c r="D169" s="397"/>
      <c r="E169" s="362"/>
      <c r="F169" s="397"/>
      <c r="G169" s="362"/>
      <c r="H169" s="397"/>
      <c r="I169" s="362"/>
      <c r="J169" s="397"/>
      <c r="K169" s="362"/>
      <c r="L169" s="397"/>
      <c r="M169" s="362"/>
      <c r="N169" s="397"/>
    </row>
    <row r="170" spans="1:28" ht="27.6" x14ac:dyDescent="0.3">
      <c r="A170" s="397"/>
      <c r="B170" s="108" t="s">
        <v>488</v>
      </c>
      <c r="C170" s="112"/>
      <c r="D170" s="389" t="s">
        <v>433</v>
      </c>
      <c r="E170" s="231"/>
      <c r="F170" s="109" t="s">
        <v>836</v>
      </c>
      <c r="G170" s="210"/>
      <c r="H170" s="116" t="s">
        <v>489</v>
      </c>
      <c r="I170" s="231"/>
      <c r="J170" s="109" t="s">
        <v>490</v>
      </c>
      <c r="K170" s="455"/>
      <c r="L170" s="456" t="s">
        <v>491</v>
      </c>
      <c r="M170" s="231"/>
      <c r="N170" s="109" t="s">
        <v>739</v>
      </c>
    </row>
    <row r="171" spans="1:28" ht="15" thickBot="1" x14ac:dyDescent="0.35">
      <c r="A171" s="397"/>
      <c r="B171" s="212"/>
      <c r="C171" s="118"/>
      <c r="D171" s="486"/>
      <c r="E171" s="375"/>
      <c r="F171" s="355" t="s">
        <v>1057</v>
      </c>
      <c r="G171" s="376"/>
      <c r="H171" s="354" t="s">
        <v>1058</v>
      </c>
      <c r="I171" s="230"/>
      <c r="J171" s="355" t="s">
        <v>1059</v>
      </c>
      <c r="K171" s="211"/>
      <c r="L171" s="354" t="s">
        <v>611</v>
      </c>
      <c r="M171" s="230"/>
      <c r="N171" s="355" t="s">
        <v>1060</v>
      </c>
    </row>
    <row r="172" spans="1:28" ht="15" thickTop="1" x14ac:dyDescent="0.3">
      <c r="A172" s="397"/>
      <c r="B172" s="356">
        <v>2</v>
      </c>
      <c r="C172" s="392"/>
      <c r="D172" s="181" t="s">
        <v>435</v>
      </c>
      <c r="E172" s="204" t="s">
        <v>919</v>
      </c>
      <c r="F172" s="195">
        <v>323366</v>
      </c>
      <c r="G172" s="359"/>
      <c r="H172" s="150">
        <v>0.8</v>
      </c>
      <c r="I172" s="165"/>
      <c r="J172" s="155" t="s">
        <v>475</v>
      </c>
      <c r="K172" s="164"/>
      <c r="L172" s="150" t="s">
        <v>493</v>
      </c>
      <c r="M172" s="165"/>
      <c r="N172" s="155">
        <v>0.25</v>
      </c>
    </row>
    <row r="173" spans="1:28" x14ac:dyDescent="0.3">
      <c r="A173" s="82"/>
    </row>
    <row r="174" spans="1:28" x14ac:dyDescent="0.3">
      <c r="A174" s="397"/>
      <c r="B174" s="397"/>
      <c r="C174" s="397"/>
      <c r="D174" s="362"/>
      <c r="E174" s="362"/>
      <c r="F174" s="397"/>
      <c r="G174" s="362"/>
      <c r="H174" s="397"/>
      <c r="I174" s="362"/>
      <c r="J174" s="397"/>
      <c r="K174" s="362"/>
      <c r="L174" s="397"/>
      <c r="M174" s="362"/>
      <c r="N174" s="397"/>
      <c r="O174" s="362"/>
      <c r="P174" s="397"/>
      <c r="Q174" s="362"/>
      <c r="R174" s="397"/>
      <c r="S174" s="362"/>
      <c r="T174" s="397"/>
    </row>
    <row r="175" spans="1:28" s="36" customFormat="1" ht="27.6" x14ac:dyDescent="0.3">
      <c r="A175" s="82"/>
      <c r="B175" s="125" t="s">
        <v>750</v>
      </c>
      <c r="C175" s="113" t="s">
        <v>751</v>
      </c>
      <c r="D175" s="113" t="s">
        <v>433</v>
      </c>
      <c r="E175" s="113"/>
      <c r="F175" s="113" t="s">
        <v>938</v>
      </c>
      <c r="G175" s="125"/>
      <c r="H175" s="142" t="s">
        <v>760</v>
      </c>
      <c r="I175" s="113"/>
      <c r="J175" s="113" t="s">
        <v>761</v>
      </c>
      <c r="K175" s="125"/>
      <c r="L175" s="142" t="s">
        <v>1109</v>
      </c>
      <c r="M175" s="207"/>
      <c r="N175" s="113" t="s">
        <v>764</v>
      </c>
      <c r="O175" s="207"/>
      <c r="P175" s="142" t="s">
        <v>772</v>
      </c>
      <c r="Q175" s="113"/>
      <c r="R175" s="113" t="s">
        <v>773</v>
      </c>
      <c r="S175" s="125"/>
      <c r="T175" s="142" t="s">
        <v>492</v>
      </c>
      <c r="U175" s="113"/>
      <c r="V175" s="142" t="s">
        <v>1051</v>
      </c>
      <c r="W175" s="87"/>
      <c r="X175" s="86"/>
      <c r="Y175" s="87"/>
      <c r="Z175" s="86"/>
      <c r="AA175" s="87"/>
      <c r="AB175" s="86"/>
    </row>
    <row r="176" spans="1:28" s="448" customFormat="1" thickBot="1" x14ac:dyDescent="0.35">
      <c r="A176" s="82"/>
      <c r="B176" s="178"/>
      <c r="C176" s="171"/>
      <c r="D176" s="172"/>
      <c r="E176" s="172"/>
      <c r="F176" s="172"/>
      <c r="G176" s="173"/>
      <c r="H176" s="355" t="s">
        <v>1061</v>
      </c>
      <c r="I176" s="171"/>
      <c r="J176" s="355" t="s">
        <v>1066</v>
      </c>
      <c r="K176" s="173"/>
      <c r="L176" s="355" t="s">
        <v>1110</v>
      </c>
      <c r="M176" s="173"/>
      <c r="N176" s="355" t="s">
        <v>1062</v>
      </c>
      <c r="O176" s="173"/>
      <c r="P176" s="355" t="s">
        <v>1063</v>
      </c>
      <c r="Q176" s="171"/>
      <c r="R176" s="355" t="s">
        <v>1064</v>
      </c>
      <c r="S176" s="173"/>
      <c r="T176" s="355" t="s">
        <v>1065</v>
      </c>
      <c r="U176" s="171"/>
      <c r="V176" s="174" t="s">
        <v>774</v>
      </c>
      <c r="W176" s="87"/>
      <c r="X176" s="86"/>
      <c r="Y176" s="87"/>
      <c r="Z176" s="86"/>
      <c r="AA176" s="87"/>
      <c r="AB176" s="86"/>
    </row>
    <row r="177" spans="1:28" s="364" customFormat="1" ht="12.75" customHeight="1" thickTop="1" x14ac:dyDescent="0.3">
      <c r="A177" s="378"/>
      <c r="B177" s="487" t="s">
        <v>939</v>
      </c>
      <c r="C177" s="493" t="s">
        <v>940</v>
      </c>
      <c r="D177" s="400" t="s">
        <v>435</v>
      </c>
      <c r="E177" s="400"/>
      <c r="F177" s="400">
        <v>2</v>
      </c>
      <c r="G177" s="508"/>
      <c r="H177" s="493" t="s">
        <v>494</v>
      </c>
      <c r="I177" s="508"/>
      <c r="J177" s="400" t="s">
        <v>762</v>
      </c>
      <c r="K177" s="658" t="s">
        <v>919</v>
      </c>
      <c r="L177" s="723">
        <f>ROUND(F172/500.19/40,2)</f>
        <v>16.16</v>
      </c>
      <c r="M177" s="508"/>
      <c r="N177" s="709" t="str">
        <f>ROUND(19*L177/1000,2)&amp;" (19 W/gpm)"</f>
        <v>0.31 (19 W/gpm)</v>
      </c>
      <c r="O177" s="508"/>
      <c r="P177" s="509">
        <v>0.5</v>
      </c>
      <c r="Q177" s="510" t="s">
        <v>919</v>
      </c>
      <c r="R177" s="727">
        <f>ROUND(19/745.6*3960*T177*0.7,1)</f>
        <v>60.4</v>
      </c>
      <c r="S177" s="508"/>
      <c r="T177" s="509">
        <v>0.85499999999999998</v>
      </c>
      <c r="U177" s="494" t="s">
        <v>14</v>
      </c>
      <c r="V177" s="478" t="s">
        <v>14</v>
      </c>
      <c r="W177" s="87"/>
      <c r="X177" s="86"/>
      <c r="Y177" s="87"/>
      <c r="Z177" s="86"/>
      <c r="AA177" s="87"/>
      <c r="AB177" s="86"/>
    </row>
    <row r="178" spans="1:28" x14ac:dyDescent="0.3">
      <c r="A178" s="82"/>
    </row>
    <row r="179" spans="1:28" x14ac:dyDescent="0.3">
      <c r="A179" s="82"/>
    </row>
    <row r="180" spans="1:28" x14ac:dyDescent="0.3">
      <c r="A180" s="82"/>
    </row>
    <row r="181" spans="1:28" s="369" customFormat="1" ht="13.8" x14ac:dyDescent="0.3">
      <c r="A181" s="82"/>
      <c r="C181" s="85"/>
      <c r="E181" s="76"/>
      <c r="F181" s="371"/>
      <c r="G181" s="76"/>
      <c r="H181" s="29"/>
      <c r="J181" s="85"/>
      <c r="L181" s="85"/>
      <c r="N181" s="85"/>
      <c r="P181" s="85"/>
      <c r="R181" s="85"/>
      <c r="T181" s="85"/>
    </row>
    <row r="182" spans="1:28" s="369" customFormat="1" ht="13.8" x14ac:dyDescent="0.3">
      <c r="A182" s="82"/>
      <c r="C182" s="85"/>
      <c r="E182" s="76"/>
      <c r="F182" s="371"/>
      <c r="G182" s="76"/>
      <c r="H182" s="29"/>
      <c r="J182" s="85"/>
      <c r="L182" s="85"/>
      <c r="N182" s="85"/>
      <c r="P182" s="85"/>
      <c r="R182" s="85"/>
      <c r="T182" s="85"/>
    </row>
    <row r="183" spans="1:28" s="369" customFormat="1" ht="13.8" x14ac:dyDescent="0.3">
      <c r="A183" s="82"/>
      <c r="C183" s="85"/>
      <c r="E183" s="76"/>
      <c r="F183" s="371"/>
      <c r="G183" s="76"/>
      <c r="H183" s="29"/>
      <c r="J183" s="85"/>
      <c r="L183" s="85"/>
      <c r="N183" s="85"/>
      <c r="P183" s="85"/>
      <c r="R183" s="85"/>
      <c r="T183" s="85"/>
    </row>
    <row r="184" spans="1:28" s="369" customFormat="1" ht="13.8" x14ac:dyDescent="0.3">
      <c r="A184" s="82"/>
      <c r="C184" s="85"/>
      <c r="E184" s="76"/>
      <c r="F184" s="371"/>
      <c r="G184" s="76"/>
      <c r="H184" s="29"/>
      <c r="J184" s="85"/>
      <c r="L184" s="85"/>
      <c r="N184" s="85"/>
      <c r="P184" s="85"/>
      <c r="R184" s="85"/>
      <c r="T184" s="85"/>
    </row>
    <row r="185" spans="1:28" s="369" customFormat="1" ht="13.8" x14ac:dyDescent="0.3">
      <c r="A185" s="82"/>
      <c r="C185" s="85"/>
      <c r="E185" s="76"/>
      <c r="F185" s="371"/>
      <c r="G185" s="76"/>
      <c r="H185" s="29"/>
      <c r="J185" s="85"/>
      <c r="L185" s="85"/>
      <c r="N185" s="85"/>
      <c r="P185" s="85"/>
      <c r="R185" s="85"/>
      <c r="T185" s="85"/>
    </row>
    <row r="186" spans="1:28" s="369" customFormat="1" ht="13.8" x14ac:dyDescent="0.3">
      <c r="A186" s="82"/>
      <c r="C186" s="85"/>
      <c r="E186" s="76"/>
      <c r="F186" s="371"/>
      <c r="G186" s="76"/>
      <c r="H186" s="29"/>
      <c r="J186" s="85"/>
      <c r="L186" s="85"/>
      <c r="N186" s="85"/>
      <c r="P186" s="85"/>
      <c r="R186" s="85"/>
      <c r="T186" s="85"/>
    </row>
    <row r="187" spans="1:28" s="369" customFormat="1" ht="13.8" x14ac:dyDescent="0.3">
      <c r="A187" s="82"/>
      <c r="C187" s="85"/>
      <c r="E187" s="76"/>
      <c r="F187" s="371"/>
      <c r="G187" s="76"/>
      <c r="H187" s="29"/>
      <c r="J187" s="85"/>
      <c r="L187" s="85"/>
      <c r="N187" s="85"/>
      <c r="P187" s="85"/>
      <c r="R187" s="85"/>
      <c r="T187" s="85"/>
    </row>
    <row r="188" spans="1:28" s="369" customFormat="1" ht="13.8" x14ac:dyDescent="0.3">
      <c r="A188" s="82"/>
      <c r="C188" s="85"/>
      <c r="E188" s="76"/>
      <c r="F188" s="371"/>
      <c r="G188" s="76"/>
      <c r="H188" s="29"/>
      <c r="J188" s="85"/>
      <c r="L188" s="85"/>
      <c r="N188" s="85"/>
      <c r="P188" s="85"/>
      <c r="R188" s="85"/>
      <c r="T188" s="85"/>
    </row>
    <row r="189" spans="1:28" s="369" customFormat="1" ht="13.8" x14ac:dyDescent="0.3">
      <c r="A189" s="82"/>
      <c r="C189" s="85"/>
      <c r="E189" s="76"/>
      <c r="F189" s="371"/>
      <c r="G189" s="76"/>
      <c r="H189" s="29"/>
      <c r="J189" s="85"/>
      <c r="L189" s="85"/>
      <c r="N189" s="85"/>
      <c r="P189" s="85"/>
      <c r="R189" s="85"/>
      <c r="T189" s="85"/>
    </row>
    <row r="190" spans="1:28" s="369" customFormat="1" ht="13.8" x14ac:dyDescent="0.3">
      <c r="A190" s="82"/>
      <c r="C190" s="85"/>
      <c r="E190" s="76"/>
      <c r="F190" s="371"/>
      <c r="G190" s="76"/>
      <c r="H190" s="29"/>
      <c r="J190" s="85"/>
      <c r="L190" s="85"/>
      <c r="N190" s="85"/>
      <c r="P190" s="85"/>
      <c r="R190" s="85"/>
      <c r="T190" s="85"/>
    </row>
    <row r="191" spans="1:28" s="369" customFormat="1" ht="13.8" x14ac:dyDescent="0.3">
      <c r="A191" s="82"/>
      <c r="C191" s="85"/>
      <c r="E191" s="76"/>
      <c r="F191" s="371"/>
      <c r="G191" s="76"/>
      <c r="H191" s="29"/>
      <c r="J191" s="85"/>
      <c r="L191" s="85"/>
      <c r="N191" s="85"/>
      <c r="P191" s="85"/>
      <c r="R191" s="85"/>
      <c r="T191" s="85"/>
    </row>
    <row r="192" spans="1:28" s="369" customFormat="1" ht="13.8" x14ac:dyDescent="0.3">
      <c r="A192" s="82"/>
      <c r="C192" s="85"/>
      <c r="E192" s="76"/>
      <c r="F192" s="371"/>
      <c r="G192" s="76"/>
      <c r="H192" s="29"/>
      <c r="J192" s="85"/>
      <c r="L192" s="85"/>
      <c r="N192" s="85"/>
      <c r="P192" s="85"/>
      <c r="R192" s="85"/>
      <c r="T192" s="85"/>
    </row>
    <row r="193" spans="1:20" s="369" customFormat="1" ht="13.8" x14ac:dyDescent="0.3">
      <c r="A193" s="82"/>
      <c r="C193" s="85"/>
      <c r="E193" s="76"/>
      <c r="F193" s="371"/>
      <c r="G193" s="76"/>
      <c r="H193" s="29"/>
      <c r="J193" s="85"/>
      <c r="L193" s="85"/>
      <c r="N193" s="85"/>
      <c r="P193" s="85"/>
      <c r="R193" s="85"/>
      <c r="T193" s="85"/>
    </row>
    <row r="194" spans="1:20" s="369" customFormat="1" ht="13.8" x14ac:dyDescent="0.3">
      <c r="A194" s="82"/>
      <c r="C194" s="85"/>
      <c r="E194" s="76"/>
      <c r="F194" s="371"/>
      <c r="G194" s="76"/>
      <c r="H194" s="29"/>
      <c r="J194" s="85"/>
      <c r="L194" s="85"/>
      <c r="N194" s="85"/>
      <c r="P194" s="85"/>
      <c r="R194" s="85"/>
      <c r="T194" s="85"/>
    </row>
    <row r="195" spans="1:20" s="369" customFormat="1" ht="13.8" x14ac:dyDescent="0.3">
      <c r="A195" s="82"/>
      <c r="C195" s="85"/>
      <c r="E195" s="76"/>
      <c r="F195" s="371"/>
      <c r="G195" s="76"/>
      <c r="H195" s="29"/>
      <c r="J195" s="85"/>
      <c r="L195" s="85"/>
      <c r="N195" s="85"/>
      <c r="P195" s="85"/>
      <c r="R195" s="85"/>
      <c r="T195" s="85"/>
    </row>
  </sheetData>
  <pageMargins left="0.7" right="0.7" top="0.75" bottom="0.75" header="0.3" footer="0.3"/>
  <pageSetup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sheetPr>
  <dimension ref="A1:AB156"/>
  <sheetViews>
    <sheetView zoomScale="85" zoomScaleNormal="85" workbookViewId="0"/>
  </sheetViews>
  <sheetFormatPr defaultColWidth="9.109375" defaultRowHeight="14.4" x14ac:dyDescent="0.3"/>
  <cols>
    <col min="1" max="1" width="3.6640625" style="369" customWidth="1"/>
    <col min="2" max="2" width="27" style="369" bestFit="1" customWidth="1"/>
    <col min="3" max="3" width="41.109375" style="85" bestFit="1" customWidth="1"/>
    <col min="4" max="4" width="11.6640625" style="369" bestFit="1" customWidth="1"/>
    <col min="5" max="5" width="2.6640625" style="76" customWidth="1"/>
    <col min="6" max="6" width="27.5546875" style="371" customWidth="1"/>
    <col min="7" max="7" width="2.6640625" style="76" customWidth="1"/>
    <col min="8" max="8" width="29.6640625" style="29" customWidth="1"/>
    <col min="9" max="9" width="2.6640625" style="369" customWidth="1"/>
    <col min="10" max="10" width="24.109375" style="85" bestFit="1" customWidth="1"/>
    <col min="11" max="11" width="2.6640625" style="369" customWidth="1"/>
    <col min="12" max="12" width="25.5546875" style="85" customWidth="1"/>
    <col min="13" max="13" width="2.6640625" style="369" customWidth="1"/>
    <col min="14" max="14" width="26.33203125" style="85" customWidth="1"/>
    <col min="15" max="15" width="2.6640625" style="369" customWidth="1"/>
    <col min="16" max="16" width="27.6640625" style="85" customWidth="1"/>
    <col min="17" max="17" width="2.6640625" style="369" customWidth="1"/>
    <col min="18" max="18" width="28.109375" style="85" customWidth="1"/>
    <col min="19" max="19" width="2.6640625" style="369" customWidth="1"/>
    <col min="20" max="20" width="26.88671875" style="85" bestFit="1" customWidth="1"/>
    <col min="21" max="21" width="2.6640625" style="369" customWidth="1"/>
    <col min="22" max="22" width="25.109375" style="397" customWidth="1"/>
    <col min="23" max="16384" width="9.109375" style="397"/>
  </cols>
  <sheetData>
    <row r="1" spans="1:21" ht="12.75" customHeight="1" x14ac:dyDescent="0.3"/>
    <row r="2" spans="1:21" x14ac:dyDescent="0.3">
      <c r="B2" s="567" t="s">
        <v>5</v>
      </c>
      <c r="C2" s="568"/>
      <c r="D2" s="567"/>
      <c r="E2" s="574"/>
      <c r="F2" s="568" t="s">
        <v>6</v>
      </c>
      <c r="G2" s="369"/>
      <c r="K2" s="567"/>
      <c r="L2" s="568" t="s">
        <v>1101</v>
      </c>
    </row>
    <row r="3" spans="1:21" ht="12.75" customHeight="1" x14ac:dyDescent="0.3">
      <c r="B3" s="369" t="s">
        <v>0</v>
      </c>
      <c r="C3" s="65" t="s">
        <v>1343</v>
      </c>
      <c r="E3" s="369"/>
      <c r="F3" s="85" t="s">
        <v>8</v>
      </c>
      <c r="G3" s="369"/>
      <c r="H3" s="65"/>
      <c r="K3" s="136"/>
      <c r="L3" s="369" t="s">
        <v>1106</v>
      </c>
    </row>
    <row r="4" spans="1:21" ht="12.75" customHeight="1" x14ac:dyDescent="0.3">
      <c r="B4" s="369" t="s">
        <v>1</v>
      </c>
      <c r="C4" s="85" t="str">
        <f>C3&amp;".cibd16"</f>
        <v>030006S-OffMed-Run30.cibd16</v>
      </c>
      <c r="F4" s="85" t="s">
        <v>110</v>
      </c>
      <c r="H4" s="396" t="str">
        <f>'Documentation Main Sheet'!I3</f>
        <v>Release package</v>
      </c>
      <c r="I4" s="62"/>
      <c r="K4" s="569"/>
      <c r="L4" s="369" t="s">
        <v>1102</v>
      </c>
      <c r="T4" s="397"/>
    </row>
    <row r="5" spans="1:21" ht="12.75" customHeight="1" x14ac:dyDescent="0.3">
      <c r="B5" s="369" t="s">
        <v>54</v>
      </c>
      <c r="C5" s="85" t="s">
        <v>56</v>
      </c>
      <c r="F5" s="85" t="s">
        <v>7</v>
      </c>
      <c r="H5" s="396" t="str">
        <f>'Documentation Main Sheet'!I4</f>
        <v>CBECC-Com 209.1.0 release</v>
      </c>
      <c r="I5" s="62"/>
      <c r="K5" s="571">
        <v>1</v>
      </c>
      <c r="L5" s="378" t="s">
        <v>1103</v>
      </c>
    </row>
    <row r="6" spans="1:21" ht="12.75" customHeight="1" x14ac:dyDescent="0.3">
      <c r="B6" s="369" t="s">
        <v>390</v>
      </c>
      <c r="C6" s="85" t="s">
        <v>395</v>
      </c>
      <c r="F6" s="85" t="s">
        <v>2</v>
      </c>
      <c r="H6" s="394"/>
      <c r="J6" s="9"/>
      <c r="K6" s="582">
        <v>1</v>
      </c>
      <c r="L6" s="381" t="s">
        <v>1104</v>
      </c>
    </row>
    <row r="7" spans="1:21" ht="12.75" customHeight="1" x14ac:dyDescent="0.3">
      <c r="B7" s="369" t="s">
        <v>432</v>
      </c>
      <c r="C7" s="85" t="s">
        <v>1342</v>
      </c>
      <c r="F7" s="85" t="s">
        <v>3</v>
      </c>
      <c r="H7" s="396" t="str">
        <f>'Documentation Main Sheet'!I6</f>
        <v>Jireh Peng</v>
      </c>
      <c r="K7" s="583">
        <v>1</v>
      </c>
      <c r="L7" s="378" t="s">
        <v>1105</v>
      </c>
    </row>
    <row r="8" spans="1:21" ht="12.75" customHeight="1" x14ac:dyDescent="0.3">
      <c r="B8" s="369" t="s">
        <v>952</v>
      </c>
      <c r="C8" s="85" t="s">
        <v>431</v>
      </c>
      <c r="F8" s="369"/>
      <c r="G8" s="369"/>
      <c r="H8" s="369"/>
      <c r="K8" s="796">
        <v>1</v>
      </c>
      <c r="L8" s="369" t="s">
        <v>1396</v>
      </c>
    </row>
    <row r="9" spans="1:21" x14ac:dyDescent="0.3">
      <c r="F9" s="369"/>
      <c r="G9" s="369"/>
      <c r="H9" s="369"/>
    </row>
    <row r="10" spans="1:21" x14ac:dyDescent="0.3">
      <c r="A10" s="286"/>
      <c r="B10" s="287" t="s">
        <v>37</v>
      </c>
      <c r="C10" s="288"/>
      <c r="D10" s="286"/>
      <c r="E10" s="286"/>
      <c r="F10" s="289"/>
      <c r="G10" s="286"/>
      <c r="H10" s="288"/>
      <c r="I10" s="286"/>
      <c r="J10" s="288"/>
      <c r="K10" s="286"/>
      <c r="L10" s="288"/>
      <c r="M10" s="286"/>
      <c r="N10" s="288"/>
      <c r="O10" s="286"/>
      <c r="P10" s="288"/>
      <c r="Q10" s="286"/>
      <c r="R10" s="288"/>
      <c r="S10" s="286"/>
      <c r="T10" s="288"/>
      <c r="U10" s="286"/>
    </row>
    <row r="11" spans="1:21" s="82" customFormat="1" ht="13.8" x14ac:dyDescent="0.3">
      <c r="A11" s="26"/>
      <c r="B11" s="28" t="s">
        <v>114</v>
      </c>
      <c r="D11" s="86"/>
      <c r="E11" s="84"/>
      <c r="G11" s="86"/>
      <c r="H11" s="84"/>
      <c r="J11" s="86"/>
      <c r="K11" s="84"/>
      <c r="M11" s="86"/>
      <c r="N11" s="84"/>
      <c r="P11" s="86"/>
      <c r="Q11" s="84"/>
      <c r="S11" s="86"/>
      <c r="T11" s="84"/>
      <c r="U11" s="86"/>
    </row>
    <row r="12" spans="1:21" s="82" customFormat="1" ht="13.8" x14ac:dyDescent="0.3">
      <c r="B12" s="77" t="s">
        <v>212</v>
      </c>
      <c r="D12" s="86"/>
      <c r="E12" s="84"/>
      <c r="G12" s="86"/>
      <c r="H12" s="84"/>
      <c r="J12" s="86"/>
      <c r="K12" s="84"/>
      <c r="M12" s="86"/>
      <c r="N12" s="84"/>
      <c r="P12" s="86"/>
      <c r="Q12" s="84"/>
      <c r="S12" s="86"/>
      <c r="T12" s="84"/>
      <c r="U12" s="86"/>
    </row>
    <row r="13" spans="1:21" s="77" customFormat="1" ht="38.25" customHeight="1" x14ac:dyDescent="0.3">
      <c r="B13" s="108" t="s">
        <v>138</v>
      </c>
      <c r="C13" s="116" t="s">
        <v>190</v>
      </c>
      <c r="D13" s="182" t="s">
        <v>433</v>
      </c>
      <c r="E13" s="280"/>
      <c r="F13" s="110" t="s">
        <v>599</v>
      </c>
      <c r="G13" s="223"/>
      <c r="H13" s="168" t="s">
        <v>252</v>
      </c>
      <c r="I13" s="280"/>
      <c r="J13" s="110" t="s">
        <v>255</v>
      </c>
      <c r="K13" s="223"/>
      <c r="L13" s="168" t="s">
        <v>165</v>
      </c>
      <c r="M13" s="280"/>
      <c r="N13" s="110" t="s">
        <v>600</v>
      </c>
      <c r="O13" s="182"/>
      <c r="P13" s="110" t="s">
        <v>123</v>
      </c>
      <c r="Q13" s="81"/>
      <c r="R13" s="81"/>
    </row>
    <row r="14" spans="1:21" s="369" customFormat="1" thickBot="1" x14ac:dyDescent="0.35">
      <c r="B14" s="100" t="s">
        <v>213</v>
      </c>
      <c r="C14" s="117"/>
      <c r="D14" s="215"/>
      <c r="E14" s="100"/>
      <c r="F14" s="101" t="s">
        <v>248</v>
      </c>
      <c r="G14" s="215"/>
      <c r="H14" s="215" t="s">
        <v>251</v>
      </c>
      <c r="I14" s="100"/>
      <c r="J14" s="101" t="s">
        <v>253</v>
      </c>
      <c r="K14" s="215"/>
      <c r="L14" s="215" t="s">
        <v>249</v>
      </c>
      <c r="M14" s="100"/>
      <c r="N14" s="101" t="s">
        <v>250</v>
      </c>
      <c r="O14" s="215"/>
      <c r="P14" s="101" t="s">
        <v>150</v>
      </c>
      <c r="Q14" s="87"/>
      <c r="R14" s="63"/>
    </row>
    <row r="15" spans="1:21" s="378" customFormat="1" ht="28.2" thickTop="1" x14ac:dyDescent="0.3">
      <c r="B15" s="137" t="s">
        <v>584</v>
      </c>
      <c r="C15" s="378" t="s">
        <v>117</v>
      </c>
      <c r="D15" s="370" t="s">
        <v>435</v>
      </c>
      <c r="E15" s="136"/>
      <c r="F15" s="197">
        <v>8448</v>
      </c>
      <c r="G15" s="176"/>
      <c r="H15" s="367">
        <v>5068.8</v>
      </c>
      <c r="I15" s="136"/>
      <c r="J15" s="305" t="s">
        <v>628</v>
      </c>
      <c r="K15" s="89"/>
      <c r="L15" s="371">
        <f>(F15-H15)/F15</f>
        <v>0.39999999999999997</v>
      </c>
      <c r="M15" s="728"/>
      <c r="N15" s="864">
        <v>0.48</v>
      </c>
      <c r="O15" s="89"/>
      <c r="P15" s="263" t="s">
        <v>130</v>
      </c>
      <c r="Q15" s="368"/>
      <c r="R15" s="22"/>
    </row>
    <row r="16" spans="1:21" s="378" customFormat="1" ht="13.8" x14ac:dyDescent="0.3">
      <c r="B16" s="137" t="s">
        <v>585</v>
      </c>
      <c r="C16" s="378" t="s">
        <v>117</v>
      </c>
      <c r="D16" s="370" t="s">
        <v>435</v>
      </c>
      <c r="E16" s="409" t="s">
        <v>14</v>
      </c>
      <c r="F16" s="410" t="s">
        <v>14</v>
      </c>
      <c r="G16" s="428" t="s">
        <v>14</v>
      </c>
      <c r="H16" s="410" t="s">
        <v>14</v>
      </c>
      <c r="I16" s="409" t="s">
        <v>14</v>
      </c>
      <c r="J16" s="410" t="s">
        <v>14</v>
      </c>
      <c r="K16" s="409" t="s">
        <v>14</v>
      </c>
      <c r="L16" s="428" t="s">
        <v>14</v>
      </c>
      <c r="M16" s="729"/>
      <c r="N16" s="864">
        <v>0.8</v>
      </c>
      <c r="O16" s="89"/>
      <c r="P16" s="274" t="s">
        <v>130</v>
      </c>
      <c r="Q16" s="368"/>
      <c r="R16" s="370"/>
    </row>
    <row r="17" spans="1:23" s="369" customFormat="1" ht="13.8" x14ac:dyDescent="0.3">
      <c r="B17" s="175" t="s">
        <v>586</v>
      </c>
      <c r="C17" s="269" t="s">
        <v>117</v>
      </c>
      <c r="D17" s="229" t="s">
        <v>792</v>
      </c>
      <c r="E17" s="411" t="s">
        <v>14</v>
      </c>
      <c r="F17" s="412" t="s">
        <v>14</v>
      </c>
      <c r="G17" s="432" t="s">
        <v>14</v>
      </c>
      <c r="H17" s="412" t="s">
        <v>14</v>
      </c>
      <c r="I17" s="411" t="s">
        <v>14</v>
      </c>
      <c r="J17" s="412" t="s">
        <v>14</v>
      </c>
      <c r="K17" s="411" t="s">
        <v>14</v>
      </c>
      <c r="L17" s="432" t="s">
        <v>14</v>
      </c>
      <c r="M17" s="729"/>
      <c r="N17" s="865">
        <v>1.2</v>
      </c>
      <c r="O17" s="89"/>
      <c r="P17" s="199" t="s">
        <v>130</v>
      </c>
      <c r="Q17" s="370"/>
    </row>
    <row r="18" spans="1:23" x14ac:dyDescent="0.3">
      <c r="I18" s="82"/>
      <c r="J18" s="86"/>
    </row>
    <row r="19" spans="1:23" s="378" customFormat="1" ht="13.8" x14ac:dyDescent="0.3">
      <c r="A19" s="369"/>
      <c r="B19" s="384"/>
      <c r="C19" s="384"/>
      <c r="D19" s="370"/>
      <c r="E19" s="370"/>
      <c r="F19" s="370"/>
      <c r="G19" s="370"/>
      <c r="H19" s="370"/>
      <c r="I19" s="370"/>
      <c r="J19" s="370"/>
      <c r="K19" s="370"/>
      <c r="L19" s="370"/>
      <c r="M19" s="370"/>
      <c r="N19" s="370"/>
      <c r="O19" s="370"/>
      <c r="P19" s="370"/>
      <c r="Q19" s="370"/>
      <c r="R19" s="370"/>
      <c r="S19" s="370"/>
      <c r="T19" s="370"/>
      <c r="U19" s="370"/>
    </row>
    <row r="20" spans="1:23" x14ac:dyDescent="0.3">
      <c r="A20" s="26"/>
      <c r="B20" s="28" t="s">
        <v>517</v>
      </c>
      <c r="C20" s="83"/>
      <c r="D20" s="397"/>
      <c r="E20" s="369"/>
      <c r="F20" s="369"/>
      <c r="G20" s="369"/>
      <c r="H20" s="369"/>
      <c r="J20" s="369"/>
      <c r="L20" s="66"/>
      <c r="N20" s="66"/>
      <c r="P20" s="66"/>
      <c r="R20" s="66"/>
      <c r="T20" s="66"/>
    </row>
    <row r="21" spans="1:23" ht="41.4" x14ac:dyDescent="0.3">
      <c r="A21" s="82"/>
      <c r="B21" s="108" t="s">
        <v>500</v>
      </c>
      <c r="C21" s="116" t="s">
        <v>501</v>
      </c>
      <c r="D21" s="112" t="s">
        <v>433</v>
      </c>
      <c r="E21" s="177"/>
      <c r="F21" s="113" t="s">
        <v>437</v>
      </c>
      <c r="G21" s="177"/>
      <c r="H21" s="116" t="s">
        <v>137</v>
      </c>
      <c r="I21" s="177"/>
      <c r="J21" s="109" t="s">
        <v>186</v>
      </c>
      <c r="K21" s="125"/>
      <c r="L21" s="142" t="s">
        <v>510</v>
      </c>
      <c r="M21" s="113"/>
      <c r="N21" s="113" t="s">
        <v>509</v>
      </c>
      <c r="O21" s="207"/>
      <c r="P21" s="142" t="s">
        <v>508</v>
      </c>
      <c r="Q21" s="125"/>
      <c r="R21" s="142" t="s">
        <v>486</v>
      </c>
      <c r="S21" s="125"/>
      <c r="T21" s="142" t="s">
        <v>534</v>
      </c>
    </row>
    <row r="22" spans="1:23" ht="15" thickBot="1" x14ac:dyDescent="0.35">
      <c r="A22" s="82"/>
      <c r="B22" s="173" t="s">
        <v>259</v>
      </c>
      <c r="C22" s="171" t="s">
        <v>258</v>
      </c>
      <c r="D22" s="376"/>
      <c r="E22" s="178"/>
      <c r="F22" s="376"/>
      <c r="G22" s="375"/>
      <c r="H22" s="171" t="s">
        <v>260</v>
      </c>
      <c r="I22" s="178"/>
      <c r="J22" s="174" t="s">
        <v>261</v>
      </c>
      <c r="K22" s="208"/>
      <c r="L22" s="174" t="s">
        <v>646</v>
      </c>
      <c r="M22" s="205"/>
      <c r="N22" s="171" t="s">
        <v>647</v>
      </c>
      <c r="O22" s="208"/>
      <c r="P22" s="174" t="s">
        <v>1387</v>
      </c>
      <c r="Q22" s="230"/>
      <c r="R22" s="377"/>
      <c r="S22" s="230"/>
      <c r="T22" s="377"/>
    </row>
    <row r="23" spans="1:23" s="364" customFormat="1" thickTop="1" x14ac:dyDescent="0.3">
      <c r="A23" s="378"/>
      <c r="B23" s="135" t="s">
        <v>568</v>
      </c>
      <c r="C23" s="378" t="s">
        <v>440</v>
      </c>
      <c r="D23" s="378" t="s">
        <v>435</v>
      </c>
      <c r="E23" s="131"/>
      <c r="F23" s="371" t="s">
        <v>567</v>
      </c>
      <c r="G23" s="349"/>
      <c r="H23" s="378" t="s">
        <v>449</v>
      </c>
      <c r="I23" s="349"/>
      <c r="J23" s="378" t="s">
        <v>187</v>
      </c>
      <c r="K23" s="349"/>
      <c r="L23" s="378">
        <v>55</v>
      </c>
      <c r="M23" s="349"/>
      <c r="N23" s="378">
        <v>60</v>
      </c>
      <c r="O23" s="349"/>
      <c r="P23" s="263" t="s">
        <v>930</v>
      </c>
      <c r="Q23" s="349"/>
      <c r="R23" s="206">
        <v>60</v>
      </c>
      <c r="S23" s="349"/>
      <c r="T23" s="206">
        <v>55</v>
      </c>
      <c r="U23" s="369"/>
    </row>
    <row r="24" spans="1:23" s="364" customFormat="1" ht="13.8" x14ac:dyDescent="0.3">
      <c r="A24" s="378"/>
      <c r="B24" s="135" t="s">
        <v>569</v>
      </c>
      <c r="C24" s="378" t="s">
        <v>441</v>
      </c>
      <c r="D24" s="378" t="s">
        <v>435</v>
      </c>
      <c r="E24" s="131"/>
      <c r="F24" s="371" t="s">
        <v>571</v>
      </c>
      <c r="G24" s="136"/>
      <c r="H24" s="378" t="s">
        <v>449</v>
      </c>
      <c r="I24" s="136"/>
      <c r="J24" s="378" t="s">
        <v>187</v>
      </c>
      <c r="K24" s="136"/>
      <c r="L24" s="378">
        <v>55</v>
      </c>
      <c r="M24" s="136"/>
      <c r="N24" s="378">
        <v>60</v>
      </c>
      <c r="O24" s="136"/>
      <c r="P24" s="197" t="s">
        <v>930</v>
      </c>
      <c r="Q24" s="136"/>
      <c r="R24" s="206">
        <v>60</v>
      </c>
      <c r="S24" s="136"/>
      <c r="T24" s="206">
        <v>55</v>
      </c>
      <c r="U24" s="369"/>
    </row>
    <row r="25" spans="1:23" x14ac:dyDescent="0.3">
      <c r="A25" s="82"/>
      <c r="B25" s="175" t="s">
        <v>570</v>
      </c>
      <c r="C25" s="150" t="s">
        <v>442</v>
      </c>
      <c r="D25" s="199" t="s">
        <v>435</v>
      </c>
      <c r="E25" s="179"/>
      <c r="F25" s="150" t="s">
        <v>572</v>
      </c>
      <c r="G25" s="153"/>
      <c r="H25" s="150" t="s">
        <v>449</v>
      </c>
      <c r="I25" s="153"/>
      <c r="J25" s="155" t="s">
        <v>187</v>
      </c>
      <c r="K25" s="153"/>
      <c r="L25" s="209">
        <v>55</v>
      </c>
      <c r="M25" s="153"/>
      <c r="N25" s="151">
        <v>60</v>
      </c>
      <c r="O25" s="153"/>
      <c r="P25" s="209" t="s">
        <v>930</v>
      </c>
      <c r="Q25" s="153"/>
      <c r="R25" s="209">
        <v>60</v>
      </c>
      <c r="S25" s="153"/>
      <c r="T25" s="209">
        <v>55</v>
      </c>
    </row>
    <row r="26" spans="1:23" x14ac:dyDescent="0.3">
      <c r="A26" s="82"/>
      <c r="B26" s="77"/>
      <c r="C26" s="75"/>
      <c r="D26" s="29"/>
      <c r="E26" s="369"/>
      <c r="F26" s="369"/>
      <c r="G26" s="369"/>
      <c r="H26" s="369"/>
      <c r="J26" s="369"/>
      <c r="K26" s="84"/>
      <c r="L26" s="82"/>
      <c r="N26" s="369"/>
      <c r="P26" s="369"/>
      <c r="R26" s="369"/>
      <c r="T26" s="369"/>
    </row>
    <row r="27" spans="1:23" x14ac:dyDescent="0.3">
      <c r="A27" s="82"/>
      <c r="B27" s="77"/>
      <c r="C27" s="84"/>
      <c r="D27" s="82"/>
      <c r="E27" s="84"/>
      <c r="F27" s="82"/>
      <c r="G27" s="84"/>
      <c r="H27" s="82"/>
      <c r="I27" s="84"/>
      <c r="J27" s="82"/>
      <c r="K27" s="84"/>
      <c r="L27" s="82"/>
      <c r="N27" s="369"/>
      <c r="P27" s="369"/>
      <c r="R27" s="369"/>
      <c r="T27" s="369"/>
    </row>
    <row r="28" spans="1:23" ht="41.4" x14ac:dyDescent="0.3">
      <c r="A28" s="82"/>
      <c r="B28" s="108" t="s">
        <v>501</v>
      </c>
      <c r="C28" s="116" t="s">
        <v>502</v>
      </c>
      <c r="D28" s="112" t="s">
        <v>433</v>
      </c>
      <c r="E28" s="177"/>
      <c r="F28" s="110" t="s">
        <v>137</v>
      </c>
      <c r="G28" s="170"/>
      <c r="H28" s="168" t="s">
        <v>503</v>
      </c>
      <c r="I28" s="177"/>
      <c r="J28" s="168" t="s">
        <v>1125</v>
      </c>
      <c r="K28" s="189"/>
      <c r="L28" s="110" t="s">
        <v>204</v>
      </c>
      <c r="M28" s="182"/>
      <c r="N28" s="110" t="s">
        <v>1053</v>
      </c>
      <c r="O28" s="442"/>
      <c r="P28" s="110" t="s">
        <v>1054</v>
      </c>
      <c r="Q28" s="441"/>
      <c r="R28" s="110" t="s">
        <v>1055</v>
      </c>
      <c r="T28" s="369"/>
      <c r="V28" s="369"/>
      <c r="W28" s="369"/>
    </row>
    <row r="29" spans="1:23" ht="15" thickBot="1" x14ac:dyDescent="0.35">
      <c r="A29" s="82"/>
      <c r="B29" s="173" t="s">
        <v>280</v>
      </c>
      <c r="C29" s="171" t="s">
        <v>262</v>
      </c>
      <c r="D29" s="376"/>
      <c r="E29" s="178"/>
      <c r="F29" s="174" t="s">
        <v>264</v>
      </c>
      <c r="G29" s="172"/>
      <c r="H29" s="171" t="s">
        <v>933</v>
      </c>
      <c r="I29" s="178"/>
      <c r="J29" s="171" t="s">
        <v>1126</v>
      </c>
      <c r="K29" s="178"/>
      <c r="L29" s="174" t="s">
        <v>263</v>
      </c>
      <c r="M29" s="184"/>
      <c r="N29" s="171" t="s">
        <v>629</v>
      </c>
      <c r="O29" s="173"/>
      <c r="P29" s="174" t="s">
        <v>630</v>
      </c>
      <c r="Q29" s="171"/>
      <c r="R29" s="174" t="s">
        <v>631</v>
      </c>
      <c r="T29" s="369"/>
      <c r="V29" s="369"/>
      <c r="W29" s="369"/>
    </row>
    <row r="30" spans="1:23" s="363" customFormat="1" ht="15" thickTop="1" x14ac:dyDescent="0.3">
      <c r="A30" s="378"/>
      <c r="B30" s="135" t="s">
        <v>440</v>
      </c>
      <c r="C30" s="378" t="s">
        <v>450</v>
      </c>
      <c r="D30" s="378" t="s">
        <v>435</v>
      </c>
      <c r="E30" s="349"/>
      <c r="F30" s="378" t="s">
        <v>173</v>
      </c>
      <c r="G30" s="349"/>
      <c r="H30" s="378">
        <v>13.1</v>
      </c>
      <c r="I30" s="349"/>
      <c r="J30" s="378">
        <v>15.24</v>
      </c>
      <c r="K30" s="409" t="s">
        <v>14</v>
      </c>
      <c r="L30" s="410" t="s">
        <v>14</v>
      </c>
      <c r="M30" s="349"/>
      <c r="N30" s="378" t="s">
        <v>454</v>
      </c>
      <c r="O30" s="349"/>
      <c r="P30" s="378" t="s">
        <v>530</v>
      </c>
      <c r="Q30" s="349"/>
      <c r="R30" s="263" t="s">
        <v>281</v>
      </c>
      <c r="S30" s="378"/>
      <c r="T30" s="378"/>
      <c r="U30" s="378"/>
      <c r="V30" s="378"/>
      <c r="W30" s="378"/>
    </row>
    <row r="31" spans="1:23" s="363" customFormat="1" x14ac:dyDescent="0.3">
      <c r="A31" s="378"/>
      <c r="B31" s="135" t="s">
        <v>441</v>
      </c>
      <c r="C31" s="378" t="s">
        <v>451</v>
      </c>
      <c r="D31" s="378" t="s">
        <v>435</v>
      </c>
      <c r="E31" s="136"/>
      <c r="F31" s="378" t="s">
        <v>173</v>
      </c>
      <c r="G31" s="136"/>
      <c r="H31" s="378">
        <v>13.1</v>
      </c>
      <c r="I31" s="136"/>
      <c r="J31" s="378">
        <v>15.24</v>
      </c>
      <c r="K31" s="409" t="s">
        <v>14</v>
      </c>
      <c r="L31" s="410" t="s">
        <v>14</v>
      </c>
      <c r="M31" s="136"/>
      <c r="N31" s="378" t="s">
        <v>454</v>
      </c>
      <c r="O31" s="136"/>
      <c r="P31" s="378" t="s">
        <v>530</v>
      </c>
      <c r="Q31" s="136"/>
      <c r="R31" s="197" t="s">
        <v>281</v>
      </c>
      <c r="S31" s="378"/>
      <c r="T31" s="378"/>
      <c r="U31" s="378"/>
      <c r="V31" s="378"/>
      <c r="W31" s="378"/>
    </row>
    <row r="32" spans="1:23" x14ac:dyDescent="0.3">
      <c r="A32" s="82"/>
      <c r="B32" s="175" t="s">
        <v>442</v>
      </c>
      <c r="C32" s="150" t="s">
        <v>452</v>
      </c>
      <c r="D32" s="199" t="s">
        <v>435</v>
      </c>
      <c r="E32" s="153"/>
      <c r="F32" s="150" t="s">
        <v>173</v>
      </c>
      <c r="G32" s="153"/>
      <c r="H32" s="270">
        <v>13.1</v>
      </c>
      <c r="I32" s="153"/>
      <c r="J32" s="252">
        <v>15.24</v>
      </c>
      <c r="K32" s="411" t="s">
        <v>14</v>
      </c>
      <c r="L32" s="412" t="s">
        <v>14</v>
      </c>
      <c r="M32" s="153"/>
      <c r="N32" s="209" t="s">
        <v>454</v>
      </c>
      <c r="O32" s="153"/>
      <c r="P32" s="151" t="s">
        <v>530</v>
      </c>
      <c r="Q32" s="153"/>
      <c r="R32" s="209" t="s">
        <v>281</v>
      </c>
      <c r="T32" s="369"/>
      <c r="V32" s="369"/>
      <c r="W32" s="369"/>
    </row>
    <row r="33" spans="1:22" x14ac:dyDescent="0.3">
      <c r="A33" s="82"/>
      <c r="B33" s="77"/>
      <c r="C33" s="75"/>
      <c r="D33" s="82"/>
      <c r="E33" s="84"/>
      <c r="F33" s="82"/>
      <c r="G33" s="84"/>
      <c r="H33" s="82"/>
      <c r="I33" s="84"/>
      <c r="J33" s="82"/>
      <c r="K33" s="29"/>
      <c r="L33" s="369"/>
      <c r="N33" s="369"/>
      <c r="P33" s="369"/>
      <c r="R33" s="369"/>
      <c r="T33" s="369"/>
    </row>
    <row r="34" spans="1:22" x14ac:dyDescent="0.3">
      <c r="G34" s="369"/>
      <c r="H34" s="85"/>
      <c r="S34" s="397"/>
      <c r="T34" s="397"/>
      <c r="U34" s="397"/>
    </row>
    <row r="35" spans="1:22" x14ac:dyDescent="0.3">
      <c r="A35" s="82"/>
      <c r="B35" s="108" t="s">
        <v>501</v>
      </c>
      <c r="C35" s="116" t="s">
        <v>504</v>
      </c>
      <c r="D35" s="112" t="s">
        <v>433</v>
      </c>
      <c r="E35" s="177"/>
      <c r="F35" s="110" t="s">
        <v>474</v>
      </c>
      <c r="G35" s="369"/>
      <c r="H35" s="31">
        <f>H32/3.412</f>
        <v>3.8393903868698711</v>
      </c>
      <c r="L35" s="369"/>
      <c r="N35" s="369"/>
      <c r="P35" s="369"/>
      <c r="R35" s="369"/>
      <c r="S35" s="397"/>
      <c r="T35" s="397"/>
      <c r="U35" s="397"/>
    </row>
    <row r="36" spans="1:22" ht="15" thickBot="1" x14ac:dyDescent="0.35">
      <c r="A36" s="82"/>
      <c r="B36" s="173" t="s">
        <v>282</v>
      </c>
      <c r="C36" s="171" t="s">
        <v>265</v>
      </c>
      <c r="D36" s="171"/>
      <c r="E36" s="178"/>
      <c r="F36" s="174" t="s">
        <v>266</v>
      </c>
      <c r="G36" s="369"/>
      <c r="H36" s="85"/>
      <c r="L36" s="369"/>
      <c r="N36" s="369"/>
      <c r="P36" s="369"/>
      <c r="R36" s="369"/>
      <c r="S36" s="397"/>
      <c r="T36" s="397"/>
      <c r="U36" s="397"/>
    </row>
    <row r="37" spans="1:22" s="363" customFormat="1" ht="15" thickTop="1" x14ac:dyDescent="0.3">
      <c r="A37" s="378"/>
      <c r="B37" s="135" t="s">
        <v>440</v>
      </c>
      <c r="C37" s="378" t="s">
        <v>456</v>
      </c>
      <c r="D37" s="378" t="s">
        <v>435</v>
      </c>
      <c r="E37" s="416"/>
      <c r="F37" s="274" t="s">
        <v>562</v>
      </c>
      <c r="G37" s="378"/>
      <c r="H37" s="371"/>
      <c r="I37" s="378"/>
      <c r="J37" s="371"/>
      <c r="K37" s="378"/>
      <c r="L37" s="378"/>
      <c r="M37" s="378"/>
      <c r="N37" s="378"/>
      <c r="O37" s="378"/>
      <c r="P37" s="378"/>
      <c r="Q37" s="378"/>
      <c r="R37" s="378"/>
    </row>
    <row r="38" spans="1:22" s="363" customFormat="1" x14ac:dyDescent="0.3">
      <c r="A38" s="378"/>
      <c r="B38" s="135" t="s">
        <v>441</v>
      </c>
      <c r="C38" s="378" t="s">
        <v>462</v>
      </c>
      <c r="D38" s="378" t="s">
        <v>435</v>
      </c>
      <c r="E38" s="416"/>
      <c r="F38" s="274" t="s">
        <v>562</v>
      </c>
      <c r="G38" s="378"/>
      <c r="H38" s="371"/>
      <c r="I38" s="378"/>
      <c r="J38" s="371"/>
      <c r="K38" s="378"/>
      <c r="L38" s="378"/>
      <c r="M38" s="378"/>
      <c r="N38" s="378"/>
      <c r="O38" s="378"/>
      <c r="P38" s="378"/>
      <c r="Q38" s="378"/>
      <c r="R38" s="378"/>
    </row>
    <row r="39" spans="1:22" s="363" customFormat="1" x14ac:dyDescent="0.3">
      <c r="A39" s="378"/>
      <c r="B39" s="135" t="s">
        <v>442</v>
      </c>
      <c r="C39" s="378" t="s">
        <v>468</v>
      </c>
      <c r="D39" s="378" t="s">
        <v>435</v>
      </c>
      <c r="E39" s="416"/>
      <c r="F39" s="274" t="s">
        <v>562</v>
      </c>
      <c r="G39" s="378"/>
      <c r="H39" s="371"/>
      <c r="I39" s="378"/>
      <c r="J39" s="371"/>
      <c r="K39" s="378"/>
      <c r="L39" s="378"/>
      <c r="M39" s="378"/>
      <c r="N39" s="378"/>
      <c r="O39" s="378"/>
      <c r="P39" s="378"/>
      <c r="Q39" s="378"/>
      <c r="R39" s="378"/>
    </row>
    <row r="40" spans="1:22" s="363" customFormat="1" x14ac:dyDescent="0.3">
      <c r="A40" s="378"/>
      <c r="B40" s="135" t="s">
        <v>440</v>
      </c>
      <c r="C40" s="378" t="s">
        <v>587</v>
      </c>
      <c r="D40" s="378" t="s">
        <v>435</v>
      </c>
      <c r="E40" s="416"/>
      <c r="F40" s="274" t="s">
        <v>562</v>
      </c>
      <c r="G40" s="378"/>
      <c r="H40" s="371"/>
      <c r="I40" s="378"/>
      <c r="J40" s="371"/>
      <c r="K40" s="378"/>
      <c r="L40" s="378"/>
      <c r="M40" s="378"/>
      <c r="N40" s="378"/>
      <c r="O40" s="378"/>
      <c r="P40" s="378"/>
      <c r="Q40" s="378"/>
      <c r="R40" s="378"/>
    </row>
    <row r="41" spans="1:22" s="363" customFormat="1" x14ac:dyDescent="0.3">
      <c r="A41" s="378"/>
      <c r="B41" s="135" t="s">
        <v>441</v>
      </c>
      <c r="C41" s="378" t="s">
        <v>587</v>
      </c>
      <c r="D41" s="378" t="s">
        <v>435</v>
      </c>
      <c r="E41" s="416"/>
      <c r="F41" s="274" t="s">
        <v>562</v>
      </c>
      <c r="G41" s="378"/>
      <c r="H41" s="371"/>
      <c r="I41" s="378"/>
      <c r="J41" s="371"/>
      <c r="K41" s="378"/>
      <c r="L41" s="378"/>
      <c r="M41" s="378"/>
      <c r="N41" s="378"/>
      <c r="O41" s="378"/>
      <c r="P41" s="378"/>
      <c r="Q41" s="378"/>
      <c r="R41" s="378"/>
    </row>
    <row r="42" spans="1:22" s="363" customFormat="1" x14ac:dyDescent="0.3">
      <c r="A42" s="378"/>
      <c r="B42" s="284" t="s">
        <v>442</v>
      </c>
      <c r="C42" s="160" t="s">
        <v>587</v>
      </c>
      <c r="D42" s="476" t="s">
        <v>435</v>
      </c>
      <c r="E42" s="417"/>
      <c r="F42" s="193" t="s">
        <v>562</v>
      </c>
      <c r="G42" s="378"/>
      <c r="H42" s="371"/>
      <c r="I42" s="378"/>
      <c r="J42" s="371"/>
      <c r="K42" s="378"/>
      <c r="L42" s="378"/>
      <c r="M42" s="378"/>
      <c r="N42" s="378"/>
      <c r="O42" s="378"/>
      <c r="P42" s="378"/>
      <c r="Q42" s="378"/>
      <c r="R42" s="378"/>
    </row>
    <row r="43" spans="1:22" x14ac:dyDescent="0.3">
      <c r="A43" s="82"/>
      <c r="B43" s="384"/>
      <c r="C43" s="384"/>
      <c r="D43" s="397"/>
      <c r="E43" s="362"/>
      <c r="F43" s="397"/>
      <c r="G43" s="362"/>
      <c r="H43" s="397"/>
      <c r="I43" s="362"/>
      <c r="J43" s="397"/>
      <c r="K43" s="362"/>
      <c r="L43" s="397"/>
      <c r="N43" s="369"/>
      <c r="P43" s="369"/>
      <c r="R43" s="369"/>
      <c r="T43" s="369"/>
    </row>
    <row r="44" spans="1:22" x14ac:dyDescent="0.3">
      <c r="A44" s="82"/>
      <c r="B44" s="83"/>
      <c r="C44" s="86"/>
      <c r="D44" s="82"/>
      <c r="E44" s="84"/>
      <c r="F44" s="82"/>
      <c r="G44" s="84"/>
      <c r="H44" s="82"/>
      <c r="I44" s="84"/>
      <c r="J44" s="82"/>
      <c r="K44" s="84"/>
      <c r="L44" s="82"/>
      <c r="M44" s="84"/>
      <c r="N44" s="82"/>
      <c r="O44" s="84"/>
      <c r="P44" s="82"/>
      <c r="Q44" s="84"/>
      <c r="R44" s="82"/>
      <c r="S44" s="84"/>
      <c r="T44" s="82"/>
    </row>
    <row r="45" spans="1:22" ht="27.6" x14ac:dyDescent="0.3">
      <c r="A45" s="82"/>
      <c r="B45" s="108" t="s">
        <v>501</v>
      </c>
      <c r="C45" s="116" t="s">
        <v>506</v>
      </c>
      <c r="D45" s="116" t="s">
        <v>433</v>
      </c>
      <c r="E45" s="177"/>
      <c r="F45" s="110" t="s">
        <v>184</v>
      </c>
      <c r="G45" s="113"/>
      <c r="H45" s="168" t="s">
        <v>277</v>
      </c>
      <c r="I45" s="125"/>
      <c r="J45" s="110" t="s">
        <v>511</v>
      </c>
      <c r="K45" s="125"/>
      <c r="L45" s="110" t="s">
        <v>183</v>
      </c>
      <c r="M45" s="168"/>
      <c r="N45" s="113" t="s">
        <v>205</v>
      </c>
      <c r="O45" s="189"/>
      <c r="P45" s="110" t="s">
        <v>507</v>
      </c>
      <c r="Q45" s="168"/>
      <c r="R45" s="168" t="s">
        <v>206</v>
      </c>
      <c r="S45" s="189"/>
      <c r="T45" s="110" t="s">
        <v>182</v>
      </c>
      <c r="U45" s="189"/>
      <c r="V45" s="110" t="s">
        <v>1398</v>
      </c>
    </row>
    <row r="46" spans="1:22" ht="15" thickBot="1" x14ac:dyDescent="0.35">
      <c r="A46" s="82"/>
      <c r="B46" s="173" t="s">
        <v>282</v>
      </c>
      <c r="C46" s="171" t="s">
        <v>269</v>
      </c>
      <c r="D46" s="171"/>
      <c r="E46" s="178"/>
      <c r="F46" s="174" t="s">
        <v>270</v>
      </c>
      <c r="G46" s="172"/>
      <c r="H46" s="171" t="s">
        <v>271</v>
      </c>
      <c r="I46" s="178"/>
      <c r="J46" s="174"/>
      <c r="K46" s="178"/>
      <c r="L46" s="174" t="s">
        <v>272</v>
      </c>
      <c r="M46" s="172"/>
      <c r="N46" s="171" t="s">
        <v>273</v>
      </c>
      <c r="O46" s="178"/>
      <c r="P46" s="174" t="s">
        <v>274</v>
      </c>
      <c r="Q46" s="172"/>
      <c r="R46" s="171" t="s">
        <v>275</v>
      </c>
      <c r="S46" s="178"/>
      <c r="T46" s="174" t="s">
        <v>276</v>
      </c>
      <c r="U46" s="173"/>
      <c r="V46" s="174" t="s">
        <v>774</v>
      </c>
    </row>
    <row r="47" spans="1:22" s="363" customFormat="1" ht="15" thickTop="1" x14ac:dyDescent="0.3">
      <c r="A47" s="378"/>
      <c r="B47" s="135" t="s">
        <v>440</v>
      </c>
      <c r="C47" s="378" t="s">
        <v>476</v>
      </c>
      <c r="D47" s="378" t="s">
        <v>435</v>
      </c>
      <c r="E47" s="418"/>
      <c r="F47" s="378" t="s">
        <v>485</v>
      </c>
      <c r="G47" s="418"/>
      <c r="H47" s="378" t="s">
        <v>278</v>
      </c>
      <c r="I47" s="484" t="s">
        <v>14</v>
      </c>
      <c r="J47" s="428" t="s">
        <v>14</v>
      </c>
      <c r="K47" s="418"/>
      <c r="L47" s="489">
        <v>14.085000000000001</v>
      </c>
      <c r="M47" s="409" t="s">
        <v>14</v>
      </c>
      <c r="N47" s="410" t="s">
        <v>14</v>
      </c>
      <c r="O47" s="409" t="s">
        <v>14</v>
      </c>
      <c r="P47" s="410" t="s">
        <v>14</v>
      </c>
      <c r="Q47" s="418"/>
      <c r="R47" s="263">
        <v>15</v>
      </c>
      <c r="S47" s="418"/>
      <c r="T47" s="636">
        <v>0.9</v>
      </c>
      <c r="U47" s="409" t="s">
        <v>14</v>
      </c>
      <c r="V47" s="410" t="s">
        <v>14</v>
      </c>
    </row>
    <row r="48" spans="1:22" s="363" customFormat="1" x14ac:dyDescent="0.3">
      <c r="A48" s="378"/>
      <c r="B48" s="135" t="s">
        <v>441</v>
      </c>
      <c r="C48" s="378" t="s">
        <v>477</v>
      </c>
      <c r="D48" s="378" t="s">
        <v>435</v>
      </c>
      <c r="E48" s="419"/>
      <c r="F48" s="378" t="s">
        <v>485</v>
      </c>
      <c r="G48" s="418"/>
      <c r="H48" s="378" t="s">
        <v>564</v>
      </c>
      <c r="I48" s="395" t="s">
        <v>919</v>
      </c>
      <c r="J48" s="90">
        <v>17875.900000000001</v>
      </c>
      <c r="K48" s="395" t="s">
        <v>919</v>
      </c>
      <c r="L48" s="386">
        <f>(J48*P48)/(6353*N48)</f>
        <v>12.986644710554677</v>
      </c>
      <c r="M48" s="418"/>
      <c r="N48" s="378">
        <v>0.65</v>
      </c>
      <c r="O48" s="418"/>
      <c r="P48" s="378">
        <v>3</v>
      </c>
      <c r="Q48" s="418"/>
      <c r="R48" s="378">
        <v>15</v>
      </c>
      <c r="S48" s="418"/>
      <c r="T48" s="431">
        <v>0.9</v>
      </c>
      <c r="U48" s="409" t="s">
        <v>14</v>
      </c>
      <c r="V48" s="410" t="s">
        <v>14</v>
      </c>
    </row>
    <row r="49" spans="1:22" x14ac:dyDescent="0.3">
      <c r="A49" s="82"/>
      <c r="B49" s="284" t="s">
        <v>442</v>
      </c>
      <c r="C49" s="150" t="s">
        <v>478</v>
      </c>
      <c r="D49" s="150" t="s">
        <v>435</v>
      </c>
      <c r="E49" s="417"/>
      <c r="F49" s="270" t="s">
        <v>485</v>
      </c>
      <c r="G49" s="417"/>
      <c r="H49" s="155" t="s">
        <v>564</v>
      </c>
      <c r="I49" s="204" t="s">
        <v>919</v>
      </c>
      <c r="J49" s="195">
        <v>17875.900000000001</v>
      </c>
      <c r="K49" s="204" t="s">
        <v>919</v>
      </c>
      <c r="L49" s="387">
        <f>(J49*P49)/(6353*N49)</f>
        <v>18.153374326581805</v>
      </c>
      <c r="M49" s="417"/>
      <c r="N49" s="158">
        <v>0.62</v>
      </c>
      <c r="O49" s="417"/>
      <c r="P49" s="158">
        <v>4</v>
      </c>
      <c r="Q49" s="417"/>
      <c r="R49" s="158">
        <v>20</v>
      </c>
      <c r="S49" s="417"/>
      <c r="T49" s="433">
        <v>0.9</v>
      </c>
      <c r="U49" s="411" t="s">
        <v>14</v>
      </c>
      <c r="V49" s="412" t="s">
        <v>14</v>
      </c>
    </row>
    <row r="50" spans="1:22" x14ac:dyDescent="0.3">
      <c r="A50" s="82"/>
      <c r="B50" s="82"/>
      <c r="C50" s="384"/>
      <c r="D50" s="82"/>
      <c r="E50" s="82"/>
      <c r="F50" s="82"/>
      <c r="G50" s="82"/>
      <c r="H50" s="82"/>
      <c r="I50" s="82"/>
      <c r="J50" s="82"/>
      <c r="K50" s="82"/>
      <c r="L50" s="82"/>
      <c r="M50" s="82"/>
      <c r="N50" s="82"/>
      <c r="O50" s="82"/>
      <c r="P50" s="82"/>
      <c r="Q50" s="82"/>
      <c r="R50" s="82"/>
      <c r="S50" s="82"/>
      <c r="T50" s="369"/>
    </row>
    <row r="51" spans="1:22" x14ac:dyDescent="0.3">
      <c r="A51" s="397"/>
      <c r="B51" s="397"/>
      <c r="C51" s="397"/>
      <c r="D51" s="397"/>
      <c r="E51" s="362"/>
      <c r="F51" s="397"/>
      <c r="G51" s="362"/>
      <c r="H51" s="397"/>
      <c r="I51" s="362"/>
      <c r="J51" s="397"/>
      <c r="K51" s="397"/>
      <c r="L51" s="397"/>
      <c r="M51" s="362"/>
      <c r="N51" s="397"/>
      <c r="O51" s="121"/>
      <c r="P51" s="111"/>
      <c r="Q51" s="82"/>
      <c r="R51" s="82"/>
      <c r="S51" s="82"/>
      <c r="T51" s="82"/>
    </row>
    <row r="52" spans="1:22" x14ac:dyDescent="0.3">
      <c r="A52" s="397"/>
      <c r="B52" s="108" t="s">
        <v>501</v>
      </c>
      <c r="C52" s="113"/>
      <c r="D52" s="142" t="s">
        <v>433</v>
      </c>
      <c r="E52" s="114"/>
      <c r="F52" s="142" t="s">
        <v>538</v>
      </c>
      <c r="G52" s="125"/>
      <c r="H52" s="142" t="s">
        <v>295</v>
      </c>
      <c r="I52" s="125"/>
      <c r="J52" s="142" t="s">
        <v>972</v>
      </c>
      <c r="K52" s="125"/>
      <c r="L52" s="142" t="s">
        <v>973</v>
      </c>
      <c r="M52" s="362"/>
      <c r="N52" s="397"/>
      <c r="O52" s="121"/>
      <c r="P52" s="111"/>
      <c r="Q52" s="82"/>
      <c r="R52" s="82"/>
      <c r="S52" s="82"/>
      <c r="T52" s="82"/>
    </row>
    <row r="53" spans="1:22" ht="15" thickBot="1" x14ac:dyDescent="0.35">
      <c r="A53" s="397"/>
      <c r="B53" s="173" t="s">
        <v>282</v>
      </c>
      <c r="C53" s="171"/>
      <c r="D53" s="174"/>
      <c r="E53" s="205"/>
      <c r="F53" s="174" t="s">
        <v>289</v>
      </c>
      <c r="G53" s="208"/>
      <c r="H53" s="174" t="s">
        <v>290</v>
      </c>
      <c r="I53" s="208"/>
      <c r="J53" s="174" t="s">
        <v>971</v>
      </c>
      <c r="K53" s="208"/>
      <c r="L53" s="174" t="s">
        <v>971</v>
      </c>
      <c r="M53" s="362"/>
      <c r="N53" s="397"/>
      <c r="O53" s="121"/>
      <c r="P53" s="111"/>
      <c r="Q53" s="82"/>
      <c r="R53" s="82"/>
      <c r="S53" s="82"/>
      <c r="T53" s="82"/>
    </row>
    <row r="54" spans="1:22" ht="15" thickTop="1" x14ac:dyDescent="0.3">
      <c r="A54" s="397"/>
      <c r="B54" s="135" t="s">
        <v>440</v>
      </c>
      <c r="C54" s="378"/>
      <c r="D54" s="378" t="s">
        <v>435</v>
      </c>
      <c r="E54" s="418"/>
      <c r="F54" s="378" t="s">
        <v>535</v>
      </c>
      <c r="G54" s="418"/>
      <c r="H54" s="263" t="s">
        <v>480</v>
      </c>
      <c r="I54" s="409" t="s">
        <v>14</v>
      </c>
      <c r="J54" s="410" t="s">
        <v>14</v>
      </c>
      <c r="K54" s="420"/>
      <c r="L54" s="263">
        <v>30</v>
      </c>
      <c r="M54" s="362"/>
      <c r="N54" s="397"/>
      <c r="O54" s="121"/>
      <c r="P54" s="111"/>
      <c r="Q54" s="82"/>
      <c r="R54" s="82"/>
      <c r="S54" s="82"/>
      <c r="T54" s="82"/>
    </row>
    <row r="55" spans="1:22" x14ac:dyDescent="0.3">
      <c r="A55" s="397"/>
      <c r="B55" s="135" t="s">
        <v>441</v>
      </c>
      <c r="C55" s="378"/>
      <c r="D55" s="378" t="s">
        <v>435</v>
      </c>
      <c r="E55" s="419"/>
      <c r="F55" s="378" t="s">
        <v>536</v>
      </c>
      <c r="G55" s="419"/>
      <c r="H55" s="274" t="s">
        <v>481</v>
      </c>
      <c r="I55" s="418"/>
      <c r="J55" s="274">
        <v>75</v>
      </c>
      <c r="K55" s="409" t="s">
        <v>14</v>
      </c>
      <c r="L55" s="410" t="s">
        <v>14</v>
      </c>
      <c r="M55" s="362"/>
      <c r="N55" s="397"/>
      <c r="O55" s="121"/>
      <c r="P55" s="111"/>
      <c r="Q55" s="82"/>
      <c r="R55" s="82"/>
      <c r="S55" s="82"/>
      <c r="T55" s="82"/>
    </row>
    <row r="56" spans="1:22" x14ac:dyDescent="0.3">
      <c r="A56" s="397"/>
      <c r="B56" s="284" t="s">
        <v>442</v>
      </c>
      <c r="C56" s="150"/>
      <c r="D56" s="150" t="s">
        <v>435</v>
      </c>
      <c r="E56" s="417"/>
      <c r="F56" s="155" t="s">
        <v>537</v>
      </c>
      <c r="G56" s="417"/>
      <c r="H56" s="267" t="s">
        <v>480</v>
      </c>
      <c r="I56" s="417"/>
      <c r="J56" s="158">
        <v>80</v>
      </c>
      <c r="K56" s="417"/>
      <c r="L56" s="530">
        <v>30</v>
      </c>
      <c r="M56" s="362"/>
      <c r="N56" s="397"/>
      <c r="O56" s="121"/>
      <c r="P56" s="111"/>
      <c r="Q56" s="82"/>
      <c r="R56" s="82"/>
      <c r="S56" s="82"/>
      <c r="T56" s="82"/>
    </row>
    <row r="57" spans="1:22" x14ac:dyDescent="0.3">
      <c r="A57" s="397"/>
      <c r="B57" s="85"/>
      <c r="D57" s="85"/>
      <c r="E57" s="85"/>
      <c r="F57" s="85"/>
      <c r="G57" s="85"/>
      <c r="H57" s="85"/>
      <c r="M57" s="362"/>
      <c r="N57" s="397"/>
      <c r="O57" s="121"/>
      <c r="P57" s="111"/>
      <c r="Q57" s="82"/>
      <c r="R57" s="82"/>
      <c r="S57" s="82"/>
      <c r="T57" s="82"/>
    </row>
    <row r="58" spans="1:22" x14ac:dyDescent="0.3">
      <c r="A58" s="82"/>
      <c r="B58" s="85"/>
      <c r="C58" s="83"/>
      <c r="D58" s="397"/>
      <c r="E58" s="82"/>
      <c r="F58" s="82"/>
      <c r="G58" s="82"/>
      <c r="H58" s="82"/>
      <c r="I58" s="82"/>
      <c r="J58" s="82"/>
      <c r="K58" s="82"/>
      <c r="L58" s="82"/>
      <c r="M58" s="82"/>
      <c r="N58" s="82"/>
      <c r="O58" s="82"/>
      <c r="P58" s="82"/>
      <c r="Q58" s="82"/>
      <c r="R58" s="82"/>
      <c r="S58" s="82"/>
      <c r="T58" s="82"/>
    </row>
    <row r="59" spans="1:22" x14ac:dyDescent="0.3">
      <c r="A59" s="82"/>
      <c r="B59" s="108" t="s">
        <v>505</v>
      </c>
      <c r="C59" s="113" t="s">
        <v>291</v>
      </c>
      <c r="D59" s="373"/>
      <c r="E59" s="207"/>
      <c r="F59" s="142" t="s">
        <v>292</v>
      </c>
      <c r="G59" s="125"/>
      <c r="H59" s="142" t="s">
        <v>293</v>
      </c>
      <c r="I59" s="397"/>
      <c r="J59" s="397"/>
      <c r="K59" s="397"/>
      <c r="L59" s="397"/>
      <c r="M59" s="82"/>
      <c r="N59" s="82"/>
      <c r="O59" s="397"/>
      <c r="P59" s="397"/>
      <c r="Q59" s="397"/>
      <c r="R59" s="397"/>
      <c r="S59" s="397"/>
      <c r="T59" s="397"/>
    </row>
    <row r="60" spans="1:22" ht="15" thickBot="1" x14ac:dyDescent="0.35">
      <c r="A60" s="82"/>
      <c r="B60" s="173" t="s">
        <v>285</v>
      </c>
      <c r="C60" s="171" t="s">
        <v>286</v>
      </c>
      <c r="D60" s="376"/>
      <c r="E60" s="208"/>
      <c r="F60" s="174" t="s">
        <v>287</v>
      </c>
      <c r="G60" s="208"/>
      <c r="H60" s="174" t="s">
        <v>288</v>
      </c>
      <c r="I60" s="397"/>
      <c r="J60" s="397"/>
      <c r="K60" s="397"/>
      <c r="L60" s="397"/>
      <c r="M60" s="82"/>
      <c r="N60" s="82"/>
      <c r="O60" s="397"/>
      <c r="P60" s="397"/>
      <c r="Q60" s="397"/>
      <c r="R60" s="397"/>
      <c r="S60" s="397"/>
      <c r="T60" s="397"/>
    </row>
    <row r="61" spans="1:22" ht="15" thickTop="1" x14ac:dyDescent="0.3">
      <c r="A61" s="82"/>
      <c r="B61" s="135" t="s">
        <v>579</v>
      </c>
      <c r="C61" s="378" t="s">
        <v>297</v>
      </c>
      <c r="D61" s="99"/>
      <c r="E61" s="418"/>
      <c r="F61" s="378" t="s">
        <v>413</v>
      </c>
      <c r="G61" s="418"/>
      <c r="H61" s="263" t="s">
        <v>414</v>
      </c>
      <c r="I61" s="397"/>
      <c r="J61" s="397"/>
      <c r="K61" s="397"/>
      <c r="L61" s="397"/>
      <c r="M61" s="82"/>
      <c r="N61" s="82"/>
      <c r="O61" s="397"/>
      <c r="P61" s="397"/>
      <c r="Q61" s="397"/>
      <c r="R61" s="397"/>
      <c r="S61" s="397"/>
      <c r="T61" s="397"/>
    </row>
    <row r="62" spans="1:22" x14ac:dyDescent="0.3">
      <c r="A62" s="82"/>
      <c r="B62" s="175" t="s">
        <v>580</v>
      </c>
      <c r="C62" s="150" t="s">
        <v>337</v>
      </c>
      <c r="D62" s="151"/>
      <c r="E62" s="411" t="s">
        <v>14</v>
      </c>
      <c r="F62" s="412" t="s">
        <v>14</v>
      </c>
      <c r="G62" s="411" t="s">
        <v>14</v>
      </c>
      <c r="H62" s="412" t="s">
        <v>14</v>
      </c>
      <c r="I62" s="397"/>
      <c r="J62" s="397"/>
      <c r="K62" s="397"/>
      <c r="L62" s="397"/>
      <c r="M62" s="82"/>
      <c r="N62" s="82"/>
      <c r="O62" s="397"/>
      <c r="P62" s="397"/>
      <c r="Q62" s="397"/>
      <c r="R62" s="397"/>
      <c r="S62" s="397"/>
      <c r="T62" s="397"/>
    </row>
    <row r="63" spans="1:22" x14ac:dyDescent="0.3">
      <c r="A63" s="397"/>
      <c r="B63" s="397"/>
      <c r="C63" s="397"/>
      <c r="D63" s="397"/>
      <c r="E63" s="397"/>
      <c r="F63" s="397"/>
      <c r="G63" s="397"/>
      <c r="H63" s="397"/>
      <c r="I63" s="362"/>
      <c r="J63" s="397"/>
      <c r="K63" s="397"/>
      <c r="L63" s="397"/>
      <c r="M63" s="362"/>
      <c r="N63" s="397"/>
      <c r="O63" s="121"/>
      <c r="P63" s="111"/>
      <c r="Q63" s="82"/>
      <c r="R63" s="82"/>
      <c r="S63" s="82"/>
      <c r="T63" s="82"/>
    </row>
    <row r="64" spans="1:22" x14ac:dyDescent="0.3">
      <c r="A64" s="26"/>
      <c r="B64" s="28" t="s">
        <v>487</v>
      </c>
      <c r="C64" s="397"/>
      <c r="D64" s="397"/>
      <c r="E64" s="362"/>
      <c r="F64" s="397"/>
      <c r="G64" s="362"/>
      <c r="H64" s="397"/>
      <c r="I64" s="362"/>
      <c r="J64" s="397"/>
      <c r="K64" s="362"/>
      <c r="L64" s="397"/>
      <c r="M64" s="362"/>
      <c r="N64" s="397"/>
      <c r="O64" s="121"/>
      <c r="P64" s="111"/>
      <c r="Q64" s="82"/>
      <c r="R64" s="82"/>
      <c r="S64" s="82"/>
      <c r="T64" s="82"/>
    </row>
    <row r="65" spans="1:28" ht="27.6" x14ac:dyDescent="0.3">
      <c r="A65" s="397"/>
      <c r="B65" s="108" t="s">
        <v>488</v>
      </c>
      <c r="C65" s="112" t="s">
        <v>433</v>
      </c>
      <c r="D65" s="373"/>
      <c r="E65" s="231"/>
      <c r="F65" s="109" t="s">
        <v>836</v>
      </c>
      <c r="G65" s="210"/>
      <c r="H65" s="116" t="s">
        <v>489</v>
      </c>
      <c r="I65" s="231"/>
      <c r="J65" s="109" t="s">
        <v>490</v>
      </c>
      <c r="K65" s="455"/>
      <c r="L65" s="456" t="s">
        <v>491</v>
      </c>
      <c r="M65" s="231"/>
      <c r="N65" s="109" t="s">
        <v>739</v>
      </c>
      <c r="O65" s="121"/>
      <c r="P65" s="111"/>
      <c r="Q65" s="82"/>
      <c r="R65" s="82"/>
      <c r="S65" s="82"/>
      <c r="T65" s="82"/>
    </row>
    <row r="66" spans="1:28" ht="15" thickBot="1" x14ac:dyDescent="0.35">
      <c r="A66" s="397"/>
      <c r="B66" s="212"/>
      <c r="C66" s="376"/>
      <c r="D66" s="376"/>
      <c r="E66" s="230"/>
      <c r="F66" s="355" t="s">
        <v>1057</v>
      </c>
      <c r="G66" s="376"/>
      <c r="H66" s="354" t="s">
        <v>1058</v>
      </c>
      <c r="I66" s="230"/>
      <c r="J66" s="355" t="s">
        <v>1059</v>
      </c>
      <c r="K66" s="211"/>
      <c r="L66" s="354" t="s">
        <v>611</v>
      </c>
      <c r="M66" s="230"/>
      <c r="N66" s="355" t="s">
        <v>1060</v>
      </c>
      <c r="O66" s="121"/>
      <c r="P66" s="111"/>
      <c r="Q66" s="82"/>
      <c r="R66" s="82"/>
      <c r="S66" s="82"/>
      <c r="T66" s="82"/>
    </row>
    <row r="67" spans="1:28" ht="15" thickTop="1" x14ac:dyDescent="0.3">
      <c r="A67" s="397"/>
      <c r="B67" s="175">
        <v>1</v>
      </c>
      <c r="C67" s="400" t="s">
        <v>435</v>
      </c>
      <c r="D67" s="379"/>
      <c r="E67" s="204" t="s">
        <v>919</v>
      </c>
      <c r="F67" s="195">
        <v>700000</v>
      </c>
      <c r="G67" s="359"/>
      <c r="H67" s="150">
        <v>0.8</v>
      </c>
      <c r="I67" s="165"/>
      <c r="J67" s="155" t="s">
        <v>475</v>
      </c>
      <c r="K67" s="164"/>
      <c r="L67" s="150" t="s">
        <v>493</v>
      </c>
      <c r="M67" s="165"/>
      <c r="N67" s="155">
        <v>0.25</v>
      </c>
      <c r="O67" s="121"/>
      <c r="P67" s="111"/>
      <c r="Q67" s="82"/>
      <c r="R67" s="82"/>
      <c r="S67" s="82"/>
      <c r="T67" s="82"/>
    </row>
    <row r="68" spans="1:28" x14ac:dyDescent="0.3">
      <c r="A68" s="397"/>
      <c r="B68" s="85"/>
      <c r="D68" s="85"/>
      <c r="E68" s="85"/>
      <c r="F68" s="85"/>
      <c r="G68" s="85"/>
      <c r="H68" s="85"/>
      <c r="I68" s="85"/>
      <c r="K68" s="85"/>
      <c r="M68" s="85"/>
      <c r="O68" s="85"/>
      <c r="Q68" s="85"/>
      <c r="S68" s="85"/>
    </row>
    <row r="69" spans="1:28" x14ac:dyDescent="0.3">
      <c r="A69" s="397"/>
      <c r="B69" s="397"/>
      <c r="C69" s="397"/>
      <c r="D69" s="362"/>
      <c r="E69" s="362"/>
      <c r="F69" s="397"/>
      <c r="G69" s="362"/>
      <c r="H69" s="397"/>
      <c r="I69" s="362"/>
      <c r="J69" s="397"/>
      <c r="K69" s="362"/>
      <c r="L69" s="397"/>
      <c r="M69" s="362"/>
      <c r="N69" s="397"/>
      <c r="O69" s="362"/>
      <c r="P69" s="397"/>
      <c r="Q69" s="362"/>
      <c r="R69" s="397"/>
      <c r="S69" s="362"/>
      <c r="T69" s="397"/>
      <c r="U69" s="397"/>
    </row>
    <row r="70" spans="1:28" s="36" customFormat="1" ht="27.6" x14ac:dyDescent="0.3">
      <c r="A70" s="82"/>
      <c r="B70" s="125" t="s">
        <v>750</v>
      </c>
      <c r="C70" s="113" t="s">
        <v>751</v>
      </c>
      <c r="D70" s="113" t="s">
        <v>433</v>
      </c>
      <c r="E70" s="113"/>
      <c r="F70" s="113" t="s">
        <v>938</v>
      </c>
      <c r="G70" s="125"/>
      <c r="H70" s="142" t="s">
        <v>760</v>
      </c>
      <c r="I70" s="113"/>
      <c r="J70" s="113" t="s">
        <v>761</v>
      </c>
      <c r="K70" s="125"/>
      <c r="L70" s="142" t="s">
        <v>1109</v>
      </c>
      <c r="M70" s="207"/>
      <c r="N70" s="113" t="s">
        <v>764</v>
      </c>
      <c r="O70" s="207"/>
      <c r="P70" s="142" t="s">
        <v>772</v>
      </c>
      <c r="Q70" s="113"/>
      <c r="R70" s="113" t="s">
        <v>773</v>
      </c>
      <c r="S70" s="125"/>
      <c r="T70" s="142" t="s">
        <v>492</v>
      </c>
      <c r="U70" s="113"/>
      <c r="V70" s="142" t="s">
        <v>1051</v>
      </c>
      <c r="W70" s="87"/>
      <c r="X70" s="86"/>
      <c r="Y70" s="87"/>
      <c r="Z70" s="86"/>
      <c r="AA70" s="87"/>
      <c r="AB70" s="86"/>
    </row>
    <row r="71" spans="1:28" s="448" customFormat="1" thickBot="1" x14ac:dyDescent="0.35">
      <c r="A71" s="82"/>
      <c r="B71" s="178"/>
      <c r="C71" s="171"/>
      <c r="D71" s="172"/>
      <c r="E71" s="172"/>
      <c r="F71" s="172"/>
      <c r="G71" s="173"/>
      <c r="H71" s="355" t="s">
        <v>1061</v>
      </c>
      <c r="I71" s="171"/>
      <c r="J71" s="355" t="s">
        <v>1066</v>
      </c>
      <c r="K71" s="173"/>
      <c r="L71" s="355" t="s">
        <v>1110</v>
      </c>
      <c r="M71" s="173"/>
      <c r="N71" s="355" t="s">
        <v>1062</v>
      </c>
      <c r="O71" s="173"/>
      <c r="P71" s="355" t="s">
        <v>1063</v>
      </c>
      <c r="Q71" s="171"/>
      <c r="R71" s="355" t="s">
        <v>1064</v>
      </c>
      <c r="S71" s="173"/>
      <c r="T71" s="355" t="s">
        <v>1065</v>
      </c>
      <c r="U71" s="171"/>
      <c r="V71" s="174" t="s">
        <v>774</v>
      </c>
      <c r="W71" s="87"/>
      <c r="X71" s="86"/>
      <c r="Y71" s="87"/>
      <c r="Z71" s="86"/>
      <c r="AA71" s="87"/>
      <c r="AB71" s="86"/>
    </row>
    <row r="72" spans="1:28" s="364" customFormat="1" ht="12.75" customHeight="1" thickTop="1" x14ac:dyDescent="0.3">
      <c r="A72" s="378"/>
      <c r="B72" s="487" t="s">
        <v>936</v>
      </c>
      <c r="C72" s="493" t="s">
        <v>937</v>
      </c>
      <c r="D72" s="400" t="s">
        <v>435</v>
      </c>
      <c r="E72" s="400"/>
      <c r="F72" s="400">
        <v>1</v>
      </c>
      <c r="G72" s="508"/>
      <c r="H72" s="493" t="s">
        <v>494</v>
      </c>
      <c r="I72" s="508"/>
      <c r="J72" s="400" t="s">
        <v>762</v>
      </c>
      <c r="K72" s="658" t="s">
        <v>919</v>
      </c>
      <c r="L72" s="492">
        <f>F67/500.19/40</f>
        <v>34.986705052080211</v>
      </c>
      <c r="M72" s="508"/>
      <c r="N72" s="730" t="str">
        <f>ROUND(L72*R72/3960/(0.7*T72)*745.6/1000,2)&amp;" ("&amp;ROUND(R72/3960/(0.7*T72)*745.6,2)&amp;" W/gpm)"</f>
        <v>1.18 (33.74 W/gpm)</v>
      </c>
      <c r="O72" s="508"/>
      <c r="P72" s="509">
        <v>2</v>
      </c>
      <c r="Q72" s="510" t="s">
        <v>919</v>
      </c>
      <c r="R72" s="731">
        <f>1.5*0.95/L72*3960*0.7</f>
        <v>112.90288679999996</v>
      </c>
      <c r="S72" s="508"/>
      <c r="T72" s="509">
        <v>0.9</v>
      </c>
      <c r="U72" s="494" t="s">
        <v>14</v>
      </c>
      <c r="V72" s="478" t="s">
        <v>14</v>
      </c>
      <c r="W72" s="87"/>
      <c r="X72" s="86"/>
      <c r="Y72" s="87"/>
      <c r="Z72" s="86"/>
      <c r="AA72" s="87"/>
      <c r="AB72" s="86"/>
    </row>
    <row r="73" spans="1:28" s="86" customFormat="1" ht="13.8" x14ac:dyDescent="0.3">
      <c r="A73" s="82"/>
      <c r="B73" s="85"/>
      <c r="C73" s="83"/>
      <c r="E73" s="362"/>
      <c r="G73" s="25"/>
      <c r="I73" s="87"/>
      <c r="K73" s="87"/>
      <c r="M73" s="87"/>
      <c r="O73" s="87"/>
      <c r="Q73" s="87"/>
      <c r="S73" s="87"/>
      <c r="U73" s="369"/>
    </row>
    <row r="74" spans="1:28" s="86" customFormat="1" ht="13.8" x14ac:dyDescent="0.3">
      <c r="A74" s="291"/>
      <c r="B74" s="291" t="s">
        <v>48</v>
      </c>
      <c r="C74" s="292"/>
      <c r="D74" s="290"/>
      <c r="E74" s="292"/>
      <c r="F74" s="290"/>
      <c r="G74" s="293"/>
      <c r="H74" s="290"/>
      <c r="I74" s="292"/>
      <c r="J74" s="290"/>
      <c r="K74" s="292"/>
      <c r="L74" s="290"/>
      <c r="M74" s="290"/>
      <c r="N74" s="290"/>
      <c r="O74" s="292"/>
      <c r="P74" s="290"/>
      <c r="Q74" s="292"/>
      <c r="R74" s="292"/>
      <c r="S74" s="292"/>
      <c r="T74" s="292"/>
      <c r="U74" s="292"/>
      <c r="V74" s="292"/>
    </row>
    <row r="75" spans="1:28" s="82" customFormat="1" ht="13.8" x14ac:dyDescent="0.3">
      <c r="A75" s="24"/>
      <c r="B75" s="24" t="s">
        <v>114</v>
      </c>
      <c r="D75" s="86"/>
      <c r="E75" s="84"/>
      <c r="G75" s="86"/>
      <c r="H75" s="84"/>
      <c r="J75" s="86"/>
      <c r="K75" s="84"/>
      <c r="M75" s="86"/>
      <c r="N75" s="84"/>
      <c r="P75" s="86"/>
      <c r="Q75" s="84"/>
      <c r="S75" s="86"/>
      <c r="T75" s="84"/>
      <c r="U75" s="86"/>
    </row>
    <row r="76" spans="1:28" s="82" customFormat="1" ht="13.8" x14ac:dyDescent="0.3">
      <c r="B76" s="77" t="s">
        <v>212</v>
      </c>
      <c r="D76" s="86"/>
      <c r="E76" s="84"/>
      <c r="G76" s="86"/>
      <c r="H76" s="84"/>
      <c r="J76" s="86"/>
      <c r="K76" s="84"/>
      <c r="M76" s="86"/>
      <c r="N76" s="84"/>
      <c r="P76" s="86"/>
      <c r="Q76" s="84"/>
      <c r="S76" s="86"/>
      <c r="T76" s="84"/>
      <c r="U76" s="86"/>
    </row>
    <row r="77" spans="1:28" s="77" customFormat="1" ht="38.25" customHeight="1" x14ac:dyDescent="0.3">
      <c r="B77" s="108" t="s">
        <v>138</v>
      </c>
      <c r="C77" s="116" t="s">
        <v>190</v>
      </c>
      <c r="D77" s="182" t="s">
        <v>433</v>
      </c>
      <c r="E77" s="393"/>
      <c r="F77" s="110" t="s">
        <v>600</v>
      </c>
      <c r="G77" s="393"/>
      <c r="H77" s="110" t="s">
        <v>123</v>
      </c>
      <c r="I77" s="34"/>
      <c r="J77" s="39"/>
      <c r="L77" s="81"/>
      <c r="M77" s="81"/>
      <c r="N77" s="81"/>
      <c r="O77" s="81"/>
      <c r="P77" s="81"/>
      <c r="Q77" s="81"/>
      <c r="R77" s="81"/>
    </row>
    <row r="78" spans="1:28" s="369" customFormat="1" thickBot="1" x14ac:dyDescent="0.35">
      <c r="B78" s="100" t="s">
        <v>213</v>
      </c>
      <c r="C78" s="117"/>
      <c r="D78" s="215"/>
      <c r="E78" s="100"/>
      <c r="F78" s="101" t="s">
        <v>149</v>
      </c>
      <c r="G78" s="100"/>
      <c r="H78" s="101" t="s">
        <v>150</v>
      </c>
      <c r="I78" s="82"/>
      <c r="J78" s="86"/>
      <c r="K78" s="75"/>
      <c r="L78" s="87"/>
      <c r="M78" s="87"/>
      <c r="N78" s="87"/>
      <c r="O78" s="87"/>
      <c r="P78" s="87"/>
      <c r="Q78" s="87"/>
      <c r="R78" s="63"/>
    </row>
    <row r="79" spans="1:28" s="378" customFormat="1" thickTop="1" x14ac:dyDescent="0.3">
      <c r="B79" s="137" t="s">
        <v>584</v>
      </c>
      <c r="C79" s="378" t="s">
        <v>117</v>
      </c>
      <c r="D79" s="370" t="s">
        <v>435</v>
      </c>
      <c r="E79" s="349"/>
      <c r="F79" s="378">
        <v>0.75</v>
      </c>
      <c r="G79" s="349"/>
      <c r="H79" s="263" t="s">
        <v>130</v>
      </c>
      <c r="J79" s="370"/>
      <c r="K79" s="370"/>
      <c r="L79" s="368"/>
      <c r="M79" s="368"/>
      <c r="N79" s="368"/>
      <c r="O79" s="368"/>
      <c r="P79" s="368"/>
      <c r="Q79" s="368"/>
      <c r="R79" s="370"/>
    </row>
    <row r="80" spans="1:28" s="378" customFormat="1" ht="13.8" x14ac:dyDescent="0.3">
      <c r="B80" s="137" t="s">
        <v>585</v>
      </c>
      <c r="C80" s="378" t="s">
        <v>117</v>
      </c>
      <c r="D80" s="370" t="s">
        <v>435</v>
      </c>
      <c r="E80" s="136"/>
      <c r="F80" s="378">
        <v>0.75</v>
      </c>
      <c r="G80" s="136"/>
      <c r="H80" s="274" t="s">
        <v>130</v>
      </c>
      <c r="J80" s="370"/>
      <c r="K80" s="370"/>
      <c r="L80" s="368"/>
      <c r="M80" s="368"/>
      <c r="N80" s="368"/>
      <c r="O80" s="368"/>
      <c r="P80" s="368"/>
      <c r="Q80" s="368"/>
      <c r="R80" s="370"/>
    </row>
    <row r="81" spans="1:25" s="369" customFormat="1" ht="13.8" x14ac:dyDescent="0.3">
      <c r="B81" s="175" t="s">
        <v>586</v>
      </c>
      <c r="C81" s="269" t="s">
        <v>117</v>
      </c>
      <c r="D81" s="229" t="s">
        <v>792</v>
      </c>
      <c r="E81" s="153"/>
      <c r="F81" s="235">
        <v>1.2</v>
      </c>
      <c r="G81" s="153"/>
      <c r="H81" s="199" t="s">
        <v>130</v>
      </c>
      <c r="I81" s="82"/>
      <c r="J81" s="86"/>
      <c r="K81" s="87"/>
      <c r="L81" s="87"/>
      <c r="M81" s="87"/>
      <c r="N81" s="87"/>
      <c r="O81" s="87"/>
      <c r="P81" s="87"/>
      <c r="Q81" s="370"/>
    </row>
    <row r="84" spans="1:25" x14ac:dyDescent="0.3">
      <c r="A84" s="24"/>
      <c r="B84" s="24" t="s">
        <v>517</v>
      </c>
    </row>
    <row r="85" spans="1:25" ht="41.4" x14ac:dyDescent="0.3">
      <c r="A85" s="82"/>
      <c r="B85" s="108" t="s">
        <v>500</v>
      </c>
      <c r="C85" s="116" t="s">
        <v>501</v>
      </c>
      <c r="D85" s="112" t="s">
        <v>433</v>
      </c>
      <c r="E85" s="125"/>
      <c r="F85" s="142" t="s">
        <v>437</v>
      </c>
      <c r="G85" s="113"/>
      <c r="H85" s="168" t="s">
        <v>137</v>
      </c>
      <c r="I85" s="125"/>
      <c r="J85" s="110" t="s">
        <v>186</v>
      </c>
      <c r="K85" s="125"/>
      <c r="L85" s="142" t="s">
        <v>510</v>
      </c>
      <c r="M85" s="113"/>
      <c r="N85" s="113" t="s">
        <v>509</v>
      </c>
      <c r="O85" s="207"/>
      <c r="P85" s="142" t="s">
        <v>508</v>
      </c>
      <c r="Q85" s="125"/>
      <c r="R85" s="142" t="s">
        <v>486</v>
      </c>
      <c r="S85" s="125"/>
      <c r="T85" s="142" t="s">
        <v>534</v>
      </c>
    </row>
    <row r="86" spans="1:25" ht="15" thickBot="1" x14ac:dyDescent="0.35">
      <c r="A86" s="82"/>
      <c r="B86" s="173" t="s">
        <v>259</v>
      </c>
      <c r="C86" s="171" t="s">
        <v>258</v>
      </c>
      <c r="D86" s="376"/>
      <c r="E86" s="178"/>
      <c r="F86" s="174"/>
      <c r="G86" s="172"/>
      <c r="H86" s="174" t="s">
        <v>260</v>
      </c>
      <c r="I86" s="178"/>
      <c r="J86" s="174" t="s">
        <v>261</v>
      </c>
      <c r="K86" s="208"/>
      <c r="L86" s="174" t="s">
        <v>646</v>
      </c>
      <c r="M86" s="205"/>
      <c r="N86" s="171" t="s">
        <v>647</v>
      </c>
      <c r="O86" s="208"/>
      <c r="P86" s="174" t="s">
        <v>1387</v>
      </c>
      <c r="Q86" s="230"/>
      <c r="R86" s="377"/>
      <c r="S86" s="230"/>
      <c r="T86" s="377"/>
    </row>
    <row r="87" spans="1:25" s="364" customFormat="1" thickTop="1" x14ac:dyDescent="0.3">
      <c r="A87" s="378"/>
      <c r="B87" s="135" t="s">
        <v>568</v>
      </c>
      <c r="C87" s="378" t="s">
        <v>554</v>
      </c>
      <c r="D87" s="378" t="s">
        <v>435</v>
      </c>
      <c r="E87" s="131"/>
      <c r="F87" s="371" t="s">
        <v>567</v>
      </c>
      <c r="G87" s="418"/>
      <c r="H87" s="378" t="s">
        <v>449</v>
      </c>
      <c r="I87" s="418"/>
      <c r="J87" s="378" t="s">
        <v>187</v>
      </c>
      <c r="K87" s="418"/>
      <c r="L87" s="378">
        <v>55</v>
      </c>
      <c r="M87" s="418"/>
      <c r="N87" s="378">
        <v>60</v>
      </c>
      <c r="O87" s="418"/>
      <c r="P87" s="263" t="s">
        <v>930</v>
      </c>
      <c r="Q87" s="418"/>
      <c r="R87" s="206">
        <v>60</v>
      </c>
      <c r="S87" s="418"/>
      <c r="T87" s="206">
        <v>55</v>
      </c>
      <c r="U87" s="369"/>
    </row>
    <row r="88" spans="1:25" s="364" customFormat="1" ht="13.8" x14ac:dyDescent="0.3">
      <c r="A88" s="378"/>
      <c r="B88" s="135" t="s">
        <v>569</v>
      </c>
      <c r="C88" s="378" t="s">
        <v>565</v>
      </c>
      <c r="D88" s="378" t="s">
        <v>435</v>
      </c>
      <c r="E88" s="131"/>
      <c r="F88" s="371" t="s">
        <v>571</v>
      </c>
      <c r="G88" s="419"/>
      <c r="H88" s="378" t="s">
        <v>449</v>
      </c>
      <c r="I88" s="419"/>
      <c r="J88" s="378" t="s">
        <v>187</v>
      </c>
      <c r="K88" s="419"/>
      <c r="L88" s="378">
        <v>55</v>
      </c>
      <c r="M88" s="419"/>
      <c r="N88" s="378">
        <v>60</v>
      </c>
      <c r="O88" s="419"/>
      <c r="P88" s="197" t="s">
        <v>930</v>
      </c>
      <c r="Q88" s="419"/>
      <c r="R88" s="206">
        <v>60</v>
      </c>
      <c r="S88" s="419"/>
      <c r="T88" s="206">
        <v>55</v>
      </c>
      <c r="U88" s="369"/>
    </row>
    <row r="89" spans="1:25" x14ac:dyDescent="0.3">
      <c r="A89" s="82"/>
      <c r="B89" s="175" t="s">
        <v>570</v>
      </c>
      <c r="C89" s="150" t="s">
        <v>566</v>
      </c>
      <c r="D89" s="199" t="s">
        <v>435</v>
      </c>
      <c r="E89" s="179"/>
      <c r="F89" s="150" t="s">
        <v>572</v>
      </c>
      <c r="G89" s="153"/>
      <c r="H89" s="150" t="s">
        <v>449</v>
      </c>
      <c r="I89" s="153"/>
      <c r="J89" s="155" t="s">
        <v>187</v>
      </c>
      <c r="K89" s="153"/>
      <c r="L89" s="209">
        <v>55</v>
      </c>
      <c r="M89" s="153"/>
      <c r="N89" s="151">
        <v>60</v>
      </c>
      <c r="O89" s="153"/>
      <c r="P89" s="209" t="s">
        <v>930</v>
      </c>
      <c r="Q89" s="153"/>
      <c r="R89" s="209">
        <v>60</v>
      </c>
      <c r="S89" s="153"/>
      <c r="T89" s="209">
        <v>55</v>
      </c>
    </row>
    <row r="90" spans="1:25" x14ac:dyDescent="0.3">
      <c r="A90" s="82"/>
      <c r="B90" s="77"/>
      <c r="C90" s="75"/>
      <c r="D90" s="29"/>
      <c r="E90" s="369"/>
      <c r="F90" s="369"/>
      <c r="G90" s="369"/>
      <c r="H90" s="369"/>
      <c r="J90" s="369"/>
      <c r="K90" s="84"/>
      <c r="L90" s="82"/>
      <c r="N90" s="369"/>
      <c r="P90" s="369"/>
      <c r="R90" s="369"/>
      <c r="T90" s="369"/>
    </row>
    <row r="91" spans="1:25" x14ac:dyDescent="0.3">
      <c r="A91" s="82"/>
      <c r="B91" s="77"/>
      <c r="C91" s="75"/>
      <c r="D91" s="29"/>
      <c r="E91" s="369"/>
      <c r="F91" s="369"/>
      <c r="G91" s="369"/>
      <c r="H91" s="369"/>
      <c r="J91" s="369"/>
      <c r="K91" s="84"/>
      <c r="L91" s="82"/>
      <c r="N91" s="369"/>
      <c r="P91" s="369"/>
      <c r="R91" s="369"/>
      <c r="T91" s="369"/>
      <c r="V91" s="369"/>
      <c r="W91" s="369"/>
      <c r="X91" s="369"/>
      <c r="Y91" s="369"/>
    </row>
    <row r="92" spans="1:25" ht="41.4" x14ac:dyDescent="0.3">
      <c r="A92" s="82"/>
      <c r="B92" s="108" t="s">
        <v>501</v>
      </c>
      <c r="C92" s="116" t="s">
        <v>502</v>
      </c>
      <c r="D92" s="112" t="s">
        <v>433</v>
      </c>
      <c r="E92" s="177"/>
      <c r="F92" s="110" t="s">
        <v>137</v>
      </c>
      <c r="G92" s="170"/>
      <c r="H92" s="168" t="s">
        <v>503</v>
      </c>
      <c r="I92" s="189"/>
      <c r="J92" s="110" t="s">
        <v>204</v>
      </c>
      <c r="K92" s="182"/>
      <c r="L92" s="110" t="s">
        <v>1053</v>
      </c>
      <c r="M92" s="442"/>
      <c r="N92" s="110" t="s">
        <v>1054</v>
      </c>
      <c r="O92" s="441"/>
      <c r="P92" s="110" t="s">
        <v>1055</v>
      </c>
      <c r="R92" s="369"/>
      <c r="T92" s="369"/>
      <c r="V92" s="369"/>
      <c r="W92" s="369"/>
      <c r="X92" s="369"/>
      <c r="Y92" s="369"/>
    </row>
    <row r="93" spans="1:25" ht="15" thickBot="1" x14ac:dyDescent="0.35">
      <c r="A93" s="82"/>
      <c r="B93" s="173" t="s">
        <v>280</v>
      </c>
      <c r="C93" s="171" t="s">
        <v>262</v>
      </c>
      <c r="D93" s="376"/>
      <c r="E93" s="178"/>
      <c r="F93" s="174" t="s">
        <v>264</v>
      </c>
      <c r="G93" s="172"/>
      <c r="H93" s="171" t="s">
        <v>933</v>
      </c>
      <c r="I93" s="178"/>
      <c r="J93" s="174" t="s">
        <v>263</v>
      </c>
      <c r="K93" s="184"/>
      <c r="L93" s="171" t="s">
        <v>629</v>
      </c>
      <c r="M93" s="173"/>
      <c r="N93" s="174" t="s">
        <v>630</v>
      </c>
      <c r="O93" s="171"/>
      <c r="P93" s="174" t="s">
        <v>631</v>
      </c>
      <c r="R93" s="369"/>
      <c r="T93" s="369"/>
      <c r="V93" s="369"/>
      <c r="W93" s="369"/>
      <c r="X93" s="369"/>
      <c r="Y93" s="369"/>
    </row>
    <row r="94" spans="1:25" s="363" customFormat="1" ht="15" thickTop="1" x14ac:dyDescent="0.3">
      <c r="A94" s="378"/>
      <c r="B94" s="135" t="s">
        <v>554</v>
      </c>
      <c r="C94" s="378" t="s">
        <v>558</v>
      </c>
      <c r="D94" s="378" t="s">
        <v>435</v>
      </c>
      <c r="E94" s="418"/>
      <c r="F94" s="378" t="s">
        <v>173</v>
      </c>
      <c r="G94" s="418"/>
      <c r="H94" s="378">
        <v>9.8000000000000007</v>
      </c>
      <c r="I94" s="262"/>
      <c r="J94" s="378">
        <v>1.1499999999999999</v>
      </c>
      <c r="K94" s="418"/>
      <c r="L94" s="378" t="s">
        <v>454</v>
      </c>
      <c r="M94" s="418"/>
      <c r="N94" s="378" t="s">
        <v>530</v>
      </c>
      <c r="O94" s="418"/>
      <c r="P94" s="263" t="s">
        <v>673</v>
      </c>
      <c r="Q94" s="378"/>
      <c r="R94" s="378"/>
      <c r="S94" s="378"/>
      <c r="T94" s="378"/>
      <c r="U94" s="378"/>
      <c r="V94" s="378"/>
      <c r="W94" s="378"/>
      <c r="X94" s="378"/>
      <c r="Y94" s="378"/>
    </row>
    <row r="95" spans="1:25" s="363" customFormat="1" x14ac:dyDescent="0.3">
      <c r="A95" s="378"/>
      <c r="B95" s="135" t="s">
        <v>565</v>
      </c>
      <c r="C95" s="378" t="s">
        <v>573</v>
      </c>
      <c r="D95" s="378" t="s">
        <v>435</v>
      </c>
      <c r="E95" s="419"/>
      <c r="F95" s="378" t="s">
        <v>173</v>
      </c>
      <c r="G95" s="419"/>
      <c r="H95" s="378">
        <v>9.8000000000000007</v>
      </c>
      <c r="I95" s="268"/>
      <c r="J95" s="378">
        <v>1.1499999999999999</v>
      </c>
      <c r="K95" s="419"/>
      <c r="L95" s="378" t="s">
        <v>454</v>
      </c>
      <c r="M95" s="419"/>
      <c r="N95" s="378" t="s">
        <v>530</v>
      </c>
      <c r="O95" s="419"/>
      <c r="P95" s="197" t="s">
        <v>673</v>
      </c>
      <c r="Q95" s="378"/>
      <c r="R95" s="378"/>
      <c r="S95" s="378"/>
      <c r="T95" s="378"/>
      <c r="U95" s="378"/>
      <c r="V95" s="378"/>
      <c r="W95" s="378"/>
      <c r="X95" s="378"/>
      <c r="Y95" s="378"/>
    </row>
    <row r="96" spans="1:25" x14ac:dyDescent="0.3">
      <c r="A96" s="82"/>
      <c r="B96" s="175" t="s">
        <v>566</v>
      </c>
      <c r="C96" s="150" t="s">
        <v>574</v>
      </c>
      <c r="D96" s="199" t="s">
        <v>435</v>
      </c>
      <c r="E96" s="153"/>
      <c r="F96" s="150" t="s">
        <v>173</v>
      </c>
      <c r="G96" s="153"/>
      <c r="H96" s="252">
        <v>9.8000000000000007</v>
      </c>
      <c r="I96" s="153"/>
      <c r="J96" s="252">
        <v>1.1499999999999999</v>
      </c>
      <c r="K96" s="153"/>
      <c r="L96" s="209" t="s">
        <v>454</v>
      </c>
      <c r="M96" s="169"/>
      <c r="N96" s="151" t="s">
        <v>530</v>
      </c>
      <c r="O96" s="153"/>
      <c r="P96" s="199" t="s">
        <v>673</v>
      </c>
      <c r="R96" s="369"/>
      <c r="T96" s="369"/>
      <c r="V96" s="369"/>
      <c r="W96" s="369"/>
      <c r="X96" s="369"/>
      <c r="Y96" s="369"/>
    </row>
    <row r="97" spans="1:25" x14ac:dyDescent="0.3">
      <c r="A97" s="82"/>
      <c r="B97" s="77"/>
      <c r="C97" s="75"/>
      <c r="D97" s="82"/>
      <c r="E97" s="84"/>
      <c r="F97" s="82"/>
      <c r="G97" s="84"/>
      <c r="H97" s="82"/>
      <c r="I97" s="84"/>
      <c r="J97" s="82"/>
      <c r="K97" s="29"/>
      <c r="L97" s="369"/>
      <c r="N97" s="369"/>
      <c r="P97" s="369"/>
      <c r="R97" s="369"/>
      <c r="T97" s="369"/>
      <c r="V97" s="369"/>
      <c r="W97" s="369"/>
      <c r="X97" s="369"/>
      <c r="Y97" s="369"/>
    </row>
    <row r="98" spans="1:25" x14ac:dyDescent="0.3">
      <c r="A98" s="82"/>
      <c r="B98" s="77"/>
      <c r="C98" s="75"/>
      <c r="D98" s="82"/>
      <c r="E98" s="84"/>
      <c r="F98" s="82"/>
      <c r="G98" s="84"/>
      <c r="H98" s="82"/>
      <c r="I98" s="84"/>
      <c r="J98" s="82"/>
      <c r="K98" s="29"/>
      <c r="L98" s="369"/>
      <c r="N98" s="369"/>
      <c r="P98" s="369"/>
      <c r="R98" s="369"/>
      <c r="T98" s="369"/>
    </row>
    <row r="99" spans="1:25" x14ac:dyDescent="0.3">
      <c r="A99" s="82"/>
      <c r="B99" s="108" t="s">
        <v>501</v>
      </c>
      <c r="C99" s="116" t="s">
        <v>504</v>
      </c>
      <c r="D99" s="112" t="s">
        <v>433</v>
      </c>
      <c r="E99" s="177"/>
      <c r="F99" s="110" t="s">
        <v>474</v>
      </c>
      <c r="G99" s="369"/>
      <c r="H99" s="85"/>
      <c r="L99" s="369"/>
      <c r="N99" s="369"/>
      <c r="P99" s="369"/>
      <c r="R99" s="369"/>
      <c r="S99" s="397"/>
      <c r="T99" s="397"/>
    </row>
    <row r="100" spans="1:25" ht="15" thickBot="1" x14ac:dyDescent="0.35">
      <c r="A100" s="82"/>
      <c r="B100" s="173" t="s">
        <v>282</v>
      </c>
      <c r="C100" s="171" t="s">
        <v>265</v>
      </c>
      <c r="D100" s="171"/>
      <c r="E100" s="178"/>
      <c r="F100" s="174" t="s">
        <v>266</v>
      </c>
      <c r="G100" s="369"/>
      <c r="H100" s="85"/>
      <c r="L100" s="369"/>
      <c r="N100" s="369"/>
      <c r="P100" s="369"/>
      <c r="R100" s="369"/>
      <c r="S100" s="397"/>
      <c r="T100" s="397"/>
    </row>
    <row r="101" spans="1:25" s="363" customFormat="1" ht="15" thickTop="1" x14ac:dyDescent="0.3">
      <c r="A101" s="378"/>
      <c r="B101" s="135" t="s">
        <v>559</v>
      </c>
      <c r="C101" s="378" t="s">
        <v>559</v>
      </c>
      <c r="D101" s="378" t="s">
        <v>435</v>
      </c>
      <c r="E101" s="416"/>
      <c r="F101" s="274" t="s">
        <v>562</v>
      </c>
      <c r="G101" s="369"/>
      <c r="H101" s="85"/>
      <c r="I101" s="369"/>
      <c r="J101" s="85"/>
      <c r="K101" s="378"/>
      <c r="L101" s="378"/>
      <c r="M101" s="378"/>
      <c r="N101" s="378"/>
      <c r="O101" s="378"/>
      <c r="P101" s="378"/>
      <c r="Q101" s="378"/>
      <c r="R101" s="378"/>
      <c r="U101" s="369"/>
    </row>
    <row r="102" spans="1:25" s="363" customFormat="1" x14ac:dyDescent="0.3">
      <c r="A102" s="378"/>
      <c r="B102" s="135" t="s">
        <v>575</v>
      </c>
      <c r="C102" s="378" t="s">
        <v>575</v>
      </c>
      <c r="D102" s="378" t="s">
        <v>435</v>
      </c>
      <c r="E102" s="416"/>
      <c r="F102" s="274" t="s">
        <v>562</v>
      </c>
      <c r="G102" s="369"/>
      <c r="H102" s="85"/>
      <c r="I102" s="369"/>
      <c r="J102" s="85"/>
      <c r="K102" s="378"/>
      <c r="L102" s="378"/>
      <c r="M102" s="378"/>
      <c r="N102" s="378"/>
      <c r="O102" s="378"/>
      <c r="P102" s="378"/>
      <c r="Q102" s="378"/>
      <c r="R102" s="378"/>
      <c r="U102" s="369"/>
    </row>
    <row r="103" spans="1:25" s="363" customFormat="1" x14ac:dyDescent="0.3">
      <c r="A103" s="378"/>
      <c r="B103" s="135" t="s">
        <v>576</v>
      </c>
      <c r="C103" s="378" t="s">
        <v>576</v>
      </c>
      <c r="D103" s="378" t="s">
        <v>435</v>
      </c>
      <c r="E103" s="416"/>
      <c r="F103" s="274" t="s">
        <v>562</v>
      </c>
      <c r="G103" s="369"/>
      <c r="H103" s="85"/>
      <c r="I103" s="369"/>
      <c r="J103" s="85"/>
      <c r="K103" s="378"/>
      <c r="L103" s="378"/>
      <c r="M103" s="378"/>
      <c r="N103" s="378"/>
      <c r="O103" s="378"/>
      <c r="P103" s="378"/>
      <c r="Q103" s="378"/>
      <c r="R103" s="378"/>
      <c r="U103" s="369"/>
    </row>
    <row r="104" spans="1:25" x14ac:dyDescent="0.3">
      <c r="A104" s="82"/>
      <c r="B104" s="175" t="s">
        <v>582</v>
      </c>
      <c r="C104" s="150" t="s">
        <v>583</v>
      </c>
      <c r="D104" s="181" t="s">
        <v>435</v>
      </c>
      <c r="E104" s="417"/>
      <c r="F104" s="193" t="s">
        <v>562</v>
      </c>
      <c r="G104" s="369"/>
      <c r="H104" s="85"/>
      <c r="L104" s="369"/>
      <c r="N104" s="369"/>
      <c r="P104" s="369"/>
      <c r="R104" s="369"/>
      <c r="S104" s="397"/>
      <c r="T104" s="397"/>
    </row>
    <row r="105" spans="1:25" x14ac:dyDescent="0.3">
      <c r="A105" s="82"/>
      <c r="B105" s="384"/>
      <c r="C105" s="384"/>
      <c r="D105" s="397"/>
      <c r="E105" s="362"/>
      <c r="F105" s="397"/>
      <c r="G105" s="362"/>
      <c r="H105" s="397"/>
      <c r="I105" s="362"/>
      <c r="J105" s="397"/>
      <c r="K105" s="362"/>
      <c r="L105" s="397"/>
      <c r="N105" s="369"/>
      <c r="P105" s="369"/>
      <c r="R105" s="369"/>
      <c r="T105" s="369"/>
    </row>
    <row r="106" spans="1:25" x14ac:dyDescent="0.3">
      <c r="A106" s="82"/>
      <c r="B106" s="384"/>
      <c r="C106" s="384"/>
      <c r="D106" s="397"/>
      <c r="E106" s="362"/>
      <c r="F106" s="397"/>
      <c r="G106" s="362"/>
      <c r="H106" s="397"/>
      <c r="I106" s="362"/>
      <c r="J106" s="397"/>
      <c r="K106" s="362"/>
      <c r="L106" s="397"/>
      <c r="N106" s="369"/>
      <c r="P106" s="369"/>
      <c r="R106" s="369"/>
      <c r="T106" s="369"/>
    </row>
    <row r="107" spans="1:25" ht="27.6" x14ac:dyDescent="0.3">
      <c r="A107" s="82"/>
      <c r="B107" s="189" t="s">
        <v>501</v>
      </c>
      <c r="C107" s="113" t="s">
        <v>506</v>
      </c>
      <c r="D107" s="113" t="s">
        <v>433</v>
      </c>
      <c r="E107" s="125"/>
      <c r="F107" s="110" t="s">
        <v>184</v>
      </c>
      <c r="G107" s="113"/>
      <c r="H107" s="168" t="s">
        <v>277</v>
      </c>
      <c r="I107" s="125"/>
      <c r="J107" s="110" t="s">
        <v>511</v>
      </c>
      <c r="K107" s="113"/>
      <c r="L107" s="168" t="s">
        <v>183</v>
      </c>
      <c r="M107" s="189"/>
      <c r="N107" s="142" t="s">
        <v>205</v>
      </c>
      <c r="O107" s="168"/>
      <c r="P107" s="168" t="s">
        <v>507</v>
      </c>
      <c r="Q107" s="189"/>
      <c r="R107" s="110" t="s">
        <v>206</v>
      </c>
      <c r="S107" s="189"/>
      <c r="T107" s="110" t="s">
        <v>182</v>
      </c>
      <c r="U107" s="189"/>
      <c r="V107" s="110" t="s">
        <v>1398</v>
      </c>
    </row>
    <row r="108" spans="1:25" ht="15" thickBot="1" x14ac:dyDescent="0.35">
      <c r="A108" s="82"/>
      <c r="B108" s="173" t="s">
        <v>282</v>
      </c>
      <c r="C108" s="171" t="s">
        <v>269</v>
      </c>
      <c r="D108" s="171"/>
      <c r="E108" s="178"/>
      <c r="F108" s="174" t="s">
        <v>270</v>
      </c>
      <c r="G108" s="172"/>
      <c r="H108" s="171" t="s">
        <v>271</v>
      </c>
      <c r="I108" s="178"/>
      <c r="J108" s="174"/>
      <c r="K108" s="172"/>
      <c r="L108" s="171" t="s">
        <v>272</v>
      </c>
      <c r="M108" s="178"/>
      <c r="N108" s="174" t="s">
        <v>273</v>
      </c>
      <c r="O108" s="172"/>
      <c r="P108" s="171" t="s">
        <v>274</v>
      </c>
      <c r="Q108" s="178"/>
      <c r="R108" s="174" t="s">
        <v>275</v>
      </c>
      <c r="S108" s="178"/>
      <c r="T108" s="174" t="s">
        <v>276</v>
      </c>
      <c r="U108" s="173"/>
      <c r="V108" s="174" t="s">
        <v>774</v>
      </c>
    </row>
    <row r="109" spans="1:25" s="363" customFormat="1" ht="28.2" thickTop="1" x14ac:dyDescent="0.3">
      <c r="A109" s="378"/>
      <c r="B109" s="135" t="s">
        <v>554</v>
      </c>
      <c r="C109" s="378" t="s">
        <v>563</v>
      </c>
      <c r="D109" s="378" t="s">
        <v>435</v>
      </c>
      <c r="E109" s="418"/>
      <c r="F109" s="378" t="s">
        <v>482</v>
      </c>
      <c r="G109" s="418"/>
      <c r="H109" s="378" t="s">
        <v>564</v>
      </c>
      <c r="I109" s="361" t="s">
        <v>919</v>
      </c>
      <c r="J109" s="90">
        <v>14319.8</v>
      </c>
      <c r="K109" s="361" t="s">
        <v>919</v>
      </c>
      <c r="L109" s="529">
        <f t="shared" ref="L109:L114" si="0">(J109*P109)/(6353*N109)</f>
        <v>14.54207562594253</v>
      </c>
      <c r="M109" s="418"/>
      <c r="N109" s="677">
        <f>IF(J109&lt;2000,0.5,IF(J109&lt;10000,0.6,0.62))</f>
        <v>0.62</v>
      </c>
      <c r="O109" s="418"/>
      <c r="P109" s="807">
        <v>4</v>
      </c>
      <c r="Q109" s="418"/>
      <c r="R109" s="803">
        <v>15</v>
      </c>
      <c r="S109" s="418"/>
      <c r="T109" s="835">
        <v>0.92400000000000004</v>
      </c>
      <c r="U109" s="897"/>
      <c r="V109" s="535" t="s">
        <v>974</v>
      </c>
    </row>
    <row r="110" spans="1:25" s="363" customFormat="1" ht="27.6" x14ac:dyDescent="0.3">
      <c r="A110" s="378"/>
      <c r="B110" s="135" t="s">
        <v>565</v>
      </c>
      <c r="C110" s="378" t="s">
        <v>577</v>
      </c>
      <c r="D110" s="378" t="s">
        <v>435</v>
      </c>
      <c r="E110" s="419"/>
      <c r="F110" s="378" t="s">
        <v>482</v>
      </c>
      <c r="G110" s="419"/>
      <c r="H110" s="378" t="s">
        <v>564</v>
      </c>
      <c r="I110" s="395" t="s">
        <v>919</v>
      </c>
      <c r="J110" s="90">
        <v>14805.2</v>
      </c>
      <c r="K110" s="395" t="s">
        <v>919</v>
      </c>
      <c r="L110" s="443">
        <f t="shared" si="0"/>
        <v>15.035010129834522</v>
      </c>
      <c r="M110" s="418"/>
      <c r="N110" s="677">
        <f>IF(J110&lt;2000,0.5,IF(J110&lt;10000,0.6,0.62))</f>
        <v>0.62</v>
      </c>
      <c r="O110" s="418"/>
      <c r="P110" s="807">
        <v>4</v>
      </c>
      <c r="Q110" s="418"/>
      <c r="R110" s="805">
        <v>20</v>
      </c>
      <c r="S110" s="418"/>
      <c r="T110" s="837">
        <v>0.93</v>
      </c>
      <c r="U110" s="899"/>
      <c r="V110" s="535" t="s">
        <v>974</v>
      </c>
    </row>
    <row r="111" spans="1:25" s="363" customFormat="1" ht="27.6" x14ac:dyDescent="0.3">
      <c r="A111" s="378"/>
      <c r="B111" s="135" t="s">
        <v>566</v>
      </c>
      <c r="C111" s="378" t="s">
        <v>578</v>
      </c>
      <c r="D111" s="378" t="s">
        <v>435</v>
      </c>
      <c r="E111" s="419"/>
      <c r="F111" s="378" t="s">
        <v>482</v>
      </c>
      <c r="G111" s="419"/>
      <c r="H111" s="378" t="s">
        <v>564</v>
      </c>
      <c r="I111" s="250" t="s">
        <v>919</v>
      </c>
      <c r="J111" s="90">
        <v>17504.7</v>
      </c>
      <c r="K111" s="250" t="s">
        <v>919</v>
      </c>
      <c r="L111" s="732">
        <f t="shared" si="0"/>
        <v>17.776412464520192</v>
      </c>
      <c r="M111" s="419"/>
      <c r="N111" s="677">
        <f>IF(J111&lt;2000,0.5,IF(J111&lt;10000,0.6,0.62))</f>
        <v>0.62</v>
      </c>
      <c r="O111" s="419"/>
      <c r="P111" s="807">
        <v>4</v>
      </c>
      <c r="Q111" s="419"/>
      <c r="R111" s="805">
        <v>20</v>
      </c>
      <c r="S111" s="268"/>
      <c r="T111" s="837">
        <v>0.93</v>
      </c>
      <c r="U111" s="893"/>
      <c r="V111" s="535" t="s">
        <v>974</v>
      </c>
    </row>
    <row r="112" spans="1:25" s="363" customFormat="1" x14ac:dyDescent="0.3">
      <c r="A112" s="378"/>
      <c r="B112" s="135" t="s">
        <v>554</v>
      </c>
      <c r="C112" s="378" t="s">
        <v>791</v>
      </c>
      <c r="D112" s="378" t="s">
        <v>435</v>
      </c>
      <c r="E112" s="419"/>
      <c r="F112" s="378" t="s">
        <v>482</v>
      </c>
      <c r="G112" s="419"/>
      <c r="H112" s="378" t="s">
        <v>279</v>
      </c>
      <c r="I112" s="250" t="s">
        <v>919</v>
      </c>
      <c r="J112" s="90">
        <v>13426</v>
      </c>
      <c r="K112" s="250" t="s">
        <v>919</v>
      </c>
      <c r="L112" s="443">
        <f t="shared" si="0"/>
        <v>4.2266645679206674</v>
      </c>
      <c r="M112" s="419"/>
      <c r="N112" s="653">
        <f>IF(J112&lt;10000,0.4,0.5)</f>
        <v>0.5</v>
      </c>
      <c r="O112" s="419"/>
      <c r="P112" s="653">
        <f>IF(J112&lt;10000,0.75,1)</f>
        <v>1</v>
      </c>
      <c r="Q112" s="419"/>
      <c r="R112" s="805">
        <v>5</v>
      </c>
      <c r="S112" s="419"/>
      <c r="T112" s="837">
        <v>0.89500000000000002</v>
      </c>
      <c r="U112" s="893"/>
      <c r="V112" s="535" t="s">
        <v>976</v>
      </c>
    </row>
    <row r="113" spans="1:22" s="363" customFormat="1" x14ac:dyDescent="0.3">
      <c r="A113" s="378"/>
      <c r="B113" s="135" t="s">
        <v>565</v>
      </c>
      <c r="C113" s="378" t="s">
        <v>793</v>
      </c>
      <c r="D113" s="378" t="s">
        <v>435</v>
      </c>
      <c r="E113" s="419"/>
      <c r="F113" s="378" t="s">
        <v>482</v>
      </c>
      <c r="G113" s="419"/>
      <c r="H113" s="378" t="s">
        <v>564</v>
      </c>
      <c r="I113" s="250" t="s">
        <v>919</v>
      </c>
      <c r="J113" s="90">
        <v>13911.4</v>
      </c>
      <c r="K113" s="250" t="s">
        <v>919</v>
      </c>
      <c r="L113" s="443">
        <f t="shared" si="0"/>
        <v>4.3794742641271842</v>
      </c>
      <c r="M113" s="419"/>
      <c r="N113" s="653">
        <f t="shared" ref="N113:N114" si="1">IF(J113&lt;10000,0.4,0.5)</f>
        <v>0.5</v>
      </c>
      <c r="O113" s="419"/>
      <c r="P113" s="653">
        <f t="shared" ref="P113:P114" si="2">IF(J113&lt;10000,0.75,1)</f>
        <v>1</v>
      </c>
      <c r="Q113" s="419"/>
      <c r="R113" s="805">
        <v>5</v>
      </c>
      <c r="S113" s="419"/>
      <c r="T113" s="837">
        <v>0.89500000000000002</v>
      </c>
      <c r="U113" s="893"/>
      <c r="V113" s="535" t="s">
        <v>976</v>
      </c>
    </row>
    <row r="114" spans="1:22" x14ac:dyDescent="0.3">
      <c r="A114" s="82"/>
      <c r="B114" s="284" t="s">
        <v>566</v>
      </c>
      <c r="C114" s="160" t="s">
        <v>794</v>
      </c>
      <c r="D114" s="199" t="s">
        <v>435</v>
      </c>
      <c r="E114" s="417"/>
      <c r="F114" s="270" t="s">
        <v>482</v>
      </c>
      <c r="G114" s="417"/>
      <c r="H114" s="160" t="s">
        <v>564</v>
      </c>
      <c r="I114" s="204" t="s">
        <v>919</v>
      </c>
      <c r="J114" s="195">
        <v>16610.900000000001</v>
      </c>
      <c r="K114" s="204" t="s">
        <v>919</v>
      </c>
      <c r="L114" s="444">
        <f t="shared" si="0"/>
        <v>5.2293089878797421</v>
      </c>
      <c r="M114" s="417"/>
      <c r="N114" s="675">
        <f t="shared" si="1"/>
        <v>0.5</v>
      </c>
      <c r="O114" s="417"/>
      <c r="P114" s="675">
        <f t="shared" si="2"/>
        <v>1</v>
      </c>
      <c r="Q114" s="417"/>
      <c r="R114" s="808">
        <v>7.5</v>
      </c>
      <c r="S114" s="417"/>
      <c r="T114" s="839">
        <v>0.91700000000000004</v>
      </c>
      <c r="U114" s="891"/>
      <c r="V114" s="929" t="s">
        <v>976</v>
      </c>
    </row>
    <row r="115" spans="1:22" x14ac:dyDescent="0.3">
      <c r="A115" s="82"/>
      <c r="B115" s="82"/>
      <c r="C115" s="384"/>
      <c r="D115" s="82"/>
      <c r="E115" s="82"/>
      <c r="F115" s="82"/>
      <c r="G115" s="82"/>
      <c r="H115" s="82"/>
      <c r="I115" s="82"/>
      <c r="J115" s="82"/>
      <c r="K115" s="82"/>
      <c r="L115" s="82"/>
      <c r="M115" s="82"/>
      <c r="N115" s="82"/>
      <c r="O115" s="82"/>
      <c r="P115" s="82"/>
      <c r="Q115" s="82"/>
      <c r="R115" s="82"/>
      <c r="S115" s="82"/>
      <c r="T115" s="82"/>
    </row>
    <row r="116" spans="1:22" x14ac:dyDescent="0.3">
      <c r="A116" s="397"/>
      <c r="B116" s="397"/>
      <c r="C116" s="397"/>
      <c r="D116" s="397"/>
      <c r="E116" s="362"/>
      <c r="F116" s="397"/>
      <c r="G116" s="362"/>
      <c r="H116" s="397"/>
      <c r="I116" s="362"/>
      <c r="J116" s="397"/>
      <c r="K116" s="397"/>
      <c r="L116" s="397"/>
      <c r="M116" s="362"/>
      <c r="N116" s="397"/>
      <c r="O116" s="121"/>
      <c r="P116" s="111"/>
      <c r="Q116" s="82"/>
      <c r="R116" s="82"/>
      <c r="S116" s="82"/>
      <c r="T116" s="82"/>
    </row>
    <row r="117" spans="1:22" x14ac:dyDescent="0.3">
      <c r="A117" s="397"/>
      <c r="B117" s="108" t="s">
        <v>501</v>
      </c>
      <c r="C117" s="113"/>
      <c r="D117" s="142" t="s">
        <v>433</v>
      </c>
      <c r="E117" s="114"/>
      <c r="F117" s="142" t="s">
        <v>538</v>
      </c>
      <c r="G117" s="125"/>
      <c r="H117" s="142" t="s">
        <v>295</v>
      </c>
      <c r="I117" s="125"/>
      <c r="J117" s="142" t="s">
        <v>972</v>
      </c>
      <c r="K117" s="125"/>
      <c r="L117" s="142" t="s">
        <v>973</v>
      </c>
      <c r="M117" s="362"/>
      <c r="N117" s="397"/>
      <c r="O117" s="121"/>
      <c r="P117" s="111"/>
      <c r="Q117" s="82"/>
      <c r="R117" s="82"/>
      <c r="S117" s="82"/>
      <c r="T117" s="82"/>
    </row>
    <row r="118" spans="1:22" ht="15" thickBot="1" x14ac:dyDescent="0.35">
      <c r="A118" s="397"/>
      <c r="B118" s="173" t="s">
        <v>282</v>
      </c>
      <c r="C118" s="171"/>
      <c r="D118" s="174"/>
      <c r="E118" s="205"/>
      <c r="F118" s="174" t="s">
        <v>289</v>
      </c>
      <c r="G118" s="208"/>
      <c r="H118" s="174" t="s">
        <v>290</v>
      </c>
      <c r="I118" s="208"/>
      <c r="J118" s="174" t="s">
        <v>1077</v>
      </c>
      <c r="K118" s="208"/>
      <c r="L118" s="174" t="s">
        <v>1078</v>
      </c>
      <c r="M118" s="362"/>
      <c r="N118" s="397"/>
      <c r="O118" s="121"/>
      <c r="P118" s="111"/>
      <c r="Q118" s="82"/>
      <c r="R118" s="82"/>
      <c r="S118" s="82"/>
      <c r="T118" s="82"/>
    </row>
    <row r="119" spans="1:22" ht="15" thickTop="1" x14ac:dyDescent="0.3">
      <c r="A119" s="397"/>
      <c r="B119" s="135" t="s">
        <v>554</v>
      </c>
      <c r="C119" s="378"/>
      <c r="D119" s="378" t="s">
        <v>435</v>
      </c>
      <c r="E119" s="418"/>
      <c r="F119" s="378" t="s">
        <v>539</v>
      </c>
      <c r="G119" s="418"/>
      <c r="H119" s="263" t="s">
        <v>480</v>
      </c>
      <c r="I119" s="409" t="s">
        <v>14</v>
      </c>
      <c r="J119" s="410" t="s">
        <v>14</v>
      </c>
      <c r="K119" s="409" t="s">
        <v>14</v>
      </c>
      <c r="L119" s="410" t="s">
        <v>14</v>
      </c>
      <c r="M119" s="362"/>
      <c r="N119" s="397"/>
      <c r="O119" s="121"/>
      <c r="P119" s="111"/>
      <c r="Q119" s="82"/>
      <c r="R119" s="82"/>
      <c r="S119" s="82"/>
      <c r="T119" s="82"/>
    </row>
    <row r="120" spans="1:22" x14ac:dyDescent="0.3">
      <c r="A120" s="397"/>
      <c r="B120" s="135" t="s">
        <v>565</v>
      </c>
      <c r="C120" s="378"/>
      <c r="D120" s="378" t="s">
        <v>435</v>
      </c>
      <c r="E120" s="418"/>
      <c r="F120" s="378" t="s">
        <v>539</v>
      </c>
      <c r="G120" s="418"/>
      <c r="H120" s="274" t="s">
        <v>480</v>
      </c>
      <c r="I120" s="409" t="s">
        <v>14</v>
      </c>
      <c r="J120" s="410" t="s">
        <v>14</v>
      </c>
      <c r="K120" s="409" t="s">
        <v>14</v>
      </c>
      <c r="L120" s="410" t="s">
        <v>14</v>
      </c>
      <c r="M120" s="362"/>
      <c r="N120" s="397"/>
      <c r="O120" s="121"/>
      <c r="P120" s="111"/>
      <c r="Q120" s="82"/>
      <c r="R120" s="82"/>
      <c r="S120" s="82"/>
      <c r="T120" s="82"/>
    </row>
    <row r="121" spans="1:22" x14ac:dyDescent="0.3">
      <c r="A121" s="397"/>
      <c r="B121" s="175" t="s">
        <v>566</v>
      </c>
      <c r="C121" s="150"/>
      <c r="D121" s="150" t="s">
        <v>435</v>
      </c>
      <c r="E121" s="417"/>
      <c r="F121" s="155" t="s">
        <v>539</v>
      </c>
      <c r="G121" s="417"/>
      <c r="H121" s="267" t="s">
        <v>480</v>
      </c>
      <c r="I121" s="411" t="s">
        <v>14</v>
      </c>
      <c r="J121" s="412" t="s">
        <v>14</v>
      </c>
      <c r="K121" s="411" t="s">
        <v>14</v>
      </c>
      <c r="L121" s="412" t="s">
        <v>14</v>
      </c>
      <c r="M121" s="362"/>
      <c r="N121" s="397"/>
      <c r="O121" s="121"/>
      <c r="P121" s="111"/>
      <c r="Q121" s="82"/>
      <c r="R121" s="82"/>
      <c r="S121" s="82"/>
      <c r="T121" s="82"/>
    </row>
    <row r="122" spans="1:22" x14ac:dyDescent="0.3">
      <c r="A122" s="397"/>
      <c r="B122" s="85"/>
      <c r="D122" s="85"/>
      <c r="E122" s="85"/>
      <c r="F122" s="85"/>
      <c r="G122" s="85"/>
      <c r="H122" s="85"/>
      <c r="I122" s="85"/>
      <c r="J122" s="397"/>
      <c r="K122" s="397"/>
      <c r="L122" s="397"/>
      <c r="M122" s="362"/>
      <c r="N122" s="397"/>
      <c r="O122" s="121"/>
      <c r="P122" s="111"/>
      <c r="Q122" s="82"/>
      <c r="R122" s="82"/>
      <c r="S122" s="82"/>
      <c r="T122" s="82"/>
    </row>
    <row r="123" spans="1:22" x14ac:dyDescent="0.3">
      <c r="A123" s="82"/>
      <c r="B123" s="85"/>
      <c r="C123" s="83"/>
      <c r="D123" s="397"/>
      <c r="E123" s="82"/>
      <c r="F123" s="82"/>
      <c r="G123" s="82"/>
      <c r="H123" s="82"/>
      <c r="I123" s="82"/>
      <c r="J123" s="82"/>
      <c r="K123" s="82"/>
      <c r="L123" s="82"/>
      <c r="M123" s="82"/>
      <c r="N123" s="82"/>
      <c r="O123" s="82"/>
      <c r="P123" s="82"/>
      <c r="Q123" s="82"/>
      <c r="R123" s="82"/>
      <c r="S123" s="82"/>
      <c r="T123" s="82"/>
    </row>
    <row r="124" spans="1:22" x14ac:dyDescent="0.3">
      <c r="A124" s="82"/>
      <c r="B124" s="108" t="s">
        <v>505</v>
      </c>
      <c r="C124" s="113" t="s">
        <v>291</v>
      </c>
      <c r="D124" s="373"/>
      <c r="E124" s="207"/>
      <c r="F124" s="142" t="s">
        <v>292</v>
      </c>
      <c r="G124" s="125"/>
      <c r="H124" s="142" t="s">
        <v>293</v>
      </c>
      <c r="I124" s="397"/>
      <c r="J124" s="397"/>
      <c r="K124" s="397"/>
      <c r="L124" s="397"/>
      <c r="M124" s="82"/>
      <c r="N124" s="82"/>
      <c r="O124" s="397"/>
      <c r="P124" s="397"/>
      <c r="Q124" s="397"/>
      <c r="R124" s="397"/>
      <c r="S124" s="397"/>
      <c r="T124" s="397"/>
    </row>
    <row r="125" spans="1:22" ht="15" thickBot="1" x14ac:dyDescent="0.35">
      <c r="A125" s="82"/>
      <c r="B125" s="173" t="s">
        <v>285</v>
      </c>
      <c r="C125" s="171" t="s">
        <v>286</v>
      </c>
      <c r="D125" s="376"/>
      <c r="E125" s="208"/>
      <c r="F125" s="174" t="s">
        <v>287</v>
      </c>
      <c r="G125" s="208"/>
      <c r="H125" s="174" t="s">
        <v>288</v>
      </c>
      <c r="I125" s="397"/>
      <c r="J125" s="397"/>
      <c r="K125" s="397"/>
      <c r="L125" s="397"/>
      <c r="M125" s="82"/>
      <c r="N125" s="82"/>
      <c r="O125" s="397"/>
      <c r="P125" s="397"/>
      <c r="Q125" s="397"/>
      <c r="R125" s="397"/>
      <c r="S125" s="397"/>
      <c r="T125" s="397"/>
    </row>
    <row r="126" spans="1:22" ht="15" thickTop="1" x14ac:dyDescent="0.3">
      <c r="A126" s="82"/>
      <c r="B126" s="135" t="s">
        <v>579</v>
      </c>
      <c r="C126" s="378" t="s">
        <v>297</v>
      </c>
      <c r="D126" s="99"/>
      <c r="E126" s="418"/>
      <c r="F126" s="378" t="s">
        <v>413</v>
      </c>
      <c r="G126" s="418"/>
      <c r="H126" s="263" t="s">
        <v>414</v>
      </c>
      <c r="I126" s="397"/>
      <c r="J126" s="397"/>
      <c r="K126" s="397"/>
      <c r="L126" s="397"/>
      <c r="M126" s="82"/>
      <c r="N126" s="82"/>
      <c r="O126" s="397"/>
      <c r="P126" s="397"/>
      <c r="Q126" s="397"/>
      <c r="R126" s="397"/>
      <c r="S126" s="397"/>
      <c r="T126" s="397"/>
    </row>
    <row r="127" spans="1:22" x14ac:dyDescent="0.3">
      <c r="A127" s="82"/>
      <c r="B127" s="175" t="s">
        <v>580</v>
      </c>
      <c r="C127" s="150" t="s">
        <v>337</v>
      </c>
      <c r="D127" s="151"/>
      <c r="E127" s="411" t="s">
        <v>14</v>
      </c>
      <c r="F127" s="412" t="s">
        <v>14</v>
      </c>
      <c r="G127" s="411" t="s">
        <v>14</v>
      </c>
      <c r="H127" s="412" t="s">
        <v>14</v>
      </c>
      <c r="I127" s="397"/>
      <c r="J127" s="397"/>
      <c r="K127" s="397"/>
      <c r="L127" s="397"/>
      <c r="M127" s="82"/>
      <c r="N127" s="82"/>
      <c r="O127" s="397"/>
      <c r="P127" s="397"/>
      <c r="Q127" s="397"/>
      <c r="R127" s="397"/>
      <c r="S127" s="397"/>
      <c r="T127" s="397"/>
    </row>
    <row r="128" spans="1:22" x14ac:dyDescent="0.3">
      <c r="A128" s="82"/>
    </row>
    <row r="129" spans="1:28" x14ac:dyDescent="0.3">
      <c r="A129" s="82"/>
    </row>
    <row r="130" spans="1:28" x14ac:dyDescent="0.3">
      <c r="A130" s="24"/>
      <c r="B130" s="24" t="s">
        <v>487</v>
      </c>
      <c r="C130" s="397"/>
      <c r="D130" s="397"/>
      <c r="E130" s="362"/>
      <c r="F130" s="397"/>
      <c r="G130" s="362"/>
      <c r="H130" s="397"/>
      <c r="I130" s="362"/>
      <c r="J130" s="397"/>
      <c r="K130" s="362"/>
      <c r="L130" s="397"/>
      <c r="M130" s="362"/>
      <c r="N130" s="397"/>
    </row>
    <row r="131" spans="1:28" ht="27.6" x14ac:dyDescent="0.3">
      <c r="A131" s="397"/>
      <c r="B131" s="108" t="s">
        <v>488</v>
      </c>
      <c r="C131" s="112" t="s">
        <v>433</v>
      </c>
      <c r="D131" s="373"/>
      <c r="E131" s="231"/>
      <c r="F131" s="109" t="s">
        <v>836</v>
      </c>
      <c r="G131" s="210"/>
      <c r="H131" s="116" t="s">
        <v>489</v>
      </c>
      <c r="I131" s="231"/>
      <c r="J131" s="109" t="s">
        <v>490</v>
      </c>
      <c r="K131" s="455"/>
      <c r="L131" s="456" t="s">
        <v>491</v>
      </c>
      <c r="M131" s="231"/>
      <c r="N131" s="109" t="s">
        <v>739</v>
      </c>
    </row>
    <row r="132" spans="1:28" ht="15" thickBot="1" x14ac:dyDescent="0.35">
      <c r="A132" s="397"/>
      <c r="B132" s="212"/>
      <c r="C132" s="376"/>
      <c r="D132" s="376"/>
      <c r="E132" s="230"/>
      <c r="F132" s="355" t="s">
        <v>1057</v>
      </c>
      <c r="G132" s="376"/>
      <c r="H132" s="354" t="s">
        <v>1058</v>
      </c>
      <c r="I132" s="230"/>
      <c r="J132" s="355" t="s">
        <v>1059</v>
      </c>
      <c r="K132" s="211"/>
      <c r="L132" s="354" t="s">
        <v>611</v>
      </c>
      <c r="M132" s="230"/>
      <c r="N132" s="355" t="s">
        <v>1060</v>
      </c>
    </row>
    <row r="133" spans="1:28" ht="15" thickTop="1" x14ac:dyDescent="0.3">
      <c r="A133" s="397"/>
      <c r="B133" s="356">
        <v>2</v>
      </c>
      <c r="C133" s="400" t="s">
        <v>435</v>
      </c>
      <c r="D133" s="379"/>
      <c r="E133" s="204" t="s">
        <v>919</v>
      </c>
      <c r="F133" s="195">
        <v>253774</v>
      </c>
      <c r="G133" s="359"/>
      <c r="H133" s="150">
        <v>0.82250000000000001</v>
      </c>
      <c r="I133" s="165"/>
      <c r="J133" s="155" t="s">
        <v>475</v>
      </c>
      <c r="K133" s="164"/>
      <c r="L133" s="150" t="s">
        <v>493</v>
      </c>
      <c r="M133" s="165"/>
      <c r="N133" s="155">
        <v>0.25</v>
      </c>
    </row>
    <row r="134" spans="1:28" x14ac:dyDescent="0.3">
      <c r="A134" s="82"/>
    </row>
    <row r="135" spans="1:28" x14ac:dyDescent="0.3">
      <c r="A135" s="397"/>
      <c r="B135" s="397"/>
      <c r="C135" s="397"/>
      <c r="D135" s="362"/>
      <c r="E135" s="362"/>
      <c r="F135" s="397"/>
      <c r="G135" s="362"/>
      <c r="H135" s="397"/>
      <c r="I135" s="362"/>
      <c r="J135" s="397"/>
      <c r="K135" s="362"/>
      <c r="L135" s="397"/>
      <c r="M135" s="362"/>
      <c r="N135" s="397"/>
      <c r="O135" s="362"/>
      <c r="P135" s="397"/>
      <c r="Q135" s="362"/>
      <c r="R135" s="397"/>
      <c r="S135" s="362"/>
      <c r="T135" s="397"/>
      <c r="U135" s="397"/>
    </row>
    <row r="136" spans="1:28" s="36" customFormat="1" ht="27.6" x14ac:dyDescent="0.3">
      <c r="A136" s="82"/>
      <c r="B136" s="125" t="s">
        <v>750</v>
      </c>
      <c r="C136" s="113" t="s">
        <v>751</v>
      </c>
      <c r="D136" s="113" t="s">
        <v>433</v>
      </c>
      <c r="E136" s="113"/>
      <c r="F136" s="113" t="s">
        <v>938</v>
      </c>
      <c r="G136" s="125"/>
      <c r="H136" s="142" t="s">
        <v>760</v>
      </c>
      <c r="I136" s="113"/>
      <c r="J136" s="113" t="s">
        <v>761</v>
      </c>
      <c r="K136" s="125"/>
      <c r="L136" s="142" t="s">
        <v>1109</v>
      </c>
      <c r="M136" s="207"/>
      <c r="N136" s="113" t="s">
        <v>764</v>
      </c>
      <c r="O136" s="207"/>
      <c r="P136" s="142" t="s">
        <v>772</v>
      </c>
      <c r="Q136" s="113"/>
      <c r="R136" s="113" t="s">
        <v>773</v>
      </c>
      <c r="S136" s="125"/>
      <c r="T136" s="142" t="s">
        <v>492</v>
      </c>
      <c r="U136" s="113"/>
      <c r="V136" s="142" t="s">
        <v>1051</v>
      </c>
      <c r="W136" s="87"/>
      <c r="X136" s="86"/>
      <c r="Y136" s="87"/>
      <c r="Z136" s="86"/>
      <c r="AA136" s="87"/>
      <c r="AB136" s="86"/>
    </row>
    <row r="137" spans="1:28" s="448" customFormat="1" thickBot="1" x14ac:dyDescent="0.35">
      <c r="A137" s="82"/>
      <c r="B137" s="178"/>
      <c r="C137" s="171"/>
      <c r="D137" s="172"/>
      <c r="E137" s="172"/>
      <c r="F137" s="172"/>
      <c r="G137" s="173"/>
      <c r="H137" s="355" t="s">
        <v>1061</v>
      </c>
      <c r="I137" s="171"/>
      <c r="J137" s="355" t="s">
        <v>1066</v>
      </c>
      <c r="K137" s="173"/>
      <c r="L137" s="355" t="s">
        <v>1110</v>
      </c>
      <c r="M137" s="173"/>
      <c r="N137" s="355" t="s">
        <v>1062</v>
      </c>
      <c r="O137" s="173"/>
      <c r="P137" s="355" t="s">
        <v>1063</v>
      </c>
      <c r="Q137" s="171"/>
      <c r="R137" s="355" t="s">
        <v>1064</v>
      </c>
      <c r="S137" s="173"/>
      <c r="T137" s="355" t="s">
        <v>1065</v>
      </c>
      <c r="U137" s="171"/>
      <c r="V137" s="174" t="s">
        <v>774</v>
      </c>
      <c r="W137" s="87"/>
      <c r="X137" s="86"/>
      <c r="Y137" s="87"/>
      <c r="Z137" s="86"/>
      <c r="AA137" s="87"/>
      <c r="AB137" s="86"/>
    </row>
    <row r="138" spans="1:28" s="364" customFormat="1" ht="12.75" customHeight="1" thickTop="1" x14ac:dyDescent="0.3">
      <c r="A138" s="378"/>
      <c r="B138" s="487" t="s">
        <v>939</v>
      </c>
      <c r="C138" s="493" t="s">
        <v>940</v>
      </c>
      <c r="D138" s="400" t="s">
        <v>435</v>
      </c>
      <c r="E138" s="400"/>
      <c r="F138" s="400">
        <v>2</v>
      </c>
      <c r="G138" s="508"/>
      <c r="H138" s="493" t="s">
        <v>494</v>
      </c>
      <c r="I138" s="508"/>
      <c r="J138" s="400" t="s">
        <v>762</v>
      </c>
      <c r="K138" s="658" t="s">
        <v>919</v>
      </c>
      <c r="L138" s="492">
        <f>F133/500.19/40</f>
        <v>12.683880125552289</v>
      </c>
      <c r="M138" s="508"/>
      <c r="N138" s="709" t="str">
        <f>ROUND(L138*R138/3960/(0.7*T138)*745.6/1000,2)&amp;" ("&amp;ROUND(R138/3960/(0.7*T138)*745.6,2)&amp;" W/gpm)"</f>
        <v>0.24 (19 W/gpm)</v>
      </c>
      <c r="O138" s="508"/>
      <c r="P138" s="509">
        <v>0.5</v>
      </c>
      <c r="Q138" s="510" t="s">
        <v>919</v>
      </c>
      <c r="R138" s="727">
        <f>ROUND(19/745.6*3960*T138*0.7,1)</f>
        <v>60.4</v>
      </c>
      <c r="S138" s="508"/>
      <c r="T138" s="509">
        <v>0.85499999999999998</v>
      </c>
      <c r="U138" s="494" t="s">
        <v>14</v>
      </c>
      <c r="V138" s="478" t="s">
        <v>14</v>
      </c>
      <c r="W138" s="87"/>
      <c r="X138" s="86"/>
      <c r="Y138" s="87"/>
      <c r="Z138" s="86"/>
      <c r="AA138" s="87"/>
      <c r="AB138" s="86"/>
    </row>
    <row r="139" spans="1:28" x14ac:dyDescent="0.3">
      <c r="A139" s="82"/>
    </row>
    <row r="140" spans="1:28" x14ac:dyDescent="0.3">
      <c r="A140" s="82"/>
    </row>
    <row r="141" spans="1:28" x14ac:dyDescent="0.3">
      <c r="A141" s="82"/>
    </row>
    <row r="142" spans="1:28" s="369" customFormat="1" ht="13.8" x14ac:dyDescent="0.3">
      <c r="A142" s="82"/>
      <c r="C142" s="85"/>
      <c r="E142" s="76"/>
      <c r="F142" s="371"/>
      <c r="G142" s="76"/>
      <c r="H142" s="29"/>
      <c r="J142" s="31"/>
      <c r="L142" s="85"/>
      <c r="N142" s="85"/>
      <c r="P142" s="85"/>
      <c r="R142" s="85"/>
      <c r="T142" s="85"/>
    </row>
    <row r="143" spans="1:28" s="369" customFormat="1" ht="13.8" x14ac:dyDescent="0.3">
      <c r="A143" s="82"/>
      <c r="C143" s="85"/>
      <c r="E143" s="76"/>
      <c r="F143" s="371"/>
      <c r="G143" s="76"/>
      <c r="H143" s="29"/>
      <c r="J143" s="85"/>
      <c r="L143" s="85"/>
      <c r="N143" s="85"/>
      <c r="P143" s="85"/>
      <c r="R143" s="85"/>
      <c r="T143" s="85"/>
    </row>
    <row r="144" spans="1:28" s="369" customFormat="1" ht="13.8" x14ac:dyDescent="0.3">
      <c r="A144" s="82"/>
      <c r="C144" s="85"/>
      <c r="E144" s="76"/>
      <c r="F144" s="371"/>
      <c r="G144" s="76"/>
      <c r="H144" s="29"/>
      <c r="J144" s="85"/>
      <c r="L144" s="85"/>
      <c r="N144" s="85"/>
      <c r="P144" s="85"/>
      <c r="R144" s="85"/>
      <c r="T144" s="85"/>
    </row>
    <row r="145" spans="1:20" s="369" customFormat="1" ht="13.8" x14ac:dyDescent="0.3">
      <c r="A145" s="82"/>
      <c r="C145" s="85"/>
      <c r="E145" s="76"/>
      <c r="F145" s="371"/>
      <c r="G145" s="76"/>
      <c r="H145" s="29"/>
      <c r="J145" s="85"/>
      <c r="L145" s="85"/>
      <c r="N145" s="85"/>
      <c r="P145" s="85"/>
      <c r="R145" s="85"/>
      <c r="T145" s="85"/>
    </row>
    <row r="146" spans="1:20" s="369" customFormat="1" ht="13.8" x14ac:dyDescent="0.3">
      <c r="A146" s="82"/>
      <c r="C146" s="85"/>
      <c r="E146" s="76"/>
      <c r="F146" s="371"/>
      <c r="G146" s="76"/>
      <c r="H146" s="29"/>
      <c r="J146" s="85"/>
      <c r="L146" s="85"/>
      <c r="N146" s="85"/>
      <c r="P146" s="85"/>
      <c r="R146" s="85"/>
      <c r="T146" s="85"/>
    </row>
    <row r="147" spans="1:20" s="369" customFormat="1" ht="13.8" x14ac:dyDescent="0.3">
      <c r="A147" s="82"/>
      <c r="C147" s="85"/>
      <c r="E147" s="76"/>
      <c r="F147" s="371"/>
      <c r="G147" s="76"/>
      <c r="H147" s="29"/>
      <c r="J147" s="85"/>
      <c r="L147" s="85"/>
      <c r="N147" s="85"/>
      <c r="P147" s="85"/>
      <c r="R147" s="85"/>
      <c r="T147" s="85"/>
    </row>
    <row r="148" spans="1:20" s="369" customFormat="1" ht="13.8" x14ac:dyDescent="0.3">
      <c r="A148" s="82"/>
      <c r="C148" s="85"/>
      <c r="E148" s="76"/>
      <c r="F148" s="371"/>
      <c r="G148" s="76"/>
      <c r="H148" s="29"/>
      <c r="J148" s="85"/>
      <c r="L148" s="85"/>
      <c r="N148" s="85"/>
      <c r="P148" s="85"/>
      <c r="R148" s="85"/>
      <c r="T148" s="85"/>
    </row>
    <row r="149" spans="1:20" s="369" customFormat="1" ht="13.8" x14ac:dyDescent="0.3">
      <c r="A149" s="82"/>
      <c r="C149" s="85"/>
      <c r="E149" s="76"/>
      <c r="F149" s="371"/>
      <c r="G149" s="76"/>
      <c r="H149" s="29"/>
      <c r="J149" s="85"/>
      <c r="L149" s="85"/>
      <c r="N149" s="85"/>
      <c r="P149" s="85"/>
      <c r="R149" s="85"/>
      <c r="T149" s="85"/>
    </row>
    <row r="150" spans="1:20" s="369" customFormat="1" ht="13.8" x14ac:dyDescent="0.3">
      <c r="A150" s="82"/>
      <c r="C150" s="85"/>
      <c r="E150" s="76"/>
      <c r="F150" s="371"/>
      <c r="G150" s="76"/>
      <c r="H150" s="29"/>
      <c r="J150" s="85"/>
      <c r="L150" s="85"/>
      <c r="N150" s="85"/>
      <c r="P150" s="85"/>
      <c r="R150" s="85"/>
      <c r="T150" s="85"/>
    </row>
    <row r="151" spans="1:20" s="369" customFormat="1" ht="13.8" x14ac:dyDescent="0.3">
      <c r="A151" s="82"/>
      <c r="C151" s="85"/>
      <c r="E151" s="76"/>
      <c r="F151" s="371"/>
      <c r="G151" s="76"/>
      <c r="H151" s="29"/>
      <c r="J151" s="85"/>
      <c r="L151" s="85"/>
      <c r="N151" s="85"/>
      <c r="P151" s="85"/>
      <c r="R151" s="85"/>
      <c r="T151" s="85"/>
    </row>
    <row r="152" spans="1:20" s="369" customFormat="1" ht="13.8" x14ac:dyDescent="0.3">
      <c r="A152" s="82"/>
      <c r="C152" s="85"/>
      <c r="E152" s="76"/>
      <c r="F152" s="371"/>
      <c r="G152" s="76"/>
      <c r="H152" s="29"/>
      <c r="J152" s="85"/>
      <c r="L152" s="85"/>
      <c r="N152" s="85"/>
      <c r="P152" s="85"/>
      <c r="R152" s="85"/>
      <c r="T152" s="85"/>
    </row>
    <row r="153" spans="1:20" s="369" customFormat="1" ht="13.8" x14ac:dyDescent="0.3">
      <c r="A153" s="82"/>
      <c r="C153" s="85"/>
      <c r="E153" s="76"/>
      <c r="F153" s="371"/>
      <c r="G153" s="76"/>
      <c r="H153" s="29"/>
      <c r="J153" s="85"/>
      <c r="L153" s="85"/>
      <c r="N153" s="85"/>
      <c r="P153" s="85"/>
      <c r="R153" s="85"/>
      <c r="T153" s="85"/>
    </row>
    <row r="154" spans="1:20" s="369" customFormat="1" ht="13.8" x14ac:dyDescent="0.3">
      <c r="A154" s="82"/>
      <c r="C154" s="85"/>
      <c r="E154" s="76"/>
      <c r="F154" s="371"/>
      <c r="G154" s="76"/>
      <c r="H154" s="29"/>
      <c r="J154" s="85"/>
      <c r="L154" s="85"/>
      <c r="N154" s="85"/>
      <c r="P154" s="85"/>
      <c r="R154" s="85"/>
      <c r="T154" s="85"/>
    </row>
    <row r="155" spans="1:20" s="369" customFormat="1" ht="13.8" x14ac:dyDescent="0.3">
      <c r="A155" s="82"/>
      <c r="C155" s="85"/>
      <c r="E155" s="76"/>
      <c r="F155" s="371"/>
      <c r="G155" s="76"/>
      <c r="H155" s="29"/>
      <c r="J155" s="85"/>
      <c r="L155" s="85"/>
      <c r="N155" s="85"/>
      <c r="P155" s="85"/>
      <c r="R155" s="85"/>
      <c r="T155" s="85"/>
    </row>
    <row r="156" spans="1:20" s="369" customFormat="1" ht="13.8" x14ac:dyDescent="0.3">
      <c r="A156" s="82"/>
      <c r="C156" s="85"/>
      <c r="E156" s="76"/>
      <c r="F156" s="371"/>
      <c r="G156" s="76"/>
      <c r="H156" s="29"/>
      <c r="J156" s="85"/>
      <c r="L156" s="85"/>
      <c r="N156" s="85"/>
      <c r="P156" s="85"/>
      <c r="R156" s="85"/>
      <c r="T156" s="85"/>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Q55"/>
  <sheetViews>
    <sheetView zoomScale="85" zoomScaleNormal="85" workbookViewId="0">
      <selection activeCell="G6" sqref="G6"/>
    </sheetView>
  </sheetViews>
  <sheetFormatPr defaultColWidth="9.109375" defaultRowHeight="13.8" x14ac:dyDescent="0.3"/>
  <cols>
    <col min="1" max="1" width="3.5546875" style="93" customWidth="1"/>
    <col min="2" max="2" width="30.6640625" style="93" customWidth="1"/>
    <col min="3" max="3" width="30.6640625" style="85" customWidth="1"/>
    <col min="4" max="4" width="2.6640625" style="76" customWidth="1"/>
    <col min="5" max="5" width="27.5546875" style="94" customWidth="1"/>
    <col min="6" max="6" width="2.6640625" style="76" customWidth="1"/>
    <col min="7" max="7" width="30.6640625" style="29" customWidth="1"/>
    <col min="8" max="8" width="2.6640625" style="103" customWidth="1"/>
    <col min="9" max="9" width="30.6640625" style="85" customWidth="1"/>
    <col min="10" max="10" width="2.6640625" style="103" customWidth="1"/>
    <col min="11" max="11" width="30.6640625" style="85" customWidth="1"/>
    <col min="12" max="12" width="2.6640625" style="103" customWidth="1"/>
    <col min="13" max="13" width="30.6640625" style="85" customWidth="1"/>
    <col min="14" max="14" width="2.6640625" style="103" customWidth="1"/>
    <col min="15" max="15" width="30.6640625" style="85" customWidth="1"/>
    <col min="16" max="16" width="2.6640625" style="103" customWidth="1"/>
    <col min="17" max="17" width="30.6640625" style="85" customWidth="1"/>
    <col min="18" max="16384" width="9.109375" style="63"/>
  </cols>
  <sheetData>
    <row r="1" spans="1:17" x14ac:dyDescent="0.3">
      <c r="A1" s="369"/>
      <c r="B1" s="369"/>
      <c r="E1" s="371"/>
      <c r="H1" s="369"/>
      <c r="J1" s="369"/>
      <c r="L1" s="369"/>
      <c r="N1" s="369"/>
      <c r="P1" s="369"/>
    </row>
    <row r="2" spans="1:17" x14ac:dyDescent="0.3">
      <c r="B2" s="567" t="s">
        <v>5</v>
      </c>
      <c r="C2" s="568"/>
      <c r="D2" s="574"/>
      <c r="E2" s="568" t="s">
        <v>6</v>
      </c>
      <c r="F2" s="103"/>
      <c r="J2" s="567"/>
      <c r="K2" s="568" t="s">
        <v>1101</v>
      </c>
    </row>
    <row r="3" spans="1:17" x14ac:dyDescent="0.3">
      <c r="B3" s="93" t="s">
        <v>0</v>
      </c>
      <c r="C3" s="65" t="s">
        <v>914</v>
      </c>
      <c r="D3" s="103"/>
      <c r="E3" s="85" t="s">
        <v>8</v>
      </c>
      <c r="F3" s="103"/>
      <c r="G3" s="65" t="str">
        <f>'Documentation Main Sheet'!I2</f>
        <v>r6055</v>
      </c>
      <c r="J3" s="569"/>
      <c r="K3" s="369" t="s">
        <v>1102</v>
      </c>
    </row>
    <row r="4" spans="1:17" ht="12.75" customHeight="1" x14ac:dyDescent="0.3">
      <c r="B4" s="93" t="s">
        <v>1</v>
      </c>
      <c r="C4" s="85" t="str">
        <f>C3&amp;".cibd"</f>
        <v>020006S-OffSml-Run01.cibd</v>
      </c>
      <c r="E4" s="85" t="s">
        <v>110</v>
      </c>
      <c r="F4" s="103"/>
      <c r="G4" s="94" t="str">
        <f>'Documentation Main Sheet'!I3</f>
        <v>Release package</v>
      </c>
      <c r="J4" s="570">
        <v>1</v>
      </c>
      <c r="K4" s="378" t="s">
        <v>1103</v>
      </c>
    </row>
    <row r="5" spans="1:17" x14ac:dyDescent="0.3">
      <c r="B5" s="93" t="s">
        <v>54</v>
      </c>
      <c r="C5" s="85" t="s">
        <v>56</v>
      </c>
      <c r="E5" s="85" t="s">
        <v>7</v>
      </c>
      <c r="G5" s="94" t="str">
        <f>'Documentation Main Sheet'!I4</f>
        <v>CBECC-Com 209.1.0 release</v>
      </c>
      <c r="H5" s="62"/>
      <c r="J5" s="571">
        <v>1</v>
      </c>
      <c r="K5" s="378" t="s">
        <v>1103</v>
      </c>
      <c r="O5" s="9"/>
      <c r="Q5" s="9"/>
    </row>
    <row r="6" spans="1:17" x14ac:dyDescent="0.3">
      <c r="B6" s="103" t="s">
        <v>390</v>
      </c>
      <c r="C6" s="85" t="s">
        <v>392</v>
      </c>
      <c r="E6" s="85" t="s">
        <v>2</v>
      </c>
      <c r="G6" s="394">
        <v>43768</v>
      </c>
      <c r="I6" s="518"/>
      <c r="J6" s="572">
        <v>1</v>
      </c>
      <c r="K6" s="381" t="s">
        <v>1104</v>
      </c>
    </row>
    <row r="7" spans="1:17" x14ac:dyDescent="0.3">
      <c r="B7" s="103" t="s">
        <v>432</v>
      </c>
      <c r="C7" s="85" t="s">
        <v>393</v>
      </c>
      <c r="E7" s="85" t="s">
        <v>3</v>
      </c>
      <c r="G7" s="94" t="s">
        <v>1544</v>
      </c>
      <c r="I7" s="517"/>
      <c r="J7" s="573">
        <v>1</v>
      </c>
      <c r="K7" s="378" t="s">
        <v>1105</v>
      </c>
    </row>
    <row r="8" spans="1:17" x14ac:dyDescent="0.3">
      <c r="B8" s="369" t="s">
        <v>952</v>
      </c>
      <c r="C8" s="85" t="s">
        <v>953</v>
      </c>
      <c r="E8" s="42"/>
      <c r="F8" s="75"/>
      <c r="G8" s="75"/>
      <c r="J8" s="796">
        <v>1</v>
      </c>
      <c r="K8" s="369" t="s">
        <v>1396</v>
      </c>
    </row>
    <row r="9" spans="1:17" x14ac:dyDescent="0.3">
      <c r="B9" s="85"/>
      <c r="C9" s="83"/>
      <c r="D9" s="103"/>
      <c r="E9" s="85"/>
      <c r="G9" s="85"/>
    </row>
    <row r="10" spans="1:17" s="86" customFormat="1" x14ac:dyDescent="0.3">
      <c r="A10" s="286"/>
      <c r="B10" s="287" t="s">
        <v>37</v>
      </c>
      <c r="C10" s="288"/>
      <c r="D10" s="286"/>
      <c r="E10" s="289"/>
      <c r="F10" s="286"/>
      <c r="G10" s="288"/>
      <c r="H10" s="286"/>
      <c r="I10" s="288"/>
      <c r="J10" s="286"/>
      <c r="K10" s="288"/>
      <c r="L10" s="286"/>
      <c r="M10" s="288"/>
      <c r="N10" s="286"/>
      <c r="O10" s="288"/>
      <c r="P10" s="286"/>
      <c r="Q10" s="288"/>
    </row>
    <row r="11" spans="1:17" s="86" customFormat="1" x14ac:dyDescent="0.3">
      <c r="A11" s="295"/>
      <c r="B11" s="295" t="s">
        <v>9</v>
      </c>
      <c r="C11" s="87"/>
      <c r="D11" s="84"/>
      <c r="E11" s="85"/>
      <c r="F11" s="84"/>
      <c r="G11" s="29"/>
      <c r="H11" s="84"/>
      <c r="I11" s="85"/>
      <c r="J11" s="84"/>
      <c r="K11" s="85"/>
      <c r="L11" s="84"/>
      <c r="M11" s="85"/>
      <c r="N11" s="84"/>
      <c r="O11" s="77"/>
      <c r="P11" s="84"/>
      <c r="Q11" s="77"/>
    </row>
    <row r="12" spans="1:17" s="86" customFormat="1" x14ac:dyDescent="0.3">
      <c r="B12" s="84" t="s">
        <v>17</v>
      </c>
      <c r="C12" s="87"/>
      <c r="E12" s="25"/>
      <c r="G12" s="87"/>
      <c r="I12" s="87"/>
      <c r="J12" s="84"/>
      <c r="K12" s="87"/>
      <c r="L12" s="84"/>
      <c r="M12" s="87"/>
      <c r="N12" s="84"/>
      <c r="O12" s="77"/>
      <c r="P12" s="84"/>
      <c r="Q12" s="77"/>
    </row>
    <row r="13" spans="1:17" s="40" customFormat="1" ht="41.4" x14ac:dyDescent="0.3">
      <c r="A13" s="84"/>
      <c r="B13" s="132" t="s">
        <v>137</v>
      </c>
      <c r="C13" s="113" t="s">
        <v>31</v>
      </c>
      <c r="D13" s="132"/>
      <c r="E13" s="142" t="s">
        <v>49</v>
      </c>
      <c r="F13" s="112"/>
      <c r="G13" s="113" t="s">
        <v>11</v>
      </c>
      <c r="H13" s="132"/>
      <c r="I13" s="142" t="s">
        <v>495</v>
      </c>
      <c r="J13" s="115"/>
      <c r="K13" s="113" t="s">
        <v>496</v>
      </c>
      <c r="L13" s="138"/>
      <c r="M13" s="142" t="s">
        <v>497</v>
      </c>
      <c r="N13" s="115"/>
      <c r="O13" s="116" t="s">
        <v>498</v>
      </c>
      <c r="P13" s="138"/>
      <c r="Q13" s="109" t="s">
        <v>499</v>
      </c>
    </row>
    <row r="14" spans="1:17" s="75" customFormat="1" ht="14.4" thickBot="1" x14ac:dyDescent="0.35">
      <c r="A14" s="76"/>
      <c r="B14" s="126"/>
      <c r="C14" s="117" t="s">
        <v>23</v>
      </c>
      <c r="D14" s="133"/>
      <c r="E14" s="143" t="s">
        <v>50</v>
      </c>
      <c r="F14" s="119"/>
      <c r="G14" s="117" t="s">
        <v>25</v>
      </c>
      <c r="H14" s="139"/>
      <c r="I14" s="143" t="s">
        <v>24</v>
      </c>
      <c r="J14" s="118"/>
      <c r="K14" s="117" t="s">
        <v>140</v>
      </c>
      <c r="L14" s="139"/>
      <c r="M14" s="143" t="s">
        <v>141</v>
      </c>
      <c r="N14" s="118"/>
      <c r="O14" s="117" t="s">
        <v>142</v>
      </c>
      <c r="P14" s="126"/>
      <c r="Q14" s="143" t="s">
        <v>143</v>
      </c>
    </row>
    <row r="15" spans="1:17" ht="12.75" customHeight="1" thickTop="1" x14ac:dyDescent="0.3">
      <c r="B15" s="123" t="s">
        <v>10</v>
      </c>
      <c r="C15" s="85" t="s">
        <v>40</v>
      </c>
      <c r="D15" s="136"/>
      <c r="E15" s="146" t="s">
        <v>51</v>
      </c>
      <c r="F15" s="176"/>
      <c r="G15" s="85" t="s">
        <v>30</v>
      </c>
      <c r="H15" s="136"/>
      <c r="I15" s="144">
        <v>4.3999999999999997E-2</v>
      </c>
      <c r="J15" s="176"/>
      <c r="K15" s="31">
        <v>0.78</v>
      </c>
      <c r="L15" s="136"/>
      <c r="M15" s="222">
        <v>0.78</v>
      </c>
      <c r="N15" s="176"/>
      <c r="O15" s="31">
        <v>0.75</v>
      </c>
      <c r="P15" s="136"/>
      <c r="Q15" s="147">
        <v>0.25</v>
      </c>
    </row>
    <row r="16" spans="1:17" x14ac:dyDescent="0.3">
      <c r="B16" s="123" t="s">
        <v>15</v>
      </c>
      <c r="C16" s="85" t="s">
        <v>41</v>
      </c>
      <c r="D16" s="129" t="s">
        <v>14</v>
      </c>
      <c r="E16" s="218" t="s">
        <v>14</v>
      </c>
      <c r="F16" s="176"/>
      <c r="G16" s="85" t="s">
        <v>12</v>
      </c>
      <c r="H16" s="136"/>
      <c r="I16" s="146">
        <v>9.0999999999999998E-2</v>
      </c>
      <c r="J16" s="13" t="s">
        <v>14</v>
      </c>
      <c r="K16" s="13" t="s">
        <v>14</v>
      </c>
      <c r="L16" s="129" t="s">
        <v>14</v>
      </c>
      <c r="M16" s="148" t="s">
        <v>14</v>
      </c>
      <c r="N16" s="13" t="s">
        <v>14</v>
      </c>
      <c r="O16" s="13" t="s">
        <v>14</v>
      </c>
      <c r="P16" s="129" t="s">
        <v>14</v>
      </c>
      <c r="Q16" s="148" t="s">
        <v>14</v>
      </c>
    </row>
    <row r="17" spans="1:17" x14ac:dyDescent="0.3">
      <c r="B17" s="122" t="s">
        <v>38</v>
      </c>
      <c r="C17" s="85" t="s">
        <v>44</v>
      </c>
      <c r="D17" s="129" t="s">
        <v>14</v>
      </c>
      <c r="E17" s="218" t="s">
        <v>14</v>
      </c>
      <c r="F17" s="176"/>
      <c r="G17" s="85" t="s">
        <v>42</v>
      </c>
      <c r="H17" s="136"/>
      <c r="I17" s="146">
        <v>3.9E-2</v>
      </c>
      <c r="J17" s="13" t="s">
        <v>14</v>
      </c>
      <c r="K17" s="13" t="s">
        <v>14</v>
      </c>
      <c r="L17" s="129" t="s">
        <v>14</v>
      </c>
      <c r="M17" s="148" t="s">
        <v>14</v>
      </c>
      <c r="N17" s="13" t="s">
        <v>14</v>
      </c>
      <c r="O17" s="13" t="s">
        <v>14</v>
      </c>
      <c r="P17" s="129" t="s">
        <v>14</v>
      </c>
      <c r="Q17" s="148" t="s">
        <v>14</v>
      </c>
    </row>
    <row r="18" spans="1:17" x14ac:dyDescent="0.3">
      <c r="B18" s="284" t="s">
        <v>38</v>
      </c>
      <c r="C18" s="150" t="s">
        <v>45</v>
      </c>
      <c r="D18" s="152" t="s">
        <v>14</v>
      </c>
      <c r="E18" s="219" t="s">
        <v>14</v>
      </c>
      <c r="F18" s="169"/>
      <c r="G18" s="160" t="s">
        <v>43</v>
      </c>
      <c r="H18" s="153"/>
      <c r="I18" s="278">
        <v>7.0000000000000007E-2</v>
      </c>
      <c r="J18" s="156" t="s">
        <v>14</v>
      </c>
      <c r="K18" s="156" t="s">
        <v>14</v>
      </c>
      <c r="L18" s="152" t="s">
        <v>14</v>
      </c>
      <c r="M18" s="157" t="s">
        <v>14</v>
      </c>
      <c r="N18" s="156" t="s">
        <v>14</v>
      </c>
      <c r="O18" s="156" t="s">
        <v>14</v>
      </c>
      <c r="P18" s="152" t="s">
        <v>14</v>
      </c>
      <c r="Q18" s="157" t="s">
        <v>14</v>
      </c>
    </row>
    <row r="19" spans="1:17" x14ac:dyDescent="0.3">
      <c r="B19" s="94"/>
      <c r="D19" s="103"/>
      <c r="E19" s="85"/>
      <c r="F19" s="103"/>
      <c r="G19" s="94"/>
      <c r="I19" s="32"/>
      <c r="J19" s="7"/>
      <c r="K19" s="32"/>
      <c r="L19" s="7"/>
      <c r="M19" s="32"/>
      <c r="N19" s="7"/>
      <c r="O19" s="30"/>
      <c r="P19" s="7"/>
      <c r="Q19" s="30"/>
    </row>
    <row r="20" spans="1:17" x14ac:dyDescent="0.3">
      <c r="B20" s="84" t="s">
        <v>18</v>
      </c>
      <c r="D20" s="103"/>
      <c r="E20" s="85"/>
      <c r="F20" s="103"/>
      <c r="G20" s="94"/>
      <c r="I20" s="32"/>
      <c r="J20" s="7"/>
      <c r="K20" s="32"/>
      <c r="L20" s="7"/>
      <c r="M20" s="32"/>
      <c r="N20" s="7"/>
      <c r="O20" s="30"/>
      <c r="P20" s="7"/>
      <c r="Q20" s="30"/>
    </row>
    <row r="21" spans="1:17" s="40" customFormat="1" ht="27.6" x14ac:dyDescent="0.3">
      <c r="A21" s="84"/>
      <c r="B21" s="132" t="s">
        <v>137</v>
      </c>
      <c r="C21" s="113" t="s">
        <v>31</v>
      </c>
      <c r="D21" s="132"/>
      <c r="E21" s="142" t="s">
        <v>11</v>
      </c>
      <c r="F21" s="132"/>
      <c r="G21" s="142" t="s">
        <v>495</v>
      </c>
      <c r="H21" s="132"/>
      <c r="I21" s="142" t="s">
        <v>22</v>
      </c>
      <c r="J21" s="112"/>
      <c r="K21" s="142" t="s">
        <v>39</v>
      </c>
      <c r="L21" s="84"/>
      <c r="M21" s="36"/>
      <c r="N21" s="84"/>
      <c r="O21" s="36"/>
      <c r="P21" s="84"/>
      <c r="Q21" s="36"/>
    </row>
    <row r="22" spans="1:17" s="75" customFormat="1" ht="14.4" thickBot="1" x14ac:dyDescent="0.35">
      <c r="A22" s="76"/>
      <c r="B22" s="126"/>
      <c r="C22" s="117" t="s">
        <v>46</v>
      </c>
      <c r="D22" s="133"/>
      <c r="E22" s="143" t="s">
        <v>26</v>
      </c>
      <c r="F22" s="133"/>
      <c r="G22" s="143" t="s">
        <v>47</v>
      </c>
      <c r="H22" s="139"/>
      <c r="I22" s="143" t="s">
        <v>28</v>
      </c>
      <c r="J22" s="118"/>
      <c r="K22" s="143" t="s">
        <v>29</v>
      </c>
      <c r="L22" s="76"/>
      <c r="M22" s="29"/>
      <c r="N22" s="76"/>
      <c r="O22" s="29"/>
      <c r="P22" s="29"/>
      <c r="Q22" s="29"/>
    </row>
    <row r="23" spans="1:17" ht="14.4" thickTop="1" x14ac:dyDescent="0.3">
      <c r="B23" s="149" t="s">
        <v>20</v>
      </c>
      <c r="C23" s="160" t="s">
        <v>19</v>
      </c>
      <c r="D23" s="153"/>
      <c r="E23" s="166" t="s">
        <v>19</v>
      </c>
      <c r="F23" s="153"/>
      <c r="G23" s="155">
        <v>0.25</v>
      </c>
      <c r="H23" s="153"/>
      <c r="I23" s="163">
        <v>0.2</v>
      </c>
      <c r="J23" s="169"/>
      <c r="K23" s="163">
        <v>0.45</v>
      </c>
      <c r="M23" s="31"/>
    </row>
    <row r="24" spans="1:17" x14ac:dyDescent="0.3">
      <c r="C24" s="94"/>
      <c r="D24" s="103"/>
      <c r="F24" s="103"/>
      <c r="G24" s="85"/>
    </row>
    <row r="25" spans="1:17" x14ac:dyDescent="0.3">
      <c r="A25" s="295"/>
      <c r="B25" s="295" t="s">
        <v>53</v>
      </c>
      <c r="C25" s="38"/>
      <c r="D25" s="40"/>
      <c r="E25" s="38"/>
      <c r="F25" s="40"/>
      <c r="G25" s="38"/>
      <c r="H25" s="40"/>
      <c r="I25" s="38"/>
      <c r="J25" s="40"/>
      <c r="K25" s="38"/>
      <c r="L25" s="40"/>
      <c r="M25" s="38"/>
      <c r="N25" s="40"/>
      <c r="O25" s="38"/>
      <c r="Q25" s="38"/>
    </row>
    <row r="26" spans="1:17" x14ac:dyDescent="0.3">
      <c r="B26" s="84" t="s">
        <v>17</v>
      </c>
    </row>
    <row r="27" spans="1:17" s="40" customFormat="1" x14ac:dyDescent="0.3">
      <c r="A27" s="84"/>
      <c r="B27" s="132" t="s">
        <v>137</v>
      </c>
      <c r="C27" s="113" t="s">
        <v>31</v>
      </c>
      <c r="D27" s="132"/>
      <c r="E27" s="110" t="s">
        <v>32</v>
      </c>
      <c r="F27" s="112"/>
      <c r="G27" s="168" t="s">
        <v>33</v>
      </c>
      <c r="H27" s="132"/>
      <c r="I27" s="110" t="s">
        <v>34</v>
      </c>
      <c r="J27" s="112"/>
      <c r="K27" s="168" t="s">
        <v>35</v>
      </c>
      <c r="L27" s="132"/>
      <c r="M27" s="110" t="s">
        <v>36</v>
      </c>
      <c r="N27" s="112"/>
      <c r="O27" s="110" t="s">
        <v>144</v>
      </c>
      <c r="P27" s="84"/>
      <c r="Q27" s="78"/>
    </row>
    <row r="28" spans="1:17" s="75" customFormat="1" ht="14.4" thickBot="1" x14ac:dyDescent="0.35">
      <c r="A28" s="76"/>
      <c r="B28" s="126"/>
      <c r="C28" s="117" t="s">
        <v>23</v>
      </c>
      <c r="D28" s="133"/>
      <c r="E28" s="143" t="s">
        <v>968</v>
      </c>
      <c r="F28" s="119"/>
      <c r="G28" s="143" t="s">
        <v>968</v>
      </c>
      <c r="H28" s="139"/>
      <c r="I28" s="143" t="s">
        <v>968</v>
      </c>
      <c r="J28" s="118"/>
      <c r="K28" s="143" t="s">
        <v>968</v>
      </c>
      <c r="L28" s="139"/>
      <c r="M28" s="143" t="s">
        <v>968</v>
      </c>
      <c r="N28" s="118"/>
      <c r="O28" s="143" t="s">
        <v>968</v>
      </c>
      <c r="P28" s="29"/>
      <c r="Q28" s="29"/>
    </row>
    <row r="29" spans="1:17" ht="14.4" thickTop="1" x14ac:dyDescent="0.3">
      <c r="A29" s="60"/>
      <c r="B29" s="123" t="s">
        <v>15</v>
      </c>
      <c r="C29" s="85" t="s">
        <v>41</v>
      </c>
      <c r="D29" s="136"/>
      <c r="E29" s="167" t="s">
        <v>1133</v>
      </c>
      <c r="F29" s="176"/>
      <c r="G29" s="105" t="s">
        <v>1146</v>
      </c>
      <c r="H29" s="136"/>
      <c r="I29" s="167" t="s">
        <v>1169</v>
      </c>
      <c r="J29" s="176"/>
      <c r="K29" s="105" t="s">
        <v>1174</v>
      </c>
      <c r="L29" s="129" t="s">
        <v>14</v>
      </c>
      <c r="M29" s="148" t="s">
        <v>14</v>
      </c>
      <c r="N29" s="13" t="s">
        <v>14</v>
      </c>
      <c r="O29" s="148" t="s">
        <v>14</v>
      </c>
      <c r="Q29" s="66"/>
    </row>
    <row r="30" spans="1:17" ht="27.6" x14ac:dyDescent="0.3">
      <c r="A30" s="60"/>
      <c r="B30" s="123" t="s">
        <v>10</v>
      </c>
      <c r="C30" s="85" t="s">
        <v>40</v>
      </c>
      <c r="D30" s="136"/>
      <c r="E30" s="167" t="s">
        <v>1134</v>
      </c>
      <c r="F30" s="176"/>
      <c r="G30" s="105" t="s">
        <v>1147</v>
      </c>
      <c r="H30" s="136"/>
      <c r="I30" s="167" t="s">
        <v>1136</v>
      </c>
      <c r="J30" s="794" t="s">
        <v>14</v>
      </c>
      <c r="K30" s="13" t="s">
        <v>14</v>
      </c>
      <c r="L30" s="129" t="s">
        <v>14</v>
      </c>
      <c r="M30" s="148" t="s">
        <v>14</v>
      </c>
      <c r="N30" s="13" t="s">
        <v>14</v>
      </c>
      <c r="O30" s="148" t="s">
        <v>14</v>
      </c>
      <c r="Q30" s="66"/>
    </row>
    <row r="31" spans="1:17" x14ac:dyDescent="0.3">
      <c r="A31" s="60"/>
      <c r="B31" s="122" t="s">
        <v>38</v>
      </c>
      <c r="C31" s="85" t="s">
        <v>45</v>
      </c>
      <c r="D31" s="136"/>
      <c r="E31" s="167" t="s">
        <v>1135</v>
      </c>
      <c r="F31" s="176"/>
      <c r="G31" s="105" t="s">
        <v>1148</v>
      </c>
      <c r="H31" s="129" t="s">
        <v>14</v>
      </c>
      <c r="I31" s="148" t="s">
        <v>14</v>
      </c>
      <c r="J31" s="13" t="s">
        <v>14</v>
      </c>
      <c r="K31" s="13" t="s">
        <v>14</v>
      </c>
      <c r="L31" s="129" t="s">
        <v>14</v>
      </c>
      <c r="M31" s="148" t="s">
        <v>14</v>
      </c>
      <c r="N31" s="13" t="s">
        <v>14</v>
      </c>
      <c r="O31" s="148" t="s">
        <v>14</v>
      </c>
      <c r="Q31" s="66"/>
    </row>
    <row r="32" spans="1:17" ht="27.6" x14ac:dyDescent="0.3">
      <c r="A32" s="60"/>
      <c r="B32" s="284" t="s">
        <v>38</v>
      </c>
      <c r="C32" s="150" t="s">
        <v>44</v>
      </c>
      <c r="D32" s="153"/>
      <c r="E32" s="166" t="s">
        <v>1136</v>
      </c>
      <c r="F32" s="169"/>
      <c r="G32" s="160" t="s">
        <v>1149</v>
      </c>
      <c r="H32" s="153"/>
      <c r="I32" s="166" t="s">
        <v>1141</v>
      </c>
      <c r="J32" s="169"/>
      <c r="K32" s="160" t="s">
        <v>1178</v>
      </c>
      <c r="L32" s="153"/>
      <c r="M32" s="166" t="s">
        <v>967</v>
      </c>
      <c r="N32" s="152" t="s">
        <v>14</v>
      </c>
      <c r="O32" s="157" t="s">
        <v>14</v>
      </c>
      <c r="Q32" s="66"/>
    </row>
    <row r="33" spans="1:17" x14ac:dyDescent="0.3">
      <c r="A33" s="369"/>
      <c r="B33" s="76"/>
      <c r="C33" s="29"/>
      <c r="D33" s="369"/>
      <c r="E33" s="371"/>
      <c r="F33" s="369"/>
      <c r="G33" s="85"/>
      <c r="H33" s="369"/>
      <c r="J33" s="369"/>
      <c r="L33" s="369"/>
      <c r="N33" s="369"/>
      <c r="P33" s="369"/>
    </row>
    <row r="34" spans="1:17" s="86" customFormat="1" x14ac:dyDescent="0.3">
      <c r="B34" s="85"/>
      <c r="C34" s="83"/>
      <c r="E34" s="87"/>
      <c r="G34" s="25"/>
      <c r="I34" s="87"/>
      <c r="K34" s="87"/>
      <c r="M34" s="87"/>
      <c r="O34" s="87"/>
      <c r="Q34" s="87"/>
    </row>
    <row r="35" spans="1:17" s="86" customFormat="1" x14ac:dyDescent="0.3">
      <c r="A35" s="290"/>
      <c r="B35" s="291" t="s">
        <v>48</v>
      </c>
      <c r="C35" s="292"/>
      <c r="D35" s="290"/>
      <c r="E35" s="292"/>
      <c r="F35" s="290"/>
      <c r="G35" s="293"/>
      <c r="H35" s="290"/>
      <c r="I35" s="292"/>
      <c r="J35" s="290"/>
      <c r="K35" s="292"/>
      <c r="L35" s="290"/>
      <c r="M35" s="290"/>
      <c r="N35" s="290"/>
      <c r="O35" s="292"/>
      <c r="P35" s="290"/>
      <c r="Q35" s="292"/>
    </row>
    <row r="36" spans="1:17" s="86" customFormat="1" x14ac:dyDescent="0.3">
      <c r="A36" s="71"/>
      <c r="B36" s="24" t="s">
        <v>9</v>
      </c>
      <c r="C36" s="87"/>
      <c r="D36" s="84"/>
      <c r="E36" s="85"/>
      <c r="F36" s="84"/>
      <c r="G36" s="29"/>
      <c r="H36" s="84"/>
      <c r="I36" s="85"/>
      <c r="J36" s="84"/>
      <c r="K36" s="85"/>
      <c r="L36" s="84"/>
      <c r="M36" s="85"/>
      <c r="N36" s="84"/>
      <c r="O36" s="77"/>
      <c r="P36" s="84"/>
      <c r="Q36" s="77"/>
    </row>
    <row r="37" spans="1:17" s="86" customFormat="1" x14ac:dyDescent="0.3">
      <c r="B37" s="83" t="s">
        <v>17</v>
      </c>
      <c r="C37" s="87"/>
      <c r="E37" s="87"/>
      <c r="G37" s="25"/>
      <c r="I37" s="87"/>
      <c r="J37" s="84"/>
      <c r="K37" s="87"/>
      <c r="L37" s="84"/>
      <c r="M37" s="87"/>
      <c r="N37" s="84"/>
      <c r="O37" s="77"/>
      <c r="P37" s="84"/>
      <c r="Q37" s="77"/>
    </row>
    <row r="38" spans="1:17" s="40" customFormat="1" ht="41.4" x14ac:dyDescent="0.3">
      <c r="A38" s="84"/>
      <c r="B38" s="132" t="s">
        <v>137</v>
      </c>
      <c r="C38" s="113" t="s">
        <v>31</v>
      </c>
      <c r="D38" s="132"/>
      <c r="E38" s="142" t="s">
        <v>49</v>
      </c>
      <c r="F38" s="112"/>
      <c r="G38" s="113" t="s">
        <v>11</v>
      </c>
      <c r="H38" s="132"/>
      <c r="I38" s="142" t="s">
        <v>495</v>
      </c>
      <c r="J38" s="115"/>
      <c r="K38" s="113" t="s">
        <v>496</v>
      </c>
      <c r="L38" s="138"/>
      <c r="M38" s="142" t="s">
        <v>497</v>
      </c>
      <c r="N38" s="115"/>
      <c r="O38" s="116" t="s">
        <v>498</v>
      </c>
      <c r="P38" s="138"/>
      <c r="Q38" s="109" t="s">
        <v>499</v>
      </c>
    </row>
    <row r="39" spans="1:17" s="75" customFormat="1" ht="14.4" thickBot="1" x14ac:dyDescent="0.35">
      <c r="A39" s="76"/>
      <c r="B39" s="126"/>
      <c r="C39" s="117" t="s">
        <v>23</v>
      </c>
      <c r="D39" s="133"/>
      <c r="E39" s="143" t="s">
        <v>50</v>
      </c>
      <c r="F39" s="119"/>
      <c r="G39" s="117" t="s">
        <v>25</v>
      </c>
      <c r="H39" s="139"/>
      <c r="I39" s="143" t="s">
        <v>24</v>
      </c>
      <c r="J39" s="118"/>
      <c r="K39" s="117" t="s">
        <v>140</v>
      </c>
      <c r="L39" s="139"/>
      <c r="M39" s="143" t="s">
        <v>141</v>
      </c>
      <c r="N39" s="118"/>
      <c r="O39" s="117" t="s">
        <v>142</v>
      </c>
      <c r="P39" s="126"/>
      <c r="Q39" s="143" t="s">
        <v>143</v>
      </c>
    </row>
    <row r="40" spans="1:17" ht="28.2" thickTop="1" x14ac:dyDescent="0.3">
      <c r="B40" s="123" t="s">
        <v>10</v>
      </c>
      <c r="C40" s="85" t="s">
        <v>1116</v>
      </c>
      <c r="D40" s="349"/>
      <c r="E40" s="146" t="s">
        <v>51</v>
      </c>
      <c r="F40" s="176"/>
      <c r="G40" s="85" t="s">
        <v>30</v>
      </c>
      <c r="H40" s="221"/>
      <c r="I40" s="144">
        <v>4.9000000000000002E-2</v>
      </c>
      <c r="J40" s="176"/>
      <c r="K40" s="31">
        <v>0.85</v>
      </c>
      <c r="L40" s="136"/>
      <c r="M40" s="222">
        <v>0.85</v>
      </c>
      <c r="N40" s="176"/>
      <c r="O40" s="31">
        <v>0.2</v>
      </c>
      <c r="P40" s="136"/>
      <c r="Q40" s="147">
        <v>0.92</v>
      </c>
    </row>
    <row r="41" spans="1:17" x14ac:dyDescent="0.3">
      <c r="B41" s="123" t="s">
        <v>15</v>
      </c>
      <c r="C41" s="85" t="s">
        <v>1115</v>
      </c>
      <c r="D41" s="129" t="s">
        <v>14</v>
      </c>
      <c r="E41" s="218" t="s">
        <v>14</v>
      </c>
      <c r="F41" s="176"/>
      <c r="G41" s="85" t="s">
        <v>16</v>
      </c>
      <c r="H41" s="221"/>
      <c r="I41" s="146">
        <v>6.9000000000000006E-2</v>
      </c>
      <c r="J41" s="13" t="s">
        <v>14</v>
      </c>
      <c r="K41" s="13" t="s">
        <v>14</v>
      </c>
      <c r="L41" s="129" t="s">
        <v>14</v>
      </c>
      <c r="M41" s="148" t="s">
        <v>14</v>
      </c>
      <c r="N41" s="13" t="s">
        <v>14</v>
      </c>
      <c r="O41" s="13" t="s">
        <v>14</v>
      </c>
      <c r="P41" s="129" t="s">
        <v>14</v>
      </c>
      <c r="Q41" s="148" t="s">
        <v>14</v>
      </c>
    </row>
    <row r="42" spans="1:17" x14ac:dyDescent="0.3">
      <c r="B42" s="284" t="s">
        <v>38</v>
      </c>
      <c r="C42" s="150" t="s">
        <v>52</v>
      </c>
      <c r="D42" s="152" t="s">
        <v>14</v>
      </c>
      <c r="E42" s="219" t="s">
        <v>14</v>
      </c>
      <c r="F42" s="169"/>
      <c r="G42" s="150" t="s">
        <v>43</v>
      </c>
      <c r="H42" s="277"/>
      <c r="I42" s="155">
        <v>7.0999999999999994E-2</v>
      </c>
      <c r="J42" s="156" t="s">
        <v>14</v>
      </c>
      <c r="K42" s="156" t="s">
        <v>14</v>
      </c>
      <c r="L42" s="152" t="s">
        <v>14</v>
      </c>
      <c r="M42" s="157" t="s">
        <v>14</v>
      </c>
      <c r="N42" s="156" t="s">
        <v>14</v>
      </c>
      <c r="O42" s="156" t="s">
        <v>14</v>
      </c>
      <c r="P42" s="152" t="s">
        <v>14</v>
      </c>
      <c r="Q42" s="157" t="s">
        <v>14</v>
      </c>
    </row>
    <row r="43" spans="1:17" x14ac:dyDescent="0.3">
      <c r="B43" s="83"/>
    </row>
    <row r="44" spans="1:17" x14ac:dyDescent="0.3">
      <c r="B44" s="83" t="s">
        <v>18</v>
      </c>
    </row>
    <row r="45" spans="1:17" s="40" customFormat="1" ht="27.6" x14ac:dyDescent="0.3">
      <c r="A45" s="84"/>
      <c r="B45" s="132" t="s">
        <v>137</v>
      </c>
      <c r="C45" s="113" t="s">
        <v>31</v>
      </c>
      <c r="D45" s="132"/>
      <c r="E45" s="142" t="s">
        <v>11</v>
      </c>
      <c r="F45" s="132"/>
      <c r="G45" s="142" t="s">
        <v>495</v>
      </c>
      <c r="H45" s="132"/>
      <c r="I45" s="142" t="s">
        <v>22</v>
      </c>
      <c r="J45" s="112"/>
      <c r="K45" s="142" t="s">
        <v>39</v>
      </c>
      <c r="L45" s="84"/>
      <c r="M45" s="36"/>
      <c r="N45" s="84"/>
      <c r="O45" s="36"/>
      <c r="P45" s="84"/>
      <c r="Q45" s="36"/>
    </row>
    <row r="46" spans="1:17" s="75" customFormat="1" ht="14.4" thickBot="1" x14ac:dyDescent="0.35">
      <c r="A46" s="76"/>
      <c r="B46" s="126"/>
      <c r="C46" s="117" t="s">
        <v>46</v>
      </c>
      <c r="D46" s="133"/>
      <c r="E46" s="143" t="s">
        <v>26</v>
      </c>
      <c r="F46" s="133"/>
      <c r="G46" s="143" t="s">
        <v>47</v>
      </c>
      <c r="H46" s="139"/>
      <c r="I46" s="143" t="s">
        <v>28</v>
      </c>
      <c r="J46" s="118"/>
      <c r="K46" s="143" t="s">
        <v>29</v>
      </c>
      <c r="L46" s="76"/>
      <c r="M46" s="29"/>
      <c r="N46" s="76"/>
      <c r="O46" s="29"/>
      <c r="P46" s="29"/>
      <c r="Q46" s="29"/>
    </row>
    <row r="47" spans="1:17" ht="14.4" thickTop="1" x14ac:dyDescent="0.3">
      <c r="A47" s="103"/>
      <c r="B47" s="149" t="s">
        <v>20</v>
      </c>
      <c r="C47" s="160" t="s">
        <v>19</v>
      </c>
      <c r="D47" s="153"/>
      <c r="E47" s="166" t="s">
        <v>19</v>
      </c>
      <c r="F47" s="153"/>
      <c r="G47" s="155">
        <v>0.36</v>
      </c>
      <c r="H47" s="153"/>
      <c r="I47" s="163">
        <v>0.25</v>
      </c>
      <c r="J47" s="169"/>
      <c r="K47" s="163">
        <v>0.42</v>
      </c>
      <c r="M47" s="31"/>
    </row>
    <row r="48" spans="1:17" x14ac:dyDescent="0.3">
      <c r="B48" s="83"/>
    </row>
    <row r="49" spans="1:17" x14ac:dyDescent="0.3">
      <c r="A49" s="294"/>
      <c r="B49" s="45" t="s">
        <v>53</v>
      </c>
      <c r="C49" s="38"/>
      <c r="D49" s="40"/>
      <c r="E49" s="38"/>
      <c r="F49" s="40"/>
      <c r="G49" s="38"/>
      <c r="H49" s="40"/>
      <c r="I49" s="38"/>
      <c r="J49" s="40"/>
      <c r="K49" s="38"/>
      <c r="L49" s="40"/>
      <c r="M49" s="38"/>
      <c r="N49" s="40"/>
      <c r="O49" s="38"/>
      <c r="P49" s="84"/>
      <c r="Q49" s="38"/>
    </row>
    <row r="50" spans="1:17" x14ac:dyDescent="0.3">
      <c r="B50" s="83" t="s">
        <v>17</v>
      </c>
      <c r="N50" s="63"/>
    </row>
    <row r="51" spans="1:17" s="40" customFormat="1" x14ac:dyDescent="0.3">
      <c r="A51" s="84"/>
      <c r="B51" s="132" t="s">
        <v>137</v>
      </c>
      <c r="C51" s="113" t="s">
        <v>31</v>
      </c>
      <c r="D51" s="132"/>
      <c r="E51" s="110" t="s">
        <v>32</v>
      </c>
      <c r="F51" s="112"/>
      <c r="G51" s="168" t="s">
        <v>33</v>
      </c>
      <c r="H51" s="132"/>
      <c r="I51" s="110" t="s">
        <v>34</v>
      </c>
      <c r="J51" s="112"/>
      <c r="K51" s="168" t="s">
        <v>35</v>
      </c>
      <c r="L51" s="132"/>
      <c r="M51" s="110" t="s">
        <v>36</v>
      </c>
      <c r="N51" s="112"/>
      <c r="O51" s="110" t="s">
        <v>144</v>
      </c>
      <c r="P51" s="112"/>
      <c r="Q51" s="110" t="s">
        <v>1114</v>
      </c>
    </row>
    <row r="52" spans="1:17" s="75" customFormat="1" ht="14.4" thickBot="1" x14ac:dyDescent="0.35">
      <c r="A52" s="76"/>
      <c r="B52" s="126"/>
      <c r="C52" s="117" t="s">
        <v>23</v>
      </c>
      <c r="D52" s="133"/>
      <c r="E52" s="143" t="s">
        <v>968</v>
      </c>
      <c r="F52" s="119"/>
      <c r="G52" s="143" t="s">
        <v>968</v>
      </c>
      <c r="H52" s="139"/>
      <c r="I52" s="143" t="s">
        <v>968</v>
      </c>
      <c r="J52" s="118"/>
      <c r="K52" s="143" t="s">
        <v>968</v>
      </c>
      <c r="L52" s="139"/>
      <c r="M52" s="143" t="s">
        <v>968</v>
      </c>
      <c r="N52" s="118"/>
      <c r="O52" s="143" t="s">
        <v>968</v>
      </c>
      <c r="P52" s="118"/>
      <c r="Q52" s="143" t="s">
        <v>968</v>
      </c>
    </row>
    <row r="53" spans="1:17" ht="25.5" customHeight="1" thickTop="1" x14ac:dyDescent="0.3">
      <c r="A53" s="60"/>
      <c r="B53" s="123" t="s">
        <v>15</v>
      </c>
      <c r="C53" s="85" t="s">
        <v>1115</v>
      </c>
      <c r="D53" s="134"/>
      <c r="E53" s="187" t="s">
        <v>1133</v>
      </c>
      <c r="F53" s="134"/>
      <c r="G53" s="66" t="s">
        <v>1150</v>
      </c>
      <c r="H53" s="134"/>
      <c r="I53" s="85" t="s">
        <v>1170</v>
      </c>
      <c r="J53" s="349"/>
      <c r="K53" s="187" t="s">
        <v>1179</v>
      </c>
      <c r="L53" s="134"/>
      <c r="M53" s="187" t="s">
        <v>1184</v>
      </c>
      <c r="N53" s="134"/>
      <c r="O53" s="187" t="s">
        <v>1173</v>
      </c>
      <c r="P53" s="134"/>
      <c r="Q53" s="187" t="s">
        <v>1174</v>
      </c>
    </row>
    <row r="54" spans="1:17" ht="25.5" customHeight="1" x14ac:dyDescent="0.3">
      <c r="A54" s="60"/>
      <c r="B54" s="122" t="s">
        <v>10</v>
      </c>
      <c r="C54" s="85" t="s">
        <v>1116</v>
      </c>
      <c r="D54" s="136"/>
      <c r="E54" s="365" t="s">
        <v>1137</v>
      </c>
      <c r="F54" s="136"/>
      <c r="G54" s="85" t="s">
        <v>1151</v>
      </c>
      <c r="H54" s="129" t="s">
        <v>14</v>
      </c>
      <c r="I54" s="148" t="s">
        <v>14</v>
      </c>
      <c r="J54" s="129" t="s">
        <v>14</v>
      </c>
      <c r="K54" s="13" t="s">
        <v>14</v>
      </c>
      <c r="L54" s="129" t="s">
        <v>14</v>
      </c>
      <c r="M54" s="148" t="s">
        <v>14</v>
      </c>
      <c r="N54" s="13" t="s">
        <v>14</v>
      </c>
      <c r="O54" s="148" t="s">
        <v>14</v>
      </c>
      <c r="P54" s="13" t="s">
        <v>14</v>
      </c>
      <c r="Q54" s="148" t="s">
        <v>14</v>
      </c>
    </row>
    <row r="55" spans="1:17" x14ac:dyDescent="0.3">
      <c r="A55" s="60"/>
      <c r="B55" s="284" t="s">
        <v>38</v>
      </c>
      <c r="C55" s="150" t="s">
        <v>52</v>
      </c>
      <c r="D55" s="153"/>
      <c r="E55" s="166" t="s">
        <v>1138</v>
      </c>
      <c r="F55" s="153"/>
      <c r="G55" s="160" t="s">
        <v>1152</v>
      </c>
      <c r="H55" s="153"/>
      <c r="I55" s="166" t="s">
        <v>1171</v>
      </c>
      <c r="J55" s="152" t="s">
        <v>14</v>
      </c>
      <c r="K55" s="157" t="s">
        <v>14</v>
      </c>
      <c r="L55" s="156" t="s">
        <v>14</v>
      </c>
      <c r="M55" s="157" t="s">
        <v>14</v>
      </c>
      <c r="N55" s="156" t="s">
        <v>14</v>
      </c>
      <c r="O55" s="157" t="s">
        <v>14</v>
      </c>
      <c r="P55" s="156" t="s">
        <v>14</v>
      </c>
      <c r="Q55" s="157" t="s">
        <v>14</v>
      </c>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Y63"/>
  <sheetViews>
    <sheetView zoomScale="85" zoomScaleNormal="85" workbookViewId="0">
      <selection activeCell="G7" sqref="G7"/>
    </sheetView>
  </sheetViews>
  <sheetFormatPr defaultColWidth="9.109375" defaultRowHeight="13.8" x14ac:dyDescent="0.3"/>
  <cols>
    <col min="1" max="1" width="3.6640625" style="93" customWidth="1"/>
    <col min="2" max="2" width="20.6640625" style="85" customWidth="1"/>
    <col min="3" max="3" width="28" style="85" customWidth="1"/>
    <col min="4" max="4" width="2.6640625" style="106" customWidth="1"/>
    <col min="5" max="5" width="27.44140625" style="85" customWidth="1"/>
    <col min="6" max="6" width="2.6640625" style="106" customWidth="1"/>
    <col min="7" max="7" width="29.5546875" style="85" customWidth="1"/>
    <col min="8" max="8" width="2.6640625" style="103" customWidth="1"/>
    <col min="9" max="9" width="21.6640625" style="85" customWidth="1"/>
    <col min="10" max="10" width="2.6640625" style="103" customWidth="1"/>
    <col min="11" max="11" width="29" style="85" customWidth="1"/>
    <col min="12" max="12" width="2.6640625" style="103" customWidth="1"/>
    <col min="13" max="13" width="24.6640625" style="85" customWidth="1"/>
    <col min="14" max="14" width="2.6640625" style="103" customWidth="1"/>
    <col min="15" max="15" width="27.5546875" style="85" customWidth="1"/>
    <col min="16" max="16" width="2.6640625" style="103" customWidth="1"/>
    <col min="17" max="17" width="21.6640625" style="85" customWidth="1"/>
    <col min="18" max="18" width="2.6640625" style="103" customWidth="1"/>
    <col min="19" max="19" width="18.5546875" style="85" customWidth="1"/>
    <col min="20" max="20" width="2.6640625" style="103" customWidth="1"/>
    <col min="21" max="21" width="17.109375" style="85" customWidth="1"/>
    <col min="22" max="22" width="2.6640625" style="103" customWidth="1"/>
    <col min="23" max="23" width="20.109375" style="85" customWidth="1"/>
    <col min="24" max="16384" width="9.109375" style="63"/>
  </cols>
  <sheetData>
    <row r="1" spans="1:24" x14ac:dyDescent="0.3">
      <c r="B1" s="67"/>
    </row>
    <row r="2" spans="1:24" x14ac:dyDescent="0.3">
      <c r="B2" s="568" t="s">
        <v>5</v>
      </c>
      <c r="C2" s="568"/>
      <c r="D2" s="575"/>
      <c r="E2" s="568" t="s">
        <v>6</v>
      </c>
      <c r="J2" s="567"/>
      <c r="K2" s="568" t="s">
        <v>1101</v>
      </c>
    </row>
    <row r="3" spans="1:24" x14ac:dyDescent="0.3">
      <c r="B3" s="85" t="s">
        <v>0</v>
      </c>
      <c r="C3" s="65" t="s">
        <v>917</v>
      </c>
      <c r="E3" s="85" t="s">
        <v>8</v>
      </c>
      <c r="G3" s="65" t="str">
        <f>'Documentation Main Sheet'!I2</f>
        <v>r6055</v>
      </c>
      <c r="J3" s="569"/>
      <c r="K3" s="369" t="s">
        <v>1102</v>
      </c>
    </row>
    <row r="4" spans="1:24" ht="27.6" x14ac:dyDescent="0.3">
      <c r="B4" s="85" t="s">
        <v>1</v>
      </c>
      <c r="C4" s="85" t="str">
        <f>C3&amp;".cibd"</f>
        <v>020015S-OffSml-Run02.cibd</v>
      </c>
      <c r="E4" s="85" t="s">
        <v>110</v>
      </c>
      <c r="G4" s="85" t="str">
        <f>'Documentation Main Sheet'!I3</f>
        <v>Release package</v>
      </c>
      <c r="J4" s="570">
        <v>1</v>
      </c>
      <c r="K4" s="378" t="s">
        <v>1103</v>
      </c>
    </row>
    <row r="5" spans="1:24" x14ac:dyDescent="0.3">
      <c r="B5" s="85" t="s">
        <v>54</v>
      </c>
      <c r="C5" s="85" t="s">
        <v>55</v>
      </c>
      <c r="E5" s="85" t="s">
        <v>7</v>
      </c>
      <c r="G5" s="85" t="str">
        <f>'Documentation Main Sheet'!I4</f>
        <v>CBECC-Com 209.1.0 release</v>
      </c>
      <c r="H5" s="62"/>
      <c r="J5" s="571">
        <v>1</v>
      </c>
      <c r="K5" s="378" t="s">
        <v>1103</v>
      </c>
    </row>
    <row r="6" spans="1:24" x14ac:dyDescent="0.3">
      <c r="B6" s="103" t="s">
        <v>390</v>
      </c>
      <c r="C6" s="85" t="s">
        <v>392</v>
      </c>
      <c r="E6" s="85" t="s">
        <v>2</v>
      </c>
      <c r="G6" s="394">
        <v>43768</v>
      </c>
      <c r="J6" s="572">
        <v>1</v>
      </c>
      <c r="K6" s="381" t="s">
        <v>1104</v>
      </c>
    </row>
    <row r="7" spans="1:24" x14ac:dyDescent="0.3">
      <c r="B7" s="103" t="s">
        <v>432</v>
      </c>
      <c r="C7" s="85" t="s">
        <v>393</v>
      </c>
      <c r="E7" s="85" t="s">
        <v>3</v>
      </c>
      <c r="G7" s="85" t="s">
        <v>1544</v>
      </c>
      <c r="J7" s="573">
        <v>1</v>
      </c>
      <c r="K7" s="378" t="s">
        <v>1105</v>
      </c>
    </row>
    <row r="8" spans="1:24" x14ac:dyDescent="0.3">
      <c r="B8" s="369" t="s">
        <v>952</v>
      </c>
      <c r="C8" s="85" t="s">
        <v>953</v>
      </c>
      <c r="J8" s="796">
        <v>1</v>
      </c>
      <c r="K8" s="369" t="s">
        <v>1396</v>
      </c>
    </row>
    <row r="10" spans="1:24" s="86" customFormat="1" x14ac:dyDescent="0.3">
      <c r="A10" s="286"/>
      <c r="B10" s="287" t="s">
        <v>37</v>
      </c>
      <c r="C10" s="288"/>
      <c r="D10" s="300"/>
      <c r="E10" s="289"/>
      <c r="F10" s="300"/>
      <c r="G10" s="288"/>
      <c r="H10" s="286"/>
      <c r="I10" s="288"/>
      <c r="J10" s="286"/>
      <c r="K10" s="288"/>
      <c r="L10" s="286"/>
      <c r="M10" s="288"/>
      <c r="N10" s="286"/>
      <c r="O10" s="288"/>
      <c r="P10" s="288"/>
      <c r="Q10" s="288"/>
      <c r="R10" s="286"/>
      <c r="S10" s="288"/>
      <c r="T10" s="286"/>
      <c r="U10" s="288"/>
      <c r="V10" s="286"/>
      <c r="W10" s="288"/>
    </row>
    <row r="11" spans="1:24" s="86" customFormat="1" x14ac:dyDescent="0.3">
      <c r="A11" s="26"/>
      <c r="B11" s="44" t="s">
        <v>9</v>
      </c>
      <c r="C11" s="87"/>
      <c r="D11" s="84"/>
      <c r="E11" s="77"/>
      <c r="F11" s="84"/>
      <c r="G11" s="77"/>
      <c r="H11" s="84"/>
      <c r="I11" s="77"/>
      <c r="J11" s="84"/>
      <c r="K11" s="77"/>
      <c r="L11" s="84"/>
      <c r="M11" s="77"/>
      <c r="N11" s="84"/>
      <c r="O11" s="77"/>
      <c r="P11" s="84"/>
      <c r="Q11" s="77"/>
      <c r="R11" s="84"/>
      <c r="S11" s="77"/>
      <c r="T11" s="84"/>
      <c r="U11" s="77"/>
      <c r="V11" s="84"/>
      <c r="W11" s="77"/>
      <c r="X11" s="41"/>
    </row>
    <row r="12" spans="1:24" s="86" customFormat="1" x14ac:dyDescent="0.3">
      <c r="B12" s="77" t="s">
        <v>17</v>
      </c>
      <c r="C12" s="87"/>
      <c r="D12" s="84"/>
      <c r="E12" s="77"/>
      <c r="F12" s="84"/>
      <c r="G12" s="77"/>
      <c r="H12" s="84"/>
      <c r="I12" s="77"/>
      <c r="J12" s="84"/>
      <c r="K12" s="77"/>
      <c r="L12" s="84"/>
      <c r="M12" s="77"/>
      <c r="N12" s="84"/>
      <c r="O12" s="77"/>
      <c r="P12" s="77"/>
      <c r="Q12" s="77"/>
      <c r="R12" s="84"/>
      <c r="S12" s="77"/>
      <c r="T12" s="84"/>
      <c r="U12" s="77"/>
      <c r="V12" s="84"/>
      <c r="W12" s="77"/>
      <c r="X12" s="41"/>
    </row>
    <row r="13" spans="1:24" ht="38.25" customHeight="1" x14ac:dyDescent="0.3">
      <c r="A13" s="103"/>
      <c r="B13" s="217" t="s">
        <v>137</v>
      </c>
      <c r="C13" s="116" t="s">
        <v>31</v>
      </c>
      <c r="D13" s="298"/>
      <c r="E13" s="109" t="s">
        <v>49</v>
      </c>
      <c r="F13" s="296"/>
      <c r="G13" s="116" t="s">
        <v>11</v>
      </c>
      <c r="H13" s="138"/>
      <c r="I13" s="109" t="s">
        <v>495</v>
      </c>
      <c r="J13" s="115"/>
      <c r="K13" s="116" t="s">
        <v>496</v>
      </c>
      <c r="L13" s="138"/>
      <c r="M13" s="109" t="s">
        <v>497</v>
      </c>
      <c r="N13" s="115"/>
      <c r="O13" s="116" t="s">
        <v>498</v>
      </c>
      <c r="P13" s="108"/>
      <c r="Q13" s="109" t="s">
        <v>499</v>
      </c>
      <c r="R13" s="115"/>
      <c r="S13" s="116" t="s">
        <v>588</v>
      </c>
      <c r="T13" s="138"/>
      <c r="U13" s="109" t="s">
        <v>969</v>
      </c>
      <c r="V13" s="115"/>
      <c r="W13" s="109" t="s">
        <v>589</v>
      </c>
      <c r="X13" s="41"/>
    </row>
    <row r="14" spans="1:24" s="75" customFormat="1" ht="14.4" thickBot="1" x14ac:dyDescent="0.35">
      <c r="A14" s="76"/>
      <c r="B14" s="126"/>
      <c r="C14" s="117" t="s">
        <v>23</v>
      </c>
      <c r="D14" s="133"/>
      <c r="E14" s="143" t="s">
        <v>50</v>
      </c>
      <c r="F14" s="119"/>
      <c r="G14" s="117" t="s">
        <v>25</v>
      </c>
      <c r="H14" s="139"/>
      <c r="I14" s="143" t="s">
        <v>24</v>
      </c>
      <c r="J14" s="118"/>
      <c r="K14" s="117" t="s">
        <v>140</v>
      </c>
      <c r="L14" s="139"/>
      <c r="M14" s="143" t="s">
        <v>141</v>
      </c>
      <c r="N14" s="118"/>
      <c r="O14" s="117" t="s">
        <v>142</v>
      </c>
      <c r="P14" s="126"/>
      <c r="Q14" s="143" t="s">
        <v>143</v>
      </c>
      <c r="R14" s="224"/>
      <c r="S14" s="117" t="s">
        <v>157</v>
      </c>
      <c r="T14" s="139"/>
      <c r="U14" s="143" t="s">
        <v>158</v>
      </c>
      <c r="V14" s="118"/>
      <c r="W14" s="143" t="s">
        <v>159</v>
      </c>
    </row>
    <row r="15" spans="1:24" ht="14.4" thickTop="1" x14ac:dyDescent="0.3">
      <c r="B15" s="124" t="s">
        <v>10</v>
      </c>
      <c r="C15" s="85" t="s">
        <v>40</v>
      </c>
      <c r="D15" s="349"/>
      <c r="E15" s="85" t="s">
        <v>51</v>
      </c>
      <c r="F15" s="349"/>
      <c r="G15" s="85" t="s">
        <v>30</v>
      </c>
      <c r="H15" s="349"/>
      <c r="I15" s="85">
        <v>5.2999999999999999E-2</v>
      </c>
      <c r="J15" s="349"/>
      <c r="K15" s="31">
        <v>0.7</v>
      </c>
      <c r="L15" s="349"/>
      <c r="M15" s="31">
        <v>0.7</v>
      </c>
      <c r="N15" s="349"/>
      <c r="O15" s="31">
        <v>0.6</v>
      </c>
      <c r="P15" s="349"/>
      <c r="Q15" s="31">
        <v>0.4</v>
      </c>
      <c r="R15" s="520" t="s">
        <v>14</v>
      </c>
      <c r="S15" s="13" t="s">
        <v>14</v>
      </c>
      <c r="T15" s="520" t="s">
        <v>14</v>
      </c>
      <c r="U15" s="13" t="s">
        <v>14</v>
      </c>
      <c r="V15" s="520" t="s">
        <v>14</v>
      </c>
      <c r="W15" s="148" t="s">
        <v>14</v>
      </c>
      <c r="X15" s="41"/>
    </row>
    <row r="16" spans="1:24" x14ac:dyDescent="0.3">
      <c r="B16" s="124" t="s">
        <v>15</v>
      </c>
      <c r="C16" s="85" t="s">
        <v>58</v>
      </c>
      <c r="D16" s="265" t="s">
        <v>14</v>
      </c>
      <c r="E16" s="13" t="s">
        <v>14</v>
      </c>
      <c r="F16" s="136"/>
      <c r="G16" s="85" t="s">
        <v>16</v>
      </c>
      <c r="H16" s="136"/>
      <c r="I16" s="85">
        <v>5.6000000000000001E-2</v>
      </c>
      <c r="J16" s="129" t="s">
        <v>14</v>
      </c>
      <c r="K16" s="13" t="s">
        <v>14</v>
      </c>
      <c r="L16" s="129" t="s">
        <v>14</v>
      </c>
      <c r="M16" s="13" t="s">
        <v>14</v>
      </c>
      <c r="N16" s="129" t="s">
        <v>14</v>
      </c>
      <c r="O16" s="13" t="s">
        <v>14</v>
      </c>
      <c r="P16" s="129" t="s">
        <v>14</v>
      </c>
      <c r="Q16" s="13" t="s">
        <v>14</v>
      </c>
      <c r="R16" s="129" t="s">
        <v>14</v>
      </c>
      <c r="S16" s="13" t="s">
        <v>14</v>
      </c>
      <c r="T16" s="129" t="s">
        <v>14</v>
      </c>
      <c r="U16" s="13" t="s">
        <v>14</v>
      </c>
      <c r="V16" s="129" t="s">
        <v>14</v>
      </c>
      <c r="W16" s="148" t="s">
        <v>14</v>
      </c>
      <c r="X16" s="41"/>
    </row>
    <row r="17" spans="1:25" x14ac:dyDescent="0.3">
      <c r="B17" s="122" t="s">
        <v>38</v>
      </c>
      <c r="C17" s="371" t="s">
        <v>45</v>
      </c>
      <c r="D17" s="265" t="s">
        <v>14</v>
      </c>
      <c r="E17" s="13" t="s">
        <v>14</v>
      </c>
      <c r="F17" s="136"/>
      <c r="G17" s="371" t="s">
        <v>43</v>
      </c>
      <c r="H17" s="136"/>
      <c r="I17" s="371">
        <v>7.0000000000000007E-2</v>
      </c>
      <c r="J17" s="129" t="s">
        <v>14</v>
      </c>
      <c r="K17" s="13" t="s">
        <v>14</v>
      </c>
      <c r="L17" s="129" t="s">
        <v>14</v>
      </c>
      <c r="M17" s="13" t="s">
        <v>14</v>
      </c>
      <c r="N17" s="129" t="s">
        <v>14</v>
      </c>
      <c r="O17" s="13" t="s">
        <v>14</v>
      </c>
      <c r="P17" s="129" t="s">
        <v>14</v>
      </c>
      <c r="Q17" s="13" t="s">
        <v>14</v>
      </c>
      <c r="R17" s="129" t="s">
        <v>14</v>
      </c>
      <c r="S17" s="13" t="s">
        <v>14</v>
      </c>
      <c r="T17" s="129" t="s">
        <v>14</v>
      </c>
      <c r="U17" s="13" t="s">
        <v>14</v>
      </c>
      <c r="V17" s="129" t="s">
        <v>14</v>
      </c>
      <c r="W17" s="148" t="s">
        <v>14</v>
      </c>
      <c r="X17" s="41"/>
    </row>
    <row r="18" spans="1:25" x14ac:dyDescent="0.3">
      <c r="B18" s="284" t="s">
        <v>57</v>
      </c>
      <c r="C18" s="160" t="s">
        <v>59</v>
      </c>
      <c r="D18" s="299" t="s">
        <v>14</v>
      </c>
      <c r="E18" s="156" t="s">
        <v>14</v>
      </c>
      <c r="F18" s="299" t="s">
        <v>14</v>
      </c>
      <c r="G18" s="156" t="s">
        <v>60</v>
      </c>
      <c r="H18" s="152" t="s">
        <v>14</v>
      </c>
      <c r="I18" s="156" t="s">
        <v>14</v>
      </c>
      <c r="J18" s="152" t="s">
        <v>14</v>
      </c>
      <c r="K18" s="156" t="s">
        <v>14</v>
      </c>
      <c r="L18" s="152" t="s">
        <v>14</v>
      </c>
      <c r="M18" s="156" t="s">
        <v>14</v>
      </c>
      <c r="N18" s="152" t="s">
        <v>14</v>
      </c>
      <c r="O18" s="156" t="s">
        <v>14</v>
      </c>
      <c r="P18" s="152" t="s">
        <v>14</v>
      </c>
      <c r="Q18" s="156" t="s">
        <v>14</v>
      </c>
      <c r="R18" s="153"/>
      <c r="S18" s="160">
        <v>0.7</v>
      </c>
      <c r="T18" s="153"/>
      <c r="U18" s="160">
        <v>3891.16</v>
      </c>
      <c r="V18" s="153"/>
      <c r="W18" s="166">
        <v>300</v>
      </c>
      <c r="X18" s="41"/>
    </row>
    <row r="19" spans="1:25" x14ac:dyDescent="0.3">
      <c r="B19" s="94"/>
      <c r="C19" s="94"/>
      <c r="E19" s="94"/>
      <c r="G19" s="94"/>
      <c r="I19" s="94"/>
      <c r="J19" s="7"/>
      <c r="K19" s="94"/>
      <c r="M19" s="94"/>
      <c r="O19" s="94"/>
      <c r="Q19" s="94"/>
      <c r="S19" s="94"/>
      <c r="U19" s="94"/>
      <c r="W19" s="94"/>
    </row>
    <row r="20" spans="1:25" x14ac:dyDescent="0.3">
      <c r="B20" s="83" t="s">
        <v>18</v>
      </c>
      <c r="C20" s="94"/>
      <c r="E20" s="94"/>
      <c r="G20" s="94"/>
      <c r="I20" s="94"/>
      <c r="J20" s="7"/>
      <c r="K20" s="94"/>
      <c r="M20" s="94"/>
      <c r="O20" s="94"/>
      <c r="Q20" s="94"/>
      <c r="S20" s="94"/>
      <c r="U20" s="94"/>
      <c r="W20" s="94"/>
    </row>
    <row r="21" spans="1:25" s="40" customFormat="1" ht="27.6" x14ac:dyDescent="0.3">
      <c r="A21" s="84"/>
      <c r="B21" s="132" t="s">
        <v>137</v>
      </c>
      <c r="C21" s="113" t="s">
        <v>31</v>
      </c>
      <c r="D21" s="132"/>
      <c r="E21" s="142" t="s">
        <v>11</v>
      </c>
      <c r="F21" s="132"/>
      <c r="G21" s="142" t="s">
        <v>495</v>
      </c>
      <c r="H21" s="132"/>
      <c r="I21" s="142" t="s">
        <v>22</v>
      </c>
      <c r="J21" s="112"/>
      <c r="K21" s="142" t="s">
        <v>39</v>
      </c>
      <c r="L21" s="84"/>
      <c r="M21" s="36"/>
      <c r="N21" s="84"/>
      <c r="O21" s="36"/>
      <c r="P21" s="84"/>
      <c r="Q21" s="36"/>
    </row>
    <row r="22" spans="1:25" s="75" customFormat="1" ht="14.4" thickBot="1" x14ac:dyDescent="0.35">
      <c r="A22" s="76"/>
      <c r="B22" s="126"/>
      <c r="C22" s="117" t="s">
        <v>46</v>
      </c>
      <c r="D22" s="133"/>
      <c r="E22" s="143" t="s">
        <v>26</v>
      </c>
      <c r="F22" s="133"/>
      <c r="G22" s="143" t="s">
        <v>47</v>
      </c>
      <c r="H22" s="139"/>
      <c r="I22" s="143" t="s">
        <v>28</v>
      </c>
      <c r="J22" s="118"/>
      <c r="K22" s="143" t="s">
        <v>29</v>
      </c>
      <c r="L22" s="76"/>
      <c r="M22" s="29"/>
      <c r="N22" s="76"/>
      <c r="O22" s="29"/>
      <c r="P22" s="29"/>
      <c r="Q22" s="29"/>
      <c r="R22" s="76"/>
      <c r="S22" s="103"/>
      <c r="T22" s="29"/>
      <c r="U22" s="76"/>
      <c r="V22" s="76"/>
      <c r="W22" s="29"/>
      <c r="X22" s="76"/>
    </row>
    <row r="23" spans="1:25" ht="14.4" thickTop="1" x14ac:dyDescent="0.3">
      <c r="A23" s="103"/>
      <c r="B23" s="149" t="s">
        <v>20</v>
      </c>
      <c r="C23" s="160" t="s">
        <v>19</v>
      </c>
      <c r="D23" s="153"/>
      <c r="E23" s="166" t="s">
        <v>19</v>
      </c>
      <c r="F23" s="153"/>
      <c r="G23" s="155">
        <v>0.25</v>
      </c>
      <c r="H23" s="153"/>
      <c r="I23" s="163">
        <v>0.2</v>
      </c>
      <c r="J23" s="169"/>
      <c r="K23" s="163">
        <v>0.45</v>
      </c>
      <c r="M23" s="31"/>
      <c r="R23" s="63"/>
      <c r="S23" s="63"/>
      <c r="T23" s="63"/>
      <c r="U23" s="63"/>
      <c r="V23" s="63"/>
      <c r="W23" s="63"/>
    </row>
    <row r="25" spans="1:25" x14ac:dyDescent="0.3">
      <c r="A25" s="26"/>
      <c r="B25" s="44" t="s">
        <v>53</v>
      </c>
      <c r="C25" s="38"/>
      <c r="D25" s="40"/>
      <c r="E25" s="38"/>
      <c r="F25" s="40"/>
      <c r="G25" s="38"/>
      <c r="H25" s="40"/>
      <c r="I25" s="38"/>
      <c r="J25" s="40"/>
      <c r="K25" s="38"/>
      <c r="L25" s="40"/>
      <c r="M25" s="40"/>
      <c r="N25" s="40"/>
      <c r="O25" s="40"/>
      <c r="Q25" s="40"/>
      <c r="R25" s="40"/>
      <c r="S25" s="40"/>
      <c r="T25" s="40"/>
      <c r="U25" s="40"/>
      <c r="V25" s="40"/>
      <c r="W25" s="40"/>
      <c r="X25" s="40"/>
    </row>
    <row r="26" spans="1:25" x14ac:dyDescent="0.3">
      <c r="A26" s="103"/>
      <c r="B26" s="77" t="s">
        <v>17</v>
      </c>
      <c r="C26" s="77"/>
      <c r="E26" s="77"/>
      <c r="G26" s="77"/>
      <c r="I26" s="77"/>
      <c r="K26" s="77"/>
      <c r="M26" s="77"/>
      <c r="O26" s="77"/>
      <c r="Q26" s="77"/>
      <c r="S26" s="77"/>
      <c r="U26" s="77"/>
      <c r="W26" s="77"/>
    </row>
    <row r="27" spans="1:25" x14ac:dyDescent="0.3">
      <c r="A27" s="103"/>
      <c r="B27" s="216" t="s">
        <v>137</v>
      </c>
      <c r="C27" s="116" t="s">
        <v>31</v>
      </c>
      <c r="D27" s="298"/>
      <c r="E27" s="109" t="s">
        <v>32</v>
      </c>
      <c r="F27" s="296"/>
      <c r="G27" s="116" t="s">
        <v>33</v>
      </c>
      <c r="H27" s="207"/>
      <c r="I27" s="109" t="s">
        <v>34</v>
      </c>
      <c r="J27" s="114"/>
      <c r="K27" s="116" t="s">
        <v>35</v>
      </c>
      <c r="L27" s="207"/>
      <c r="M27" s="109" t="s">
        <v>36</v>
      </c>
      <c r="N27" s="114"/>
      <c r="O27" s="109" t="s">
        <v>144</v>
      </c>
      <c r="Q27" s="77"/>
      <c r="S27" s="77"/>
      <c r="U27" s="77"/>
      <c r="W27" s="77"/>
    </row>
    <row r="28" spans="1:25" ht="14.4" thickBot="1" x14ac:dyDescent="0.35">
      <c r="A28" s="103"/>
      <c r="B28" s="303"/>
      <c r="C28" s="117" t="s">
        <v>23</v>
      </c>
      <c r="D28" s="133"/>
      <c r="E28" s="519" t="s">
        <v>968</v>
      </c>
      <c r="F28" s="119"/>
      <c r="G28" s="519" t="s">
        <v>968</v>
      </c>
      <c r="H28" s="139"/>
      <c r="I28" s="519" t="s">
        <v>968</v>
      </c>
      <c r="J28" s="118"/>
      <c r="K28" s="519" t="s">
        <v>968</v>
      </c>
      <c r="L28" s="139"/>
      <c r="M28" s="519" t="s">
        <v>968</v>
      </c>
      <c r="N28" s="118"/>
      <c r="O28" s="519" t="s">
        <v>968</v>
      </c>
      <c r="Q28" s="77"/>
      <c r="R28" s="369"/>
      <c r="S28" s="77"/>
      <c r="T28" s="369"/>
      <c r="U28" s="77"/>
      <c r="V28" s="369"/>
      <c r="W28" s="77"/>
    </row>
    <row r="29" spans="1:25" s="42" customFormat="1" ht="25.5" customHeight="1" thickTop="1" x14ac:dyDescent="0.3">
      <c r="A29" s="85"/>
      <c r="B29" s="124" t="s">
        <v>15</v>
      </c>
      <c r="C29" s="85" t="s">
        <v>58</v>
      </c>
      <c r="D29" s="134"/>
      <c r="E29" s="146" t="s">
        <v>1133</v>
      </c>
      <c r="F29" s="141"/>
      <c r="G29" s="85" t="s">
        <v>1146</v>
      </c>
      <c r="H29" s="134"/>
      <c r="I29" s="146" t="s">
        <v>1172</v>
      </c>
      <c r="J29" s="141"/>
      <c r="K29" s="85" t="s">
        <v>1180</v>
      </c>
      <c r="L29" s="134"/>
      <c r="M29" s="146" t="s">
        <v>1174</v>
      </c>
      <c r="N29" s="13" t="s">
        <v>14</v>
      </c>
      <c r="O29" s="148" t="s">
        <v>14</v>
      </c>
      <c r="P29" s="85"/>
      <c r="Q29" s="77"/>
      <c r="R29" s="369"/>
      <c r="S29" s="77"/>
      <c r="T29" s="369"/>
      <c r="U29" s="77"/>
      <c r="V29" s="369"/>
      <c r="W29" s="77"/>
      <c r="X29" s="63"/>
      <c r="Y29" s="63"/>
    </row>
    <row r="30" spans="1:25" ht="27.6" x14ac:dyDescent="0.3">
      <c r="A30" s="103"/>
      <c r="B30" s="124" t="s">
        <v>10</v>
      </c>
      <c r="C30" s="85" t="s">
        <v>40</v>
      </c>
      <c r="D30" s="136"/>
      <c r="E30" s="146" t="s">
        <v>1134</v>
      </c>
      <c r="F30" s="176"/>
      <c r="G30" s="85" t="s">
        <v>1147</v>
      </c>
      <c r="H30" s="136"/>
      <c r="I30" s="146" t="s">
        <v>1156</v>
      </c>
      <c r="J30" s="13" t="s">
        <v>14</v>
      </c>
      <c r="K30" s="13" t="s">
        <v>14</v>
      </c>
      <c r="L30" s="129" t="s">
        <v>14</v>
      </c>
      <c r="M30" s="148" t="s">
        <v>14</v>
      </c>
      <c r="N30" s="13" t="s">
        <v>14</v>
      </c>
      <c r="O30" s="148" t="s">
        <v>14</v>
      </c>
      <c r="Q30" s="77"/>
      <c r="R30" s="369"/>
      <c r="S30" s="77"/>
      <c r="T30" s="369"/>
      <c r="U30" s="77"/>
      <c r="V30" s="369"/>
      <c r="W30" s="77"/>
    </row>
    <row r="31" spans="1:25" x14ac:dyDescent="0.3">
      <c r="A31" s="103"/>
      <c r="B31" s="284" t="s">
        <v>38</v>
      </c>
      <c r="C31" s="160" t="s">
        <v>45</v>
      </c>
      <c r="D31" s="153"/>
      <c r="E31" s="166" t="s">
        <v>1135</v>
      </c>
      <c r="F31" s="169"/>
      <c r="G31" s="160" t="s">
        <v>1153</v>
      </c>
      <c r="H31" s="152" t="s">
        <v>14</v>
      </c>
      <c r="I31" s="157" t="s">
        <v>14</v>
      </c>
      <c r="J31" s="156" t="s">
        <v>14</v>
      </c>
      <c r="K31" s="156" t="s">
        <v>14</v>
      </c>
      <c r="L31" s="152" t="s">
        <v>14</v>
      </c>
      <c r="M31" s="157" t="s">
        <v>14</v>
      </c>
      <c r="N31" s="156" t="s">
        <v>14</v>
      </c>
      <c r="O31" s="157" t="s">
        <v>14</v>
      </c>
      <c r="Q31" s="77"/>
      <c r="R31" s="369"/>
      <c r="S31" s="77"/>
      <c r="T31" s="369"/>
      <c r="U31" s="77"/>
      <c r="V31" s="369"/>
      <c r="W31" s="77"/>
    </row>
    <row r="32" spans="1:25" x14ac:dyDescent="0.3">
      <c r="A32" s="369"/>
      <c r="B32" s="371"/>
      <c r="C32" s="371"/>
      <c r="D32" s="378"/>
      <c r="E32" s="371"/>
      <c r="F32" s="378"/>
      <c r="G32" s="371"/>
      <c r="H32" s="369"/>
      <c r="I32" s="371"/>
      <c r="J32" s="369"/>
      <c r="K32" s="371"/>
      <c r="L32" s="369"/>
      <c r="M32" s="371"/>
      <c r="N32" s="369"/>
      <c r="O32" s="371"/>
      <c r="P32" s="369"/>
      <c r="Q32" s="371"/>
      <c r="R32" s="369"/>
      <c r="S32" s="371"/>
      <c r="T32" s="369"/>
      <c r="U32" s="371"/>
      <c r="V32" s="369"/>
      <c r="W32" s="371"/>
    </row>
    <row r="33" spans="1:24" x14ac:dyDescent="0.3">
      <c r="A33" s="369"/>
      <c r="B33" s="63"/>
      <c r="C33" s="371"/>
      <c r="D33" s="298"/>
      <c r="E33" s="109" t="s">
        <v>1408</v>
      </c>
      <c r="F33" s="371"/>
      <c r="G33" s="371"/>
      <c r="H33" s="369"/>
      <c r="I33" s="371"/>
      <c r="J33" s="369"/>
      <c r="K33" s="371"/>
      <c r="L33" s="369"/>
      <c r="M33" s="371"/>
      <c r="N33" s="369"/>
      <c r="O33" s="371"/>
      <c r="P33" s="369"/>
      <c r="Q33" s="371"/>
      <c r="R33" s="369"/>
      <c r="S33" s="371"/>
      <c r="T33" s="369"/>
      <c r="U33" s="371"/>
      <c r="V33" s="369"/>
      <c r="W33" s="371"/>
    </row>
    <row r="34" spans="1:24" ht="14.4" thickBot="1" x14ac:dyDescent="0.35">
      <c r="A34" s="369"/>
      <c r="B34" s="63"/>
      <c r="C34" s="371"/>
      <c r="D34" s="133"/>
      <c r="E34" s="519" t="s">
        <v>1409</v>
      </c>
      <c r="F34" s="371"/>
      <c r="G34" s="371"/>
      <c r="H34" s="369"/>
      <c r="I34" s="371"/>
      <c r="J34" s="369"/>
      <c r="K34" s="371"/>
      <c r="L34" s="369"/>
      <c r="M34" s="371"/>
      <c r="N34" s="369"/>
      <c r="O34" s="371"/>
      <c r="P34" s="369"/>
      <c r="Q34" s="371"/>
      <c r="R34" s="369"/>
      <c r="S34" s="371"/>
      <c r="T34" s="369"/>
      <c r="U34" s="371"/>
      <c r="V34" s="369"/>
      <c r="W34" s="371"/>
    </row>
    <row r="35" spans="1:24" ht="14.4" thickTop="1" x14ac:dyDescent="0.3">
      <c r="A35" s="369"/>
      <c r="B35" s="371"/>
      <c r="C35" s="371"/>
      <c r="D35" s="165"/>
      <c r="E35" s="166" t="s">
        <v>1410</v>
      </c>
      <c r="F35" s="371"/>
      <c r="G35" s="371"/>
      <c r="H35" s="369"/>
      <c r="I35" s="371"/>
      <c r="J35" s="369"/>
      <c r="K35" s="371"/>
      <c r="L35" s="369"/>
      <c r="M35" s="371"/>
      <c r="N35" s="369"/>
      <c r="O35" s="371"/>
      <c r="P35" s="369"/>
      <c r="Q35" s="371"/>
      <c r="R35" s="369"/>
      <c r="S35" s="371"/>
      <c r="T35" s="369"/>
      <c r="U35" s="371"/>
      <c r="V35" s="369"/>
      <c r="W35" s="371"/>
    </row>
    <row r="36" spans="1:24" x14ac:dyDescent="0.3">
      <c r="A36" s="369"/>
      <c r="B36" s="371"/>
      <c r="C36" s="371"/>
      <c r="D36" s="378"/>
      <c r="E36" s="371"/>
      <c r="F36" s="378"/>
      <c r="G36" s="371"/>
      <c r="H36" s="369"/>
      <c r="I36" s="371"/>
      <c r="J36" s="369"/>
      <c r="K36" s="371"/>
      <c r="L36" s="369"/>
      <c r="M36" s="371"/>
      <c r="N36" s="369"/>
      <c r="O36" s="371"/>
      <c r="P36" s="369"/>
      <c r="Q36" s="371"/>
      <c r="R36" s="369"/>
      <c r="S36" s="371"/>
      <c r="T36" s="369"/>
      <c r="U36" s="371"/>
      <c r="V36" s="369"/>
      <c r="W36" s="371"/>
    </row>
    <row r="37" spans="1:24" x14ac:dyDescent="0.3">
      <c r="A37" s="369"/>
      <c r="B37" s="371"/>
      <c r="C37" s="371"/>
      <c r="D37" s="378"/>
      <c r="E37" s="371"/>
      <c r="F37" s="378"/>
      <c r="G37" s="371"/>
      <c r="H37" s="369"/>
      <c r="I37" s="371"/>
      <c r="J37" s="369"/>
      <c r="K37" s="371"/>
      <c r="L37" s="369"/>
      <c r="M37" s="371"/>
      <c r="N37" s="369"/>
      <c r="O37" s="371"/>
      <c r="P37" s="369"/>
      <c r="Q37" s="371"/>
      <c r="R37" s="369"/>
      <c r="S37" s="371"/>
      <c r="T37" s="369"/>
      <c r="U37" s="371"/>
      <c r="V37" s="369"/>
      <c r="W37" s="371"/>
    </row>
    <row r="38" spans="1:24" s="86" customFormat="1" x14ac:dyDescent="0.3">
      <c r="A38" s="290"/>
      <c r="B38" s="291" t="s">
        <v>48</v>
      </c>
      <c r="C38" s="292"/>
      <c r="D38" s="301"/>
      <c r="E38" s="292"/>
      <c r="F38" s="301"/>
      <c r="G38" s="293"/>
      <c r="H38" s="290"/>
      <c r="I38" s="292"/>
      <c r="J38" s="290"/>
      <c r="K38" s="292"/>
      <c r="L38" s="292"/>
      <c r="M38" s="292"/>
      <c r="N38" s="290"/>
      <c r="O38" s="290"/>
      <c r="P38" s="290"/>
      <c r="Q38" s="290"/>
      <c r="R38" s="290"/>
      <c r="S38" s="290"/>
      <c r="T38" s="290"/>
      <c r="U38" s="290"/>
      <c r="V38" s="290"/>
      <c r="W38" s="290"/>
    </row>
    <row r="39" spans="1:24" s="86" customFormat="1" x14ac:dyDescent="0.3">
      <c r="A39" s="71"/>
      <c r="B39" s="45" t="s">
        <v>9</v>
      </c>
      <c r="C39" s="87"/>
      <c r="D39" s="84"/>
      <c r="E39" s="77" t="s">
        <v>1465</v>
      </c>
      <c r="F39" s="84"/>
      <c r="G39" s="77"/>
      <c r="H39" s="84"/>
      <c r="I39" s="77"/>
      <c r="J39" s="84"/>
      <c r="K39" s="77"/>
      <c r="L39" s="77"/>
      <c r="M39" s="77"/>
      <c r="N39" s="84"/>
      <c r="O39" s="77"/>
      <c r="R39" s="84"/>
      <c r="S39" s="77"/>
      <c r="T39" s="84"/>
      <c r="U39" s="77"/>
      <c r="V39" s="84"/>
      <c r="W39" s="77"/>
      <c r="X39" s="63"/>
    </row>
    <row r="40" spans="1:24" s="86" customFormat="1" x14ac:dyDescent="0.3">
      <c r="B40" s="77" t="s">
        <v>17</v>
      </c>
      <c r="C40" s="87"/>
      <c r="D40" s="104"/>
      <c r="E40" s="87"/>
      <c r="F40" s="104"/>
      <c r="G40" s="25"/>
      <c r="I40" s="87"/>
      <c r="K40" s="87"/>
      <c r="L40" s="87"/>
      <c r="M40" s="87"/>
    </row>
    <row r="41" spans="1:24" ht="38.25" customHeight="1" x14ac:dyDescent="0.3">
      <c r="A41" s="103"/>
      <c r="B41" s="217" t="s">
        <v>137</v>
      </c>
      <c r="C41" s="116" t="s">
        <v>31</v>
      </c>
      <c r="D41" s="298"/>
      <c r="E41" s="109" t="s">
        <v>49</v>
      </c>
      <c r="F41" s="296"/>
      <c r="G41" s="116" t="s">
        <v>11</v>
      </c>
      <c r="H41" s="138"/>
      <c r="I41" s="109" t="s">
        <v>495</v>
      </c>
      <c r="J41" s="115"/>
      <c r="K41" s="116" t="s">
        <v>496</v>
      </c>
      <c r="L41" s="138"/>
      <c r="M41" s="109" t="s">
        <v>497</v>
      </c>
      <c r="N41" s="115"/>
      <c r="O41" s="116" t="s">
        <v>498</v>
      </c>
      <c r="P41" s="108"/>
      <c r="Q41" s="109" t="s">
        <v>499</v>
      </c>
      <c r="R41" s="115"/>
      <c r="S41" s="116" t="s">
        <v>588</v>
      </c>
      <c r="T41" s="138"/>
      <c r="U41" s="109" t="s">
        <v>969</v>
      </c>
      <c r="V41" s="115"/>
      <c r="W41" s="109" t="s">
        <v>589</v>
      </c>
      <c r="X41" s="41"/>
    </row>
    <row r="42" spans="1:24" s="75" customFormat="1" ht="14.4" thickBot="1" x14ac:dyDescent="0.35">
      <c r="A42" s="76"/>
      <c r="B42" s="126"/>
      <c r="C42" s="117" t="s">
        <v>23</v>
      </c>
      <c r="D42" s="133"/>
      <c r="E42" s="143" t="s">
        <v>50</v>
      </c>
      <c r="F42" s="119"/>
      <c r="G42" s="117" t="s">
        <v>25</v>
      </c>
      <c r="H42" s="139"/>
      <c r="I42" s="143" t="s">
        <v>24</v>
      </c>
      <c r="J42" s="118"/>
      <c r="K42" s="117" t="s">
        <v>140</v>
      </c>
      <c r="L42" s="139"/>
      <c r="M42" s="143" t="s">
        <v>141</v>
      </c>
      <c r="N42" s="118"/>
      <c r="O42" s="117" t="s">
        <v>142</v>
      </c>
      <c r="P42" s="126"/>
      <c r="Q42" s="143" t="s">
        <v>143</v>
      </c>
      <c r="R42" s="224"/>
      <c r="S42" s="117" t="s">
        <v>157</v>
      </c>
      <c r="T42" s="139"/>
      <c r="U42" s="143" t="s">
        <v>158</v>
      </c>
      <c r="V42" s="118"/>
      <c r="W42" s="143" t="s">
        <v>159</v>
      </c>
    </row>
    <row r="43" spans="1:24" ht="28.2" thickTop="1" x14ac:dyDescent="0.3">
      <c r="A43" s="103"/>
      <c r="B43" s="124" t="s">
        <v>10</v>
      </c>
      <c r="C43" s="85" t="s">
        <v>1117</v>
      </c>
      <c r="D43" s="136"/>
      <c r="E43" s="146" t="s">
        <v>51</v>
      </c>
      <c r="F43" s="176"/>
      <c r="G43" s="85" t="s">
        <v>30</v>
      </c>
      <c r="H43" s="221"/>
      <c r="I43" s="146">
        <v>3.4000000000000002E-2</v>
      </c>
      <c r="J43" s="176"/>
      <c r="K43" s="85">
        <v>0.85</v>
      </c>
      <c r="L43" s="136"/>
      <c r="M43" s="146">
        <v>0.85</v>
      </c>
      <c r="N43" s="176"/>
      <c r="O43" s="50">
        <v>0.2</v>
      </c>
      <c r="P43" s="136"/>
      <c r="Q43" s="302">
        <v>0.92</v>
      </c>
      <c r="R43" s="13" t="s">
        <v>14</v>
      </c>
      <c r="S43" s="13" t="s">
        <v>14</v>
      </c>
      <c r="T43" s="129" t="s">
        <v>14</v>
      </c>
      <c r="U43" s="148" t="s">
        <v>14</v>
      </c>
      <c r="V43" s="13" t="s">
        <v>14</v>
      </c>
      <c r="W43" s="148" t="s">
        <v>14</v>
      </c>
    </row>
    <row r="44" spans="1:24" x14ac:dyDescent="0.3">
      <c r="A44" s="103"/>
      <c r="B44" s="124" t="s">
        <v>15</v>
      </c>
      <c r="C44" s="85" t="s">
        <v>61</v>
      </c>
      <c r="D44" s="265" t="s">
        <v>14</v>
      </c>
      <c r="E44" s="148" t="s">
        <v>14</v>
      </c>
      <c r="F44" s="176"/>
      <c r="G44" s="85" t="s">
        <v>16</v>
      </c>
      <c r="H44" s="221"/>
      <c r="I44" s="146">
        <v>6.2E-2</v>
      </c>
      <c r="J44" s="13" t="s">
        <v>14</v>
      </c>
      <c r="K44" s="13" t="s">
        <v>14</v>
      </c>
      <c r="L44" s="129" t="s">
        <v>14</v>
      </c>
      <c r="M44" s="148" t="s">
        <v>14</v>
      </c>
      <c r="N44" s="13" t="s">
        <v>14</v>
      </c>
      <c r="O44" s="13" t="s">
        <v>14</v>
      </c>
      <c r="P44" s="129" t="s">
        <v>14</v>
      </c>
      <c r="Q44" s="148" t="s">
        <v>14</v>
      </c>
      <c r="R44" s="13" t="s">
        <v>14</v>
      </c>
      <c r="S44" s="13" t="s">
        <v>14</v>
      </c>
      <c r="T44" s="129" t="s">
        <v>14</v>
      </c>
      <c r="U44" s="148" t="s">
        <v>14</v>
      </c>
      <c r="V44" s="13" t="s">
        <v>14</v>
      </c>
      <c r="W44" s="148" t="s">
        <v>14</v>
      </c>
    </row>
    <row r="45" spans="1:24" x14ac:dyDescent="0.3">
      <c r="A45" s="103"/>
      <c r="B45" s="122" t="s">
        <v>38</v>
      </c>
      <c r="C45" s="85" t="s">
        <v>62</v>
      </c>
      <c r="D45" s="265" t="s">
        <v>14</v>
      </c>
      <c r="E45" s="148" t="s">
        <v>14</v>
      </c>
      <c r="F45" s="176"/>
      <c r="G45" s="105" t="s">
        <v>43</v>
      </c>
      <c r="H45" s="221"/>
      <c r="I45" s="146">
        <v>3.9E-2</v>
      </c>
      <c r="J45" s="13" t="s">
        <v>14</v>
      </c>
      <c r="K45" s="13" t="s">
        <v>14</v>
      </c>
      <c r="L45" s="129" t="s">
        <v>14</v>
      </c>
      <c r="M45" s="148" t="s">
        <v>14</v>
      </c>
      <c r="N45" s="13" t="s">
        <v>14</v>
      </c>
      <c r="O45" s="13" t="s">
        <v>14</v>
      </c>
      <c r="P45" s="129" t="s">
        <v>14</v>
      </c>
      <c r="Q45" s="148" t="s">
        <v>14</v>
      </c>
      <c r="R45" s="13" t="s">
        <v>14</v>
      </c>
      <c r="S45" s="13" t="s">
        <v>14</v>
      </c>
      <c r="T45" s="129" t="s">
        <v>14</v>
      </c>
      <c r="U45" s="148" t="s">
        <v>14</v>
      </c>
      <c r="V45" s="13" t="s">
        <v>14</v>
      </c>
      <c r="W45" s="148" t="s">
        <v>14</v>
      </c>
    </row>
    <row r="46" spans="1:24" x14ac:dyDescent="0.3">
      <c r="A46" s="103"/>
      <c r="B46" s="284" t="s">
        <v>57</v>
      </c>
      <c r="C46" s="160" t="s">
        <v>63</v>
      </c>
      <c r="D46" s="299" t="s">
        <v>14</v>
      </c>
      <c r="E46" s="157" t="s">
        <v>14</v>
      </c>
      <c r="F46" s="297" t="s">
        <v>14</v>
      </c>
      <c r="G46" s="156" t="s">
        <v>60</v>
      </c>
      <c r="H46" s="152" t="s">
        <v>14</v>
      </c>
      <c r="I46" s="157" t="s">
        <v>14</v>
      </c>
      <c r="J46" s="156" t="s">
        <v>14</v>
      </c>
      <c r="K46" s="156" t="s">
        <v>14</v>
      </c>
      <c r="L46" s="152" t="s">
        <v>14</v>
      </c>
      <c r="M46" s="157" t="s">
        <v>14</v>
      </c>
      <c r="N46" s="156" t="s">
        <v>14</v>
      </c>
      <c r="O46" s="156" t="s">
        <v>14</v>
      </c>
      <c r="P46" s="152" t="s">
        <v>14</v>
      </c>
      <c r="Q46" s="157" t="s">
        <v>14</v>
      </c>
      <c r="R46" s="169"/>
      <c r="S46" s="160">
        <v>0.73</v>
      </c>
      <c r="T46" s="153"/>
      <c r="U46" s="166">
        <v>3891.16</v>
      </c>
      <c r="V46" s="169"/>
      <c r="W46" s="166">
        <v>300</v>
      </c>
    </row>
    <row r="47" spans="1:24" x14ac:dyDescent="0.3">
      <c r="A47" s="63"/>
      <c r="B47" s="92"/>
      <c r="C47" s="92"/>
      <c r="D47" s="68"/>
      <c r="E47" s="35"/>
      <c r="F47" s="68"/>
      <c r="G47" s="35"/>
      <c r="H47" s="35"/>
      <c r="I47" s="35"/>
      <c r="J47" s="35"/>
      <c r="K47" s="35"/>
      <c r="L47" s="35"/>
      <c r="M47" s="35"/>
      <c r="N47" s="63"/>
      <c r="O47" s="92"/>
      <c r="P47" s="63"/>
      <c r="Q47" s="63"/>
      <c r="R47" s="63"/>
      <c r="S47" s="92"/>
      <c r="T47" s="63"/>
      <c r="U47" s="92"/>
      <c r="V47" s="63"/>
      <c r="W47" s="92"/>
    </row>
    <row r="48" spans="1:24" x14ac:dyDescent="0.3">
      <c r="B48" s="77" t="s">
        <v>18</v>
      </c>
      <c r="C48" s="94"/>
      <c r="E48" s="94"/>
      <c r="G48" s="94"/>
      <c r="I48" s="94"/>
      <c r="J48" s="105"/>
      <c r="K48" s="94"/>
      <c r="L48" s="105"/>
      <c r="M48" s="94"/>
      <c r="N48" s="7"/>
      <c r="O48" s="94"/>
      <c r="Q48" s="94"/>
      <c r="S48" s="94"/>
      <c r="U48" s="94"/>
      <c r="W48" s="94"/>
    </row>
    <row r="49" spans="1:24" s="40" customFormat="1" ht="27.6" x14ac:dyDescent="0.3">
      <c r="A49" s="84"/>
      <c r="B49" s="132" t="s">
        <v>137</v>
      </c>
      <c r="C49" s="113" t="s">
        <v>31</v>
      </c>
      <c r="D49" s="132"/>
      <c r="E49" s="142" t="s">
        <v>11</v>
      </c>
      <c r="F49" s="132"/>
      <c r="G49" s="142" t="s">
        <v>495</v>
      </c>
      <c r="H49" s="132"/>
      <c r="I49" s="142" t="s">
        <v>22</v>
      </c>
      <c r="J49" s="112"/>
      <c r="K49" s="142" t="s">
        <v>39</v>
      </c>
      <c r="L49" s="84"/>
      <c r="M49" s="36"/>
      <c r="N49" s="84"/>
      <c r="O49" s="36"/>
      <c r="P49" s="84"/>
      <c r="Q49" s="36"/>
    </row>
    <row r="50" spans="1:24" s="75" customFormat="1" ht="14.4" thickBot="1" x14ac:dyDescent="0.35">
      <c r="A50" s="76"/>
      <c r="B50" s="126"/>
      <c r="C50" s="117" t="s">
        <v>46</v>
      </c>
      <c r="D50" s="133"/>
      <c r="E50" s="143" t="s">
        <v>26</v>
      </c>
      <c r="F50" s="133"/>
      <c r="G50" s="143" t="s">
        <v>47</v>
      </c>
      <c r="H50" s="139"/>
      <c r="I50" s="143" t="s">
        <v>28</v>
      </c>
      <c r="J50" s="118"/>
      <c r="K50" s="143" t="s">
        <v>29</v>
      </c>
      <c r="L50" s="76"/>
      <c r="M50" s="29"/>
      <c r="N50" s="76"/>
      <c r="O50" s="29"/>
      <c r="P50" s="29"/>
      <c r="Q50" s="29"/>
      <c r="R50" s="76"/>
      <c r="S50" s="103"/>
      <c r="T50" s="29"/>
      <c r="U50" s="76"/>
      <c r="V50" s="76"/>
      <c r="W50" s="29"/>
      <c r="X50" s="76"/>
    </row>
    <row r="51" spans="1:24" ht="14.4" thickTop="1" x14ac:dyDescent="0.3">
      <c r="A51" s="103"/>
      <c r="B51" s="149" t="s">
        <v>20</v>
      </c>
      <c r="C51" s="160" t="s">
        <v>19</v>
      </c>
      <c r="D51" s="153"/>
      <c r="E51" s="166" t="s">
        <v>19</v>
      </c>
      <c r="F51" s="153"/>
      <c r="G51" s="155">
        <v>0.36</v>
      </c>
      <c r="H51" s="153"/>
      <c r="I51" s="163">
        <v>0.25</v>
      </c>
      <c r="J51" s="169"/>
      <c r="K51" s="163">
        <v>0.42</v>
      </c>
      <c r="M51" s="31"/>
      <c r="R51" s="63"/>
      <c r="S51" s="63"/>
      <c r="T51" s="63"/>
      <c r="U51" s="63"/>
      <c r="V51" s="63"/>
      <c r="W51" s="63"/>
    </row>
    <row r="52" spans="1:24" x14ac:dyDescent="0.3">
      <c r="B52" s="77"/>
      <c r="C52" s="77"/>
      <c r="E52" s="77"/>
      <c r="G52" s="77"/>
      <c r="I52" s="77"/>
      <c r="K52" s="77"/>
      <c r="M52" s="77"/>
      <c r="O52" s="77"/>
      <c r="Q52" s="77"/>
      <c r="S52" s="77"/>
      <c r="U52" s="77"/>
      <c r="W52" s="77"/>
    </row>
    <row r="53" spans="1:24" x14ac:dyDescent="0.3">
      <c r="A53" s="294"/>
      <c r="B53" s="45" t="s">
        <v>53</v>
      </c>
      <c r="C53" s="38"/>
      <c r="D53" s="40"/>
      <c r="E53" s="38"/>
      <c r="F53" s="40"/>
      <c r="G53" s="38"/>
      <c r="H53" s="40"/>
      <c r="I53" s="38"/>
      <c r="J53" s="40"/>
      <c r="K53" s="38"/>
      <c r="L53" s="40"/>
      <c r="M53" s="40"/>
      <c r="N53" s="40"/>
      <c r="O53" s="40"/>
      <c r="Q53" s="40"/>
      <c r="R53" s="40"/>
      <c r="S53" s="40"/>
      <c r="T53" s="40"/>
      <c r="U53" s="40"/>
      <c r="V53" s="40"/>
      <c r="W53" s="40"/>
      <c r="X53" s="40"/>
    </row>
    <row r="54" spans="1:24" x14ac:dyDescent="0.3">
      <c r="B54" s="77" t="s">
        <v>17</v>
      </c>
      <c r="C54" s="77"/>
      <c r="E54" s="77"/>
      <c r="G54" s="77"/>
      <c r="I54" s="77"/>
      <c r="K54" s="77"/>
      <c r="M54" s="77"/>
      <c r="O54" s="77"/>
      <c r="P54" s="40"/>
      <c r="Q54" s="77"/>
      <c r="S54" s="77"/>
      <c r="U54" s="77"/>
      <c r="W54" s="77"/>
    </row>
    <row r="55" spans="1:24" x14ac:dyDescent="0.3">
      <c r="A55" s="103"/>
      <c r="B55" s="216" t="s">
        <v>137</v>
      </c>
      <c r="C55" s="116" t="s">
        <v>31</v>
      </c>
      <c r="D55" s="298"/>
      <c r="E55" s="109" t="s">
        <v>32</v>
      </c>
      <c r="F55" s="296"/>
      <c r="G55" s="116" t="s">
        <v>33</v>
      </c>
      <c r="H55" s="207"/>
      <c r="I55" s="109" t="s">
        <v>34</v>
      </c>
      <c r="J55" s="114"/>
      <c r="K55" s="116" t="s">
        <v>35</v>
      </c>
      <c r="L55" s="207"/>
      <c r="M55" s="109" t="s">
        <v>36</v>
      </c>
      <c r="N55" s="114"/>
      <c r="O55" s="109" t="s">
        <v>144</v>
      </c>
      <c r="Q55" s="77"/>
      <c r="S55" s="77"/>
      <c r="U55" s="77"/>
      <c r="W55" s="77"/>
    </row>
    <row r="56" spans="1:24" ht="14.4" thickBot="1" x14ac:dyDescent="0.35">
      <c r="A56" s="103"/>
      <c r="B56" s="303"/>
      <c r="C56" s="117" t="s">
        <v>23</v>
      </c>
      <c r="D56" s="133"/>
      <c r="E56" s="519" t="s">
        <v>968</v>
      </c>
      <c r="F56" s="119"/>
      <c r="G56" s="519" t="s">
        <v>968</v>
      </c>
      <c r="H56" s="139"/>
      <c r="I56" s="519" t="s">
        <v>968</v>
      </c>
      <c r="J56" s="118"/>
      <c r="K56" s="519" t="s">
        <v>968</v>
      </c>
      <c r="L56" s="139"/>
      <c r="M56" s="519" t="s">
        <v>968</v>
      </c>
      <c r="N56" s="118"/>
      <c r="O56" s="519" t="s">
        <v>968</v>
      </c>
    </row>
    <row r="57" spans="1:24" ht="28.2" thickTop="1" x14ac:dyDescent="0.3">
      <c r="A57" s="103"/>
      <c r="B57" s="124" t="s">
        <v>15</v>
      </c>
      <c r="C57" s="85" t="s">
        <v>61</v>
      </c>
      <c r="D57" s="134"/>
      <c r="E57" s="146" t="s">
        <v>1139</v>
      </c>
      <c r="F57" s="141"/>
      <c r="G57" s="85" t="s">
        <v>1154</v>
      </c>
      <c r="H57" s="134"/>
      <c r="I57" s="146" t="s">
        <v>1173</v>
      </c>
      <c r="J57" s="141"/>
      <c r="K57" s="85" t="s">
        <v>1174</v>
      </c>
      <c r="L57" s="129" t="s">
        <v>14</v>
      </c>
      <c r="M57" s="148" t="s">
        <v>14</v>
      </c>
      <c r="N57" s="13" t="s">
        <v>14</v>
      </c>
      <c r="O57" s="148" t="s">
        <v>14</v>
      </c>
    </row>
    <row r="58" spans="1:24" ht="27.6" x14ac:dyDescent="0.3">
      <c r="A58" s="103"/>
      <c r="B58" s="124" t="s">
        <v>10</v>
      </c>
      <c r="C58" s="85" t="s">
        <v>1117</v>
      </c>
      <c r="D58" s="136"/>
      <c r="E58" s="146" t="s">
        <v>1137</v>
      </c>
      <c r="F58" s="176"/>
      <c r="G58" s="85" t="s">
        <v>1155</v>
      </c>
      <c r="H58" s="129" t="s">
        <v>14</v>
      </c>
      <c r="I58" s="148" t="s">
        <v>14</v>
      </c>
      <c r="J58" s="13" t="s">
        <v>14</v>
      </c>
      <c r="K58" s="13" t="s">
        <v>14</v>
      </c>
      <c r="L58" s="129" t="s">
        <v>14</v>
      </c>
      <c r="M58" s="148" t="s">
        <v>14</v>
      </c>
      <c r="N58" s="13" t="s">
        <v>14</v>
      </c>
      <c r="O58" s="148" t="s">
        <v>14</v>
      </c>
    </row>
    <row r="59" spans="1:24" x14ac:dyDescent="0.3">
      <c r="A59" s="103"/>
      <c r="B59" s="284" t="s">
        <v>38</v>
      </c>
      <c r="C59" s="160" t="s">
        <v>62</v>
      </c>
      <c r="D59" s="153"/>
      <c r="E59" s="166" t="s">
        <v>1140</v>
      </c>
      <c r="F59" s="169"/>
      <c r="G59" s="160" t="s">
        <v>1152</v>
      </c>
      <c r="H59" s="153"/>
      <c r="I59" s="166" t="s">
        <v>1171</v>
      </c>
      <c r="J59" s="156" t="s">
        <v>14</v>
      </c>
      <c r="K59" s="156" t="s">
        <v>14</v>
      </c>
      <c r="L59" s="152" t="s">
        <v>14</v>
      </c>
      <c r="M59" s="157" t="s">
        <v>14</v>
      </c>
      <c r="N59" s="156" t="s">
        <v>14</v>
      </c>
      <c r="O59" s="157" t="s">
        <v>14</v>
      </c>
      <c r="S59" s="105"/>
      <c r="U59" s="105"/>
      <c r="W59" s="105"/>
    </row>
    <row r="61" spans="1:24" x14ac:dyDescent="0.3">
      <c r="A61" s="369"/>
      <c r="B61" s="63"/>
      <c r="C61" s="63"/>
      <c r="D61" s="298"/>
      <c r="E61" s="109" t="s">
        <v>1408</v>
      </c>
      <c r="F61" s="371"/>
      <c r="G61" s="371"/>
      <c r="H61" s="369"/>
      <c r="I61" s="371"/>
      <c r="J61" s="369"/>
      <c r="K61" s="371"/>
      <c r="L61" s="369"/>
      <c r="M61" s="371"/>
      <c r="N61" s="369"/>
      <c r="O61" s="371"/>
      <c r="P61" s="369"/>
      <c r="Q61" s="371"/>
      <c r="R61" s="369"/>
      <c r="S61" s="371"/>
      <c r="T61" s="369"/>
      <c r="U61" s="371"/>
      <c r="V61" s="369"/>
      <c r="W61" s="371"/>
    </row>
    <row r="62" spans="1:24" ht="14.4" thickBot="1" x14ac:dyDescent="0.35">
      <c r="A62" s="369"/>
      <c r="B62" s="63"/>
      <c r="C62" s="63"/>
      <c r="D62" s="133"/>
      <c r="E62" s="519" t="s">
        <v>1409</v>
      </c>
      <c r="F62" s="371"/>
      <c r="G62" s="371"/>
      <c r="H62" s="369"/>
      <c r="I62" s="371"/>
      <c r="J62" s="369"/>
      <c r="K62" s="371"/>
      <c r="L62" s="369"/>
      <c r="M62" s="371"/>
      <c r="N62" s="369"/>
      <c r="O62" s="371"/>
      <c r="P62" s="369"/>
      <c r="Q62" s="371"/>
      <c r="R62" s="369"/>
      <c r="S62" s="371"/>
      <c r="T62" s="369"/>
      <c r="U62" s="371"/>
      <c r="V62" s="369"/>
      <c r="W62" s="371"/>
    </row>
    <row r="63" spans="1:24" ht="13.5" customHeight="1" thickTop="1" x14ac:dyDescent="0.3">
      <c r="A63" s="369"/>
      <c r="B63" s="371"/>
      <c r="C63" s="371"/>
      <c r="D63" s="165"/>
      <c r="E63" s="166" t="s">
        <v>1411</v>
      </c>
      <c r="F63" s="371"/>
      <c r="G63" s="371"/>
      <c r="H63" s="369"/>
      <c r="I63" s="371"/>
      <c r="J63" s="369"/>
      <c r="K63" s="371"/>
      <c r="L63" s="369"/>
      <c r="M63" s="371"/>
      <c r="N63" s="369"/>
      <c r="O63" s="371"/>
      <c r="P63" s="369"/>
      <c r="Q63" s="371"/>
      <c r="R63" s="369"/>
      <c r="S63" s="371"/>
      <c r="T63" s="369"/>
      <c r="U63" s="371"/>
      <c r="V63" s="369"/>
      <c r="W63" s="371"/>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sheetPr>
  <dimension ref="A1:BD459"/>
  <sheetViews>
    <sheetView zoomScale="85" zoomScaleNormal="85" workbookViewId="0"/>
  </sheetViews>
  <sheetFormatPr defaultColWidth="9.109375" defaultRowHeight="13.8" x14ac:dyDescent="0.3"/>
  <cols>
    <col min="1" max="1" width="3.6640625" style="369" customWidth="1"/>
    <col min="2" max="2" width="29.6640625" style="85" bestFit="1" customWidth="1"/>
    <col min="3" max="3" width="27.33203125" style="85" customWidth="1"/>
    <col min="4" max="4" width="8.6640625" style="85" customWidth="1"/>
    <col min="5" max="5" width="2.6640625" style="76" customWidth="1"/>
    <col min="6" max="6" width="31" style="371" customWidth="1"/>
    <col min="7" max="7" width="2.6640625" style="76" customWidth="1"/>
    <col min="8" max="8" width="32.44140625" style="29" customWidth="1"/>
    <col min="9" max="9" width="2.6640625" style="369" customWidth="1"/>
    <col min="10" max="10" width="24.6640625" style="85" customWidth="1"/>
    <col min="11" max="11" width="2.6640625" style="369" customWidth="1"/>
    <col min="12" max="12" width="23.88671875" style="85" customWidth="1"/>
    <col min="13" max="13" width="2.6640625" style="369" customWidth="1"/>
    <col min="14" max="14" width="28" style="85" customWidth="1"/>
    <col min="15" max="15" width="2.6640625" style="369" customWidth="1"/>
    <col min="16" max="16" width="18.6640625" style="85" customWidth="1"/>
    <col min="17" max="17" width="2.6640625" style="369" customWidth="1"/>
    <col min="18" max="18" width="18.6640625" style="85" customWidth="1"/>
    <col min="19" max="19" width="2.6640625" style="63" customWidth="1"/>
    <col min="20" max="20" width="17.33203125" style="63" customWidth="1"/>
    <col min="21" max="21" width="2.6640625" style="63" customWidth="1"/>
    <col min="22" max="22" width="17" style="63" customWidth="1"/>
    <col min="23" max="23" width="2.6640625" style="63" customWidth="1"/>
    <col min="24" max="24" width="16.6640625" style="63" customWidth="1"/>
    <col min="25" max="25" width="2.6640625" style="63" customWidth="1"/>
    <col min="26" max="26" width="26.33203125" style="63" bestFit="1" customWidth="1"/>
    <col min="27" max="27" width="2.6640625" style="63" customWidth="1"/>
    <col min="28" max="28" width="15.109375" style="63" customWidth="1"/>
    <col min="29" max="29" width="2.6640625" style="63" customWidth="1"/>
    <col min="30" max="30" width="23.6640625" style="63" customWidth="1"/>
    <col min="31" max="31" width="2.6640625" style="63" customWidth="1"/>
    <col min="32" max="32" width="17.6640625" style="63" bestFit="1" customWidth="1"/>
    <col min="33" max="33" width="2.6640625" style="63" customWidth="1"/>
    <col min="34" max="34" width="18.109375" style="63" bestFit="1" customWidth="1"/>
    <col min="35" max="35" width="2.6640625" style="63" customWidth="1"/>
    <col min="36" max="36" width="22.44140625" style="63" customWidth="1"/>
    <col min="37" max="37" width="2.6640625" style="63" customWidth="1"/>
    <col min="38" max="38" width="23.6640625" style="63" customWidth="1"/>
    <col min="39" max="16384" width="9.109375" style="63"/>
  </cols>
  <sheetData>
    <row r="1" spans="1:19" x14ac:dyDescent="0.3">
      <c r="B1" s="98"/>
    </row>
    <row r="2" spans="1:19" x14ac:dyDescent="0.3">
      <c r="B2" s="568" t="s">
        <v>5</v>
      </c>
      <c r="C2" s="568"/>
      <c r="D2" s="568"/>
      <c r="E2" s="574"/>
      <c r="F2" s="568" t="s">
        <v>6</v>
      </c>
      <c r="G2" s="369"/>
      <c r="H2" s="85"/>
      <c r="K2" s="567"/>
      <c r="L2" s="568" t="s">
        <v>1101</v>
      </c>
    </row>
    <row r="3" spans="1:19" x14ac:dyDescent="0.3">
      <c r="B3" s="85" t="s">
        <v>0</v>
      </c>
      <c r="C3" s="65" t="s">
        <v>1322</v>
      </c>
      <c r="D3" s="568"/>
      <c r="F3" s="85" t="s">
        <v>8</v>
      </c>
      <c r="G3" s="369"/>
      <c r="H3" s="65"/>
      <c r="K3" s="136"/>
      <c r="L3" s="369" t="s">
        <v>1106</v>
      </c>
    </row>
    <row r="4" spans="1:19" ht="12.75" customHeight="1" x14ac:dyDescent="0.3">
      <c r="B4" s="85" t="s">
        <v>1</v>
      </c>
      <c r="C4" s="85" t="str">
        <f>C3&amp;".cibd16"</f>
        <v>070015S-HotSml-Run03.cibd16</v>
      </c>
      <c r="D4" s="568"/>
      <c r="F4" s="85" t="s">
        <v>110</v>
      </c>
      <c r="H4" s="371" t="str">
        <f>'Documentation Main Sheet'!I3</f>
        <v>Release package</v>
      </c>
      <c r="I4" s="62"/>
      <c r="K4" s="569"/>
      <c r="L4" s="369" t="s">
        <v>1102</v>
      </c>
      <c r="M4" s="62"/>
      <c r="O4" s="62"/>
      <c r="Q4" s="62"/>
    </row>
    <row r="5" spans="1:19" x14ac:dyDescent="0.3">
      <c r="B5" s="85" t="s">
        <v>54</v>
      </c>
      <c r="C5" s="85" t="s">
        <v>55</v>
      </c>
      <c r="F5" s="85" t="s">
        <v>7</v>
      </c>
      <c r="H5" s="371" t="str">
        <f>'Documentation Main Sheet'!I4</f>
        <v>CBECC-Com 209.1.0 release</v>
      </c>
      <c r="I5" s="62"/>
      <c r="K5" s="571">
        <v>1</v>
      </c>
      <c r="L5" s="378" t="s">
        <v>1103</v>
      </c>
      <c r="M5" s="62"/>
      <c r="O5" s="62"/>
      <c r="Q5" s="62"/>
    </row>
    <row r="6" spans="1:19" x14ac:dyDescent="0.3">
      <c r="B6" s="369" t="s">
        <v>390</v>
      </c>
      <c r="C6" s="85" t="s">
        <v>394</v>
      </c>
      <c r="F6" s="85" t="s">
        <v>2</v>
      </c>
      <c r="H6" s="394"/>
      <c r="K6" s="582">
        <v>1</v>
      </c>
      <c r="L6" s="381" t="s">
        <v>1104</v>
      </c>
    </row>
    <row r="7" spans="1:19" x14ac:dyDescent="0.3">
      <c r="B7" s="369" t="s">
        <v>432</v>
      </c>
      <c r="C7" s="85" t="s">
        <v>393</v>
      </c>
      <c r="F7" s="85" t="s">
        <v>3</v>
      </c>
      <c r="H7" s="371" t="str">
        <f>'Documentation Main Sheet'!I6</f>
        <v>Jireh Peng</v>
      </c>
      <c r="K7" s="583">
        <v>1</v>
      </c>
      <c r="L7" s="378" t="s">
        <v>1105</v>
      </c>
    </row>
    <row r="8" spans="1:19" x14ac:dyDescent="0.3">
      <c r="B8" s="369" t="s">
        <v>952</v>
      </c>
      <c r="C8" s="85" t="s">
        <v>953</v>
      </c>
      <c r="F8" s="369"/>
      <c r="G8" s="369"/>
      <c r="H8" s="369"/>
      <c r="K8" s="796">
        <v>1</v>
      </c>
      <c r="L8" s="369" t="s">
        <v>1396</v>
      </c>
    </row>
    <row r="9" spans="1:19" x14ac:dyDescent="0.3">
      <c r="C9" s="83"/>
      <c r="D9" s="83"/>
      <c r="E9" s="82"/>
      <c r="F9" s="85"/>
      <c r="H9" s="85"/>
      <c r="L9" s="369"/>
    </row>
    <row r="10" spans="1:19" s="86" customFormat="1" x14ac:dyDescent="0.3">
      <c r="A10" s="286"/>
      <c r="B10" s="308" t="s">
        <v>37</v>
      </c>
      <c r="C10" s="288"/>
      <c r="D10" s="288"/>
      <c r="E10" s="286"/>
      <c r="F10" s="289"/>
      <c r="G10" s="286"/>
      <c r="H10" s="288"/>
      <c r="I10" s="286"/>
      <c r="J10" s="288"/>
      <c r="K10" s="286"/>
      <c r="L10" s="288"/>
      <c r="M10" s="286"/>
      <c r="N10" s="288"/>
      <c r="O10" s="286"/>
      <c r="P10" s="288"/>
      <c r="Q10" s="286"/>
      <c r="R10" s="288"/>
    </row>
    <row r="11" spans="1:19" s="86" customFormat="1" x14ac:dyDescent="0.3">
      <c r="A11" s="26"/>
      <c r="B11" s="44" t="s">
        <v>9</v>
      </c>
      <c r="C11" s="87"/>
      <c r="D11" s="87"/>
      <c r="E11" s="84"/>
      <c r="F11" s="77"/>
      <c r="G11" s="84"/>
      <c r="H11" s="77"/>
      <c r="I11" s="84"/>
      <c r="J11" s="36"/>
      <c r="K11" s="84"/>
      <c r="L11" s="36"/>
      <c r="M11" s="84"/>
      <c r="N11" s="36"/>
      <c r="O11" s="84"/>
      <c r="P11" s="36"/>
      <c r="Q11" s="84"/>
      <c r="R11" s="36"/>
      <c r="S11" s="63"/>
    </row>
    <row r="12" spans="1:19" s="86" customFormat="1" x14ac:dyDescent="0.3">
      <c r="B12" s="77" t="s">
        <v>17</v>
      </c>
      <c r="C12" s="87"/>
      <c r="D12" s="87"/>
      <c r="E12" s="84"/>
      <c r="F12" s="77"/>
      <c r="G12" s="84"/>
      <c r="H12" s="77"/>
      <c r="I12" s="84"/>
      <c r="J12" s="36"/>
      <c r="K12" s="84"/>
      <c r="L12" s="29"/>
      <c r="M12" s="64"/>
      <c r="N12" s="29"/>
      <c r="O12" s="64"/>
      <c r="P12" s="29"/>
      <c r="Q12" s="64"/>
      <c r="R12" s="29"/>
      <c r="S12" s="63"/>
    </row>
    <row r="13" spans="1:19" s="40" customFormat="1" ht="55.2" x14ac:dyDescent="0.3">
      <c r="A13" s="84"/>
      <c r="B13" s="132" t="s">
        <v>137</v>
      </c>
      <c r="C13" s="113" t="s">
        <v>31</v>
      </c>
      <c r="D13" s="113"/>
      <c r="E13" s="132"/>
      <c r="F13" s="142" t="s">
        <v>49</v>
      </c>
      <c r="G13" s="112"/>
      <c r="H13" s="113" t="s">
        <v>11</v>
      </c>
      <c r="I13" s="132"/>
      <c r="J13" s="142" t="s">
        <v>495</v>
      </c>
      <c r="K13" s="115"/>
      <c r="L13" s="113" t="s">
        <v>496</v>
      </c>
      <c r="M13" s="138"/>
      <c r="N13" s="142" t="s">
        <v>497</v>
      </c>
      <c r="O13" s="115"/>
      <c r="P13" s="116" t="s">
        <v>498</v>
      </c>
      <c r="Q13" s="138"/>
      <c r="R13" s="109" t="s">
        <v>499</v>
      </c>
    </row>
    <row r="14" spans="1:19" s="75" customFormat="1" ht="28.2" thickBot="1" x14ac:dyDescent="0.35">
      <c r="A14" s="76"/>
      <c r="B14" s="126"/>
      <c r="C14" s="117" t="s">
        <v>23</v>
      </c>
      <c r="D14" s="117"/>
      <c r="E14" s="133"/>
      <c r="F14" s="143" t="s">
        <v>50</v>
      </c>
      <c r="G14" s="119"/>
      <c r="H14" s="117" t="s">
        <v>25</v>
      </c>
      <c r="I14" s="139"/>
      <c r="J14" s="143" t="s">
        <v>24</v>
      </c>
      <c r="K14" s="118"/>
      <c r="L14" s="117" t="s">
        <v>140</v>
      </c>
      <c r="M14" s="139"/>
      <c r="N14" s="143" t="s">
        <v>141</v>
      </c>
      <c r="O14" s="118"/>
      <c r="P14" s="117" t="s">
        <v>142</v>
      </c>
      <c r="Q14" s="126"/>
      <c r="R14" s="143" t="s">
        <v>143</v>
      </c>
      <c r="S14" s="76"/>
    </row>
    <row r="15" spans="1:19" ht="14.4" thickTop="1" x14ac:dyDescent="0.3">
      <c r="B15" s="124" t="s">
        <v>10</v>
      </c>
      <c r="C15" s="85" t="s">
        <v>40</v>
      </c>
      <c r="E15" s="349"/>
      <c r="F15" s="367" t="s">
        <v>321</v>
      </c>
      <c r="G15" s="176"/>
      <c r="H15" s="368" t="s">
        <v>30</v>
      </c>
      <c r="I15" s="136"/>
      <c r="J15" s="144">
        <v>5.5E-2</v>
      </c>
      <c r="K15" s="176"/>
      <c r="L15" s="22">
        <v>0.7</v>
      </c>
      <c r="M15" s="136"/>
      <c r="N15" s="304">
        <v>0.7</v>
      </c>
      <c r="O15" s="176"/>
      <c r="P15" s="22">
        <v>0.6</v>
      </c>
      <c r="Q15" s="136"/>
      <c r="R15" s="304">
        <v>0.4</v>
      </c>
    </row>
    <row r="16" spans="1:19" x14ac:dyDescent="0.3">
      <c r="B16" s="124" t="s">
        <v>15</v>
      </c>
      <c r="C16" s="85" t="s">
        <v>70</v>
      </c>
      <c r="E16" s="409" t="s">
        <v>14</v>
      </c>
      <c r="F16" s="470" t="s">
        <v>14</v>
      </c>
      <c r="G16" s="176"/>
      <c r="H16" s="85" t="s">
        <v>16</v>
      </c>
      <c r="I16" s="136"/>
      <c r="J16" s="146">
        <v>8.2000000000000003E-2</v>
      </c>
      <c r="K16" s="428" t="s">
        <v>14</v>
      </c>
      <c r="L16" s="472" t="s">
        <v>14</v>
      </c>
      <c r="M16" s="409" t="s">
        <v>14</v>
      </c>
      <c r="N16" s="470" t="s">
        <v>14</v>
      </c>
      <c r="O16" s="428" t="s">
        <v>14</v>
      </c>
      <c r="P16" s="472" t="s">
        <v>14</v>
      </c>
      <c r="Q16" s="409" t="s">
        <v>14</v>
      </c>
      <c r="R16" s="470" t="s">
        <v>14</v>
      </c>
    </row>
    <row r="17" spans="1:19" x14ac:dyDescent="0.3">
      <c r="B17" s="284" t="s">
        <v>38</v>
      </c>
      <c r="C17" s="150" t="s">
        <v>71</v>
      </c>
      <c r="D17" s="150"/>
      <c r="E17" s="411" t="s">
        <v>14</v>
      </c>
      <c r="F17" s="471" t="s">
        <v>14</v>
      </c>
      <c r="G17" s="169"/>
      <c r="H17" s="150" t="s">
        <v>42</v>
      </c>
      <c r="I17" s="153"/>
      <c r="J17" s="155">
        <v>5.8000000000000003E-2</v>
      </c>
      <c r="K17" s="432" t="s">
        <v>14</v>
      </c>
      <c r="L17" s="473" t="s">
        <v>14</v>
      </c>
      <c r="M17" s="411" t="s">
        <v>14</v>
      </c>
      <c r="N17" s="471" t="s">
        <v>14</v>
      </c>
      <c r="O17" s="432" t="s">
        <v>14</v>
      </c>
      <c r="P17" s="473" t="s">
        <v>14</v>
      </c>
      <c r="Q17" s="411" t="s">
        <v>14</v>
      </c>
      <c r="R17" s="471" t="s">
        <v>14</v>
      </c>
    </row>
    <row r="18" spans="1:19" x14ac:dyDescent="0.3">
      <c r="B18" s="371"/>
      <c r="E18" s="369"/>
      <c r="F18" s="85"/>
      <c r="G18" s="369"/>
      <c r="H18" s="371"/>
      <c r="J18" s="32"/>
      <c r="L18" s="32"/>
      <c r="N18" s="32"/>
      <c r="P18" s="32"/>
      <c r="R18" s="32"/>
    </row>
    <row r="19" spans="1:19" x14ac:dyDescent="0.3">
      <c r="B19" s="77" t="s">
        <v>18</v>
      </c>
      <c r="E19" s="369"/>
      <c r="F19" s="85"/>
      <c r="G19" s="369"/>
      <c r="H19" s="371"/>
      <c r="J19" s="32"/>
      <c r="L19" s="32"/>
      <c r="N19" s="32"/>
      <c r="P19" s="32"/>
      <c r="R19" s="32"/>
    </row>
    <row r="20" spans="1:19" s="40" customFormat="1" ht="27.6" x14ac:dyDescent="0.3">
      <c r="A20" s="84"/>
      <c r="B20" s="132" t="s">
        <v>137</v>
      </c>
      <c r="C20" s="113" t="s">
        <v>31</v>
      </c>
      <c r="D20" s="113"/>
      <c r="E20" s="132"/>
      <c r="F20" s="142" t="s">
        <v>11</v>
      </c>
      <c r="G20" s="112"/>
      <c r="H20" s="113" t="s">
        <v>495</v>
      </c>
      <c r="I20" s="132"/>
      <c r="J20" s="142" t="s">
        <v>22</v>
      </c>
      <c r="K20" s="112"/>
      <c r="L20" s="142" t="s">
        <v>39</v>
      </c>
      <c r="M20" s="84"/>
      <c r="N20" s="36"/>
      <c r="O20" s="84"/>
      <c r="P20" s="36"/>
      <c r="Q20" s="84"/>
      <c r="R20" s="36"/>
    </row>
    <row r="21" spans="1:19" s="75" customFormat="1" ht="14.4" thickBot="1" x14ac:dyDescent="0.35">
      <c r="A21" s="76"/>
      <c r="B21" s="126"/>
      <c r="C21" s="117" t="s">
        <v>46</v>
      </c>
      <c r="D21" s="117"/>
      <c r="E21" s="133"/>
      <c r="F21" s="143" t="s">
        <v>26</v>
      </c>
      <c r="G21" s="119"/>
      <c r="H21" s="117" t="s">
        <v>47</v>
      </c>
      <c r="I21" s="139"/>
      <c r="J21" s="143" t="s">
        <v>28</v>
      </c>
      <c r="K21" s="118"/>
      <c r="L21" s="143" t="s">
        <v>29</v>
      </c>
      <c r="M21" s="76"/>
      <c r="N21" s="29"/>
      <c r="O21" s="76"/>
      <c r="P21" s="29"/>
      <c r="Q21" s="29"/>
      <c r="R21" s="29"/>
      <c r="S21" s="76"/>
    </row>
    <row r="22" spans="1:19" ht="14.4" thickTop="1" x14ac:dyDescent="0.3">
      <c r="B22" s="130"/>
      <c r="C22" s="85" t="s">
        <v>76</v>
      </c>
      <c r="E22" s="136"/>
      <c r="F22" s="146" t="s">
        <v>19</v>
      </c>
      <c r="G22" s="176"/>
      <c r="H22" s="371">
        <v>0.25</v>
      </c>
      <c r="I22" s="136"/>
      <c r="J22" s="305">
        <v>0.2</v>
      </c>
      <c r="K22" s="176"/>
      <c r="L22" s="305">
        <v>0.47</v>
      </c>
      <c r="M22" s="378"/>
      <c r="N22" s="27"/>
      <c r="O22" s="378"/>
      <c r="P22" s="27"/>
      <c r="Q22" s="378"/>
      <c r="R22" s="27"/>
    </row>
    <row r="23" spans="1:19" x14ac:dyDescent="0.3">
      <c r="B23" s="306"/>
      <c r="C23" s="150" t="s">
        <v>75</v>
      </c>
      <c r="D23" s="150"/>
      <c r="E23" s="153"/>
      <c r="F23" s="155" t="s">
        <v>77</v>
      </c>
      <c r="G23" s="169"/>
      <c r="H23" s="160">
        <v>0.42</v>
      </c>
      <c r="I23" s="153"/>
      <c r="J23" s="307">
        <v>0.18</v>
      </c>
      <c r="K23" s="169"/>
      <c r="L23" s="307">
        <v>0.35</v>
      </c>
      <c r="M23" s="378"/>
      <c r="N23" s="27"/>
      <c r="O23" s="378"/>
      <c r="P23" s="27"/>
      <c r="Q23" s="378"/>
      <c r="R23" s="27"/>
    </row>
    <row r="24" spans="1:19" x14ac:dyDescent="0.3">
      <c r="C24" s="371"/>
      <c r="D24" s="371"/>
      <c r="E24" s="369"/>
      <c r="G24" s="369"/>
      <c r="H24" s="85"/>
      <c r="J24" s="31"/>
      <c r="L24" s="31"/>
      <c r="N24" s="31"/>
      <c r="P24" s="31"/>
      <c r="Q24" s="378"/>
      <c r="R24" s="31"/>
    </row>
    <row r="25" spans="1:19" x14ac:dyDescent="0.3">
      <c r="C25" s="371"/>
      <c r="D25" s="371"/>
      <c r="E25" s="369"/>
      <c r="G25" s="369"/>
      <c r="H25" s="85"/>
      <c r="J25" s="31"/>
      <c r="L25" s="31"/>
      <c r="N25" s="31"/>
      <c r="P25" s="31"/>
      <c r="Q25" s="378"/>
      <c r="R25" s="31"/>
    </row>
    <row r="26" spans="1:19" x14ac:dyDescent="0.3">
      <c r="A26" s="26"/>
      <c r="B26" s="44" t="s">
        <v>53</v>
      </c>
      <c r="C26" s="38"/>
      <c r="D26" s="38"/>
      <c r="E26" s="40"/>
      <c r="F26" s="38"/>
      <c r="G26" s="40"/>
      <c r="H26" s="38"/>
      <c r="I26" s="40"/>
      <c r="J26" s="38"/>
      <c r="K26" s="40"/>
      <c r="L26" s="38"/>
      <c r="M26" s="40"/>
      <c r="N26" s="38"/>
      <c r="O26" s="40"/>
      <c r="P26" s="38"/>
      <c r="Q26" s="378"/>
      <c r="R26" s="38"/>
    </row>
    <row r="27" spans="1:19" x14ac:dyDescent="0.3">
      <c r="B27" s="77" t="s">
        <v>17</v>
      </c>
      <c r="Q27" s="378"/>
    </row>
    <row r="28" spans="1:19" s="15" customFormat="1" x14ac:dyDescent="0.3">
      <c r="A28" s="83"/>
      <c r="B28" s="310" t="s">
        <v>137</v>
      </c>
      <c r="C28" s="116" t="s">
        <v>31</v>
      </c>
      <c r="D28" s="112" t="s">
        <v>433</v>
      </c>
      <c r="E28" s="311"/>
      <c r="F28" s="285" t="s">
        <v>32</v>
      </c>
      <c r="G28" s="309"/>
      <c r="H28" s="276" t="s">
        <v>33</v>
      </c>
      <c r="I28" s="216"/>
      <c r="J28" s="285" t="s">
        <v>34</v>
      </c>
      <c r="K28" s="213"/>
      <c r="L28" s="276" t="s">
        <v>35</v>
      </c>
      <c r="M28" s="216"/>
      <c r="N28" s="285" t="s">
        <v>36</v>
      </c>
      <c r="O28" s="213"/>
      <c r="P28" s="285" t="s">
        <v>144</v>
      </c>
      <c r="Q28" s="378"/>
      <c r="R28" s="33"/>
    </row>
    <row r="29" spans="1:19" ht="14.4" thickBot="1" x14ac:dyDescent="0.35">
      <c r="B29" s="303"/>
      <c r="C29" s="117" t="s">
        <v>23</v>
      </c>
      <c r="D29" s="117"/>
      <c r="E29" s="139"/>
      <c r="F29" s="519" t="s">
        <v>968</v>
      </c>
      <c r="G29" s="119"/>
      <c r="H29" s="519" t="s">
        <v>968</v>
      </c>
      <c r="I29" s="139"/>
      <c r="J29" s="519" t="s">
        <v>968</v>
      </c>
      <c r="K29" s="118"/>
      <c r="L29" s="519" t="s">
        <v>968</v>
      </c>
      <c r="M29" s="139"/>
      <c r="N29" s="519" t="s">
        <v>968</v>
      </c>
      <c r="O29" s="118"/>
      <c r="P29" s="519" t="s">
        <v>968</v>
      </c>
      <c r="Q29" s="378"/>
      <c r="R29" s="66"/>
    </row>
    <row r="30" spans="1:19" ht="28.2" thickTop="1" x14ac:dyDescent="0.3">
      <c r="B30" s="124" t="s">
        <v>10</v>
      </c>
      <c r="C30" s="85" t="s">
        <v>40</v>
      </c>
      <c r="D30" s="378" t="s">
        <v>435</v>
      </c>
      <c r="E30" s="134"/>
      <c r="F30" s="146" t="s">
        <v>1137</v>
      </c>
      <c r="G30" s="141"/>
      <c r="H30" s="85" t="s">
        <v>1156</v>
      </c>
      <c r="I30" s="134"/>
      <c r="J30" s="146" t="s">
        <v>1174</v>
      </c>
      <c r="K30" s="428" t="s">
        <v>14</v>
      </c>
      <c r="L30" s="472" t="s">
        <v>14</v>
      </c>
      <c r="M30" s="409" t="s">
        <v>14</v>
      </c>
      <c r="N30" s="470" t="s">
        <v>14</v>
      </c>
      <c r="O30" s="428" t="s">
        <v>14</v>
      </c>
      <c r="P30" s="470" t="s">
        <v>14</v>
      </c>
    </row>
    <row r="31" spans="1:19" s="42" customFormat="1" ht="27.6" x14ac:dyDescent="0.3">
      <c r="A31" s="85"/>
      <c r="B31" s="124" t="s">
        <v>15</v>
      </c>
      <c r="C31" s="371" t="s">
        <v>70</v>
      </c>
      <c r="D31" s="378" t="s">
        <v>435</v>
      </c>
      <c r="E31" s="136"/>
      <c r="F31" s="146" t="s">
        <v>1133</v>
      </c>
      <c r="G31" s="176"/>
      <c r="H31" s="85" t="s">
        <v>1157</v>
      </c>
      <c r="I31" s="136"/>
      <c r="J31" s="146" t="s">
        <v>1173</v>
      </c>
      <c r="K31" s="176"/>
      <c r="L31" s="85" t="s">
        <v>1181</v>
      </c>
      <c r="M31" s="409" t="s">
        <v>14</v>
      </c>
      <c r="N31" s="470" t="s">
        <v>14</v>
      </c>
      <c r="O31" s="428" t="s">
        <v>14</v>
      </c>
      <c r="P31" s="470" t="s">
        <v>14</v>
      </c>
      <c r="Q31" s="85"/>
      <c r="R31" s="85"/>
    </row>
    <row r="32" spans="1:19" ht="27.6" x14ac:dyDescent="0.3">
      <c r="B32" s="284" t="s">
        <v>38</v>
      </c>
      <c r="C32" s="160" t="s">
        <v>71</v>
      </c>
      <c r="D32" s="199" t="s">
        <v>435</v>
      </c>
      <c r="E32" s="417"/>
      <c r="F32" s="193" t="s">
        <v>1141</v>
      </c>
      <c r="G32" s="169"/>
      <c r="H32" s="150" t="s">
        <v>1149</v>
      </c>
      <c r="I32" s="153"/>
      <c r="J32" s="166" t="s">
        <v>1175</v>
      </c>
      <c r="K32" s="169"/>
      <c r="L32" s="160" t="s">
        <v>1182</v>
      </c>
      <c r="M32" s="153"/>
      <c r="N32" s="166" t="s">
        <v>1171</v>
      </c>
      <c r="O32" s="432" t="s">
        <v>14</v>
      </c>
      <c r="P32" s="471" t="s">
        <v>14</v>
      </c>
      <c r="R32" s="371"/>
    </row>
    <row r="33" spans="1:24" x14ac:dyDescent="0.3">
      <c r="B33" s="371"/>
      <c r="F33" s="85"/>
      <c r="H33" s="66"/>
      <c r="J33" s="66"/>
      <c r="L33" s="66"/>
      <c r="N33" s="66"/>
      <c r="P33" s="66"/>
      <c r="R33" s="66"/>
    </row>
    <row r="34" spans="1:24" x14ac:dyDescent="0.3">
      <c r="B34" s="371"/>
      <c r="F34" s="85"/>
      <c r="H34" s="66"/>
      <c r="J34" s="66"/>
      <c r="L34" s="66"/>
      <c r="N34" s="66"/>
      <c r="P34" s="66"/>
      <c r="R34" s="66"/>
    </row>
    <row r="35" spans="1:24" s="397" customFormat="1" ht="14.4" x14ac:dyDescent="0.3">
      <c r="A35" s="26"/>
      <c r="B35" s="28" t="s">
        <v>517</v>
      </c>
      <c r="C35" s="83"/>
      <c r="E35" s="369"/>
      <c r="F35" s="369"/>
      <c r="G35" s="369"/>
      <c r="H35" s="369"/>
      <c r="I35" s="369"/>
      <c r="J35" s="369"/>
      <c r="K35" s="369"/>
      <c r="L35" s="66"/>
      <c r="M35" s="369"/>
      <c r="N35" s="66"/>
      <c r="O35" s="369"/>
      <c r="P35" s="66"/>
      <c r="Q35" s="369"/>
      <c r="R35" s="66"/>
      <c r="S35" s="369"/>
      <c r="T35" s="66"/>
      <c r="U35" s="369"/>
      <c r="V35" s="85"/>
      <c r="W35" s="369"/>
      <c r="X35" s="85"/>
    </row>
    <row r="36" spans="1:24" s="397" customFormat="1" ht="41.4" x14ac:dyDescent="0.3">
      <c r="A36" s="82"/>
      <c r="B36" s="108" t="s">
        <v>500</v>
      </c>
      <c r="C36" s="116" t="s">
        <v>501</v>
      </c>
      <c r="D36" s="112" t="s">
        <v>433</v>
      </c>
      <c r="E36" s="177"/>
      <c r="F36" s="113" t="s">
        <v>437</v>
      </c>
      <c r="G36" s="177"/>
      <c r="H36" s="116" t="s">
        <v>137</v>
      </c>
      <c r="I36" s="177"/>
      <c r="J36" s="109" t="s">
        <v>186</v>
      </c>
      <c r="K36" s="125"/>
      <c r="L36" s="142" t="s">
        <v>510</v>
      </c>
      <c r="M36" s="113"/>
      <c r="N36" s="113" t="s">
        <v>509</v>
      </c>
      <c r="O36" s="207"/>
      <c r="P36" s="142" t="s">
        <v>508</v>
      </c>
      <c r="Q36" s="125"/>
      <c r="R36" s="142" t="s">
        <v>486</v>
      </c>
      <c r="S36" s="125"/>
      <c r="T36" s="142" t="s">
        <v>534</v>
      </c>
      <c r="U36" s="125"/>
      <c r="V36" s="142" t="s">
        <v>1186</v>
      </c>
      <c r="W36" s="369"/>
      <c r="X36" s="85"/>
    </row>
    <row r="37" spans="1:24" s="397" customFormat="1" ht="15" thickBot="1" x14ac:dyDescent="0.35">
      <c r="A37" s="82"/>
      <c r="B37" s="173" t="s">
        <v>259</v>
      </c>
      <c r="C37" s="171" t="s">
        <v>258</v>
      </c>
      <c r="D37" s="376"/>
      <c r="E37" s="178"/>
      <c r="F37" s="376"/>
      <c r="G37" s="375"/>
      <c r="H37" s="171" t="s">
        <v>260</v>
      </c>
      <c r="I37" s="178"/>
      <c r="J37" s="174" t="s">
        <v>261</v>
      </c>
      <c r="K37" s="208"/>
      <c r="L37" s="174" t="s">
        <v>646</v>
      </c>
      <c r="M37" s="205"/>
      <c r="N37" s="171" t="s">
        <v>647</v>
      </c>
      <c r="O37" s="208"/>
      <c r="P37" s="171" t="s">
        <v>1387</v>
      </c>
      <c r="Q37" s="230"/>
      <c r="R37" s="174" t="s">
        <v>1127</v>
      </c>
      <c r="S37" s="230"/>
      <c r="T37" s="174" t="s">
        <v>1128</v>
      </c>
      <c r="U37" s="230"/>
      <c r="V37" s="377"/>
      <c r="W37" s="369"/>
      <c r="X37" s="85"/>
    </row>
    <row r="38" spans="1:24" s="364" customFormat="1" ht="14.4" thickTop="1" x14ac:dyDescent="0.3">
      <c r="A38" s="378"/>
      <c r="B38" s="135" t="s">
        <v>314</v>
      </c>
      <c r="C38" s="378" t="s">
        <v>554</v>
      </c>
      <c r="D38" s="378" t="s">
        <v>435</v>
      </c>
      <c r="E38" s="131"/>
      <c r="F38" s="437" t="s">
        <v>797</v>
      </c>
      <c r="G38" s="349"/>
      <c r="H38" s="378" t="s">
        <v>449</v>
      </c>
      <c r="I38" s="349"/>
      <c r="J38" s="378" t="s">
        <v>187</v>
      </c>
      <c r="K38" s="349"/>
      <c r="L38" s="378">
        <v>55</v>
      </c>
      <c r="M38" s="349"/>
      <c r="N38" s="378">
        <v>60</v>
      </c>
      <c r="O38" s="349"/>
      <c r="P38" s="378" t="s">
        <v>930</v>
      </c>
      <c r="Q38" s="349"/>
      <c r="R38" s="369">
        <v>60</v>
      </c>
      <c r="S38" s="349"/>
      <c r="T38" s="206">
        <v>55</v>
      </c>
      <c r="U38" s="332" t="s">
        <v>14</v>
      </c>
      <c r="V38" s="266" t="s">
        <v>14</v>
      </c>
      <c r="W38" s="369"/>
      <c r="X38" s="85"/>
    </row>
    <row r="39" spans="1:24" s="364" customFormat="1" x14ac:dyDescent="0.3">
      <c r="A39" s="378"/>
      <c r="B39" s="135" t="s">
        <v>314</v>
      </c>
      <c r="C39" s="378" t="s">
        <v>565</v>
      </c>
      <c r="D39" s="378" t="s">
        <v>435</v>
      </c>
      <c r="E39" s="131"/>
      <c r="F39" s="371" t="s">
        <v>798</v>
      </c>
      <c r="G39" s="136"/>
      <c r="H39" s="378" t="s">
        <v>449</v>
      </c>
      <c r="I39" s="136"/>
      <c r="J39" s="378" t="s">
        <v>187</v>
      </c>
      <c r="K39" s="136"/>
      <c r="L39" s="378">
        <v>55</v>
      </c>
      <c r="M39" s="136"/>
      <c r="N39" s="378">
        <v>60</v>
      </c>
      <c r="O39" s="136"/>
      <c r="P39" s="378" t="s">
        <v>930</v>
      </c>
      <c r="Q39" s="136"/>
      <c r="R39" s="369">
        <v>60</v>
      </c>
      <c r="S39" s="136"/>
      <c r="T39" s="206">
        <v>55</v>
      </c>
      <c r="U39" s="332" t="s">
        <v>14</v>
      </c>
      <c r="V39" s="266" t="s">
        <v>14</v>
      </c>
      <c r="W39" s="369"/>
      <c r="X39" s="85"/>
    </row>
    <row r="40" spans="1:24" s="362" customFormat="1" x14ac:dyDescent="0.3">
      <c r="A40" s="82"/>
      <c r="B40" s="135" t="s">
        <v>314</v>
      </c>
      <c r="C40" s="378" t="s">
        <v>566</v>
      </c>
      <c r="D40" s="378" t="s">
        <v>435</v>
      </c>
      <c r="E40" s="131"/>
      <c r="F40" s="371" t="s">
        <v>799</v>
      </c>
      <c r="G40" s="136"/>
      <c r="H40" s="378" t="s">
        <v>449</v>
      </c>
      <c r="I40" s="136"/>
      <c r="J40" s="378" t="s">
        <v>187</v>
      </c>
      <c r="K40" s="136"/>
      <c r="L40" s="378">
        <v>55</v>
      </c>
      <c r="M40" s="136"/>
      <c r="N40" s="378">
        <v>60</v>
      </c>
      <c r="O40" s="136"/>
      <c r="P40" s="378" t="s">
        <v>930</v>
      </c>
      <c r="Q40" s="136"/>
      <c r="R40" s="369">
        <v>60</v>
      </c>
      <c r="S40" s="136"/>
      <c r="T40" s="206">
        <v>55</v>
      </c>
      <c r="U40" s="332" t="s">
        <v>14</v>
      </c>
      <c r="V40" s="266" t="s">
        <v>14</v>
      </c>
      <c r="W40" s="369"/>
      <c r="X40" s="85"/>
    </row>
    <row r="41" spans="1:24" s="362" customFormat="1" x14ac:dyDescent="0.3">
      <c r="A41" s="82"/>
      <c r="B41" s="135" t="s">
        <v>314</v>
      </c>
      <c r="C41" s="378" t="s">
        <v>795</v>
      </c>
      <c r="D41" s="378" t="s">
        <v>435</v>
      </c>
      <c r="E41" s="131"/>
      <c r="F41" s="371" t="s">
        <v>800</v>
      </c>
      <c r="G41" s="136"/>
      <c r="H41" s="378" t="s">
        <v>449</v>
      </c>
      <c r="I41" s="136"/>
      <c r="J41" s="378" t="s">
        <v>187</v>
      </c>
      <c r="K41" s="136"/>
      <c r="L41" s="378">
        <v>55</v>
      </c>
      <c r="M41" s="136"/>
      <c r="N41" s="378">
        <v>60</v>
      </c>
      <c r="O41" s="136"/>
      <c r="P41" s="378" t="s">
        <v>930</v>
      </c>
      <c r="Q41" s="136"/>
      <c r="R41" s="369">
        <v>60</v>
      </c>
      <c r="S41" s="136"/>
      <c r="T41" s="206">
        <v>55</v>
      </c>
      <c r="U41" s="332" t="s">
        <v>14</v>
      </c>
      <c r="V41" s="266" t="s">
        <v>14</v>
      </c>
      <c r="W41" s="369"/>
      <c r="X41" s="85"/>
    </row>
    <row r="42" spans="1:24" s="362" customFormat="1" x14ac:dyDescent="0.3">
      <c r="A42" s="82"/>
      <c r="B42" s="284" t="s">
        <v>1187</v>
      </c>
      <c r="C42" s="158" t="s">
        <v>1188</v>
      </c>
      <c r="D42" s="158" t="s">
        <v>435</v>
      </c>
      <c r="E42" s="233"/>
      <c r="F42" s="160" t="s">
        <v>1189</v>
      </c>
      <c r="G42" s="153"/>
      <c r="H42" s="158" t="s">
        <v>167</v>
      </c>
      <c r="I42" s="153"/>
      <c r="J42" s="158" t="s">
        <v>806</v>
      </c>
      <c r="K42" s="411" t="s">
        <v>14</v>
      </c>
      <c r="L42" s="432" t="s">
        <v>14</v>
      </c>
      <c r="M42" s="411" t="s">
        <v>14</v>
      </c>
      <c r="N42" s="412" t="s">
        <v>14</v>
      </c>
      <c r="O42" s="153"/>
      <c r="P42" s="158" t="s">
        <v>1190</v>
      </c>
      <c r="Q42" s="411" t="s">
        <v>14</v>
      </c>
      <c r="R42" s="432" t="s">
        <v>14</v>
      </c>
      <c r="S42" s="411" t="s">
        <v>14</v>
      </c>
      <c r="T42" s="412" t="s">
        <v>14</v>
      </c>
      <c r="U42" s="153"/>
      <c r="V42" s="252">
        <v>72</v>
      </c>
      <c r="W42" s="369"/>
      <c r="X42" s="85"/>
    </row>
    <row r="43" spans="1:24" s="397" customFormat="1" ht="14.4" x14ac:dyDescent="0.3">
      <c r="A43" s="82"/>
      <c r="B43" s="83"/>
      <c r="C43" s="75"/>
      <c r="D43" s="29"/>
      <c r="E43" s="369"/>
      <c r="F43" s="369"/>
      <c r="G43" s="369"/>
      <c r="H43" s="369"/>
      <c r="I43" s="369"/>
      <c r="J43" s="369"/>
      <c r="K43" s="84"/>
      <c r="L43" s="378"/>
      <c r="M43" s="378"/>
      <c r="N43" s="378"/>
      <c r="O43" s="369"/>
      <c r="P43" s="369"/>
      <c r="Q43" s="369"/>
      <c r="R43" s="369"/>
      <c r="S43" s="369"/>
      <c r="T43" s="369"/>
      <c r="U43" s="369"/>
      <c r="V43" s="85"/>
      <c r="W43" s="369"/>
      <c r="X43" s="85"/>
    </row>
    <row r="44" spans="1:24" s="397" customFormat="1" ht="14.4" x14ac:dyDescent="0.3">
      <c r="A44" s="82"/>
      <c r="B44" s="77"/>
      <c r="C44" s="75"/>
      <c r="D44" s="29"/>
      <c r="E44" s="369"/>
      <c r="F44" s="369"/>
      <c r="G44" s="369"/>
      <c r="H44" s="369"/>
      <c r="I44" s="369"/>
      <c r="J44" s="369"/>
      <c r="K44" s="84"/>
      <c r="L44" s="82"/>
      <c r="M44" s="369"/>
      <c r="N44" s="369"/>
      <c r="O44" s="369"/>
      <c r="P44" s="369"/>
      <c r="Q44" s="369"/>
      <c r="R44" s="369"/>
      <c r="S44" s="369"/>
      <c r="T44" s="369"/>
      <c r="U44" s="369"/>
      <c r="V44" s="85"/>
      <c r="W44" s="369"/>
      <c r="X44" s="85"/>
    </row>
    <row r="45" spans="1:24" s="363" customFormat="1" ht="41.4" x14ac:dyDescent="0.3">
      <c r="A45" s="378"/>
      <c r="B45" s="125" t="s">
        <v>500</v>
      </c>
      <c r="C45" s="113" t="s">
        <v>804</v>
      </c>
      <c r="D45" s="112" t="s">
        <v>433</v>
      </c>
      <c r="E45" s="619"/>
      <c r="F45" s="113" t="s">
        <v>437</v>
      </c>
      <c r="G45" s="619"/>
      <c r="H45" s="113" t="s">
        <v>137</v>
      </c>
      <c r="I45" s="619"/>
      <c r="J45" s="142" t="s">
        <v>186</v>
      </c>
      <c r="K45" s="125"/>
      <c r="L45" s="142" t="s">
        <v>510</v>
      </c>
      <c r="M45" s="113"/>
      <c r="N45" s="113" t="s">
        <v>509</v>
      </c>
      <c r="O45" s="298"/>
      <c r="P45" s="142" t="s">
        <v>508</v>
      </c>
      <c r="Q45" s="125"/>
      <c r="R45" s="142" t="s">
        <v>486</v>
      </c>
      <c r="S45" s="125"/>
      <c r="T45" s="142" t="s">
        <v>534</v>
      </c>
      <c r="U45" s="378"/>
      <c r="V45" s="371"/>
      <c r="W45" s="378"/>
      <c r="X45" s="371"/>
    </row>
    <row r="46" spans="1:24" s="397" customFormat="1" ht="15" thickBot="1" x14ac:dyDescent="0.35">
      <c r="A46" s="82"/>
      <c r="B46" s="173" t="s">
        <v>912</v>
      </c>
      <c r="C46" s="171"/>
      <c r="D46" s="376"/>
      <c r="E46" s="178"/>
      <c r="F46" s="376"/>
      <c r="G46" s="375"/>
      <c r="H46" s="171" t="s">
        <v>260</v>
      </c>
      <c r="I46" s="178"/>
      <c r="J46" s="174" t="s">
        <v>261</v>
      </c>
      <c r="K46" s="208"/>
      <c r="L46" s="174" t="s">
        <v>646</v>
      </c>
      <c r="M46" s="205"/>
      <c r="N46" s="171" t="s">
        <v>647</v>
      </c>
      <c r="O46" s="208"/>
      <c r="P46" s="174" t="s">
        <v>1388</v>
      </c>
      <c r="Q46" s="230"/>
      <c r="R46" s="377"/>
      <c r="S46" s="230"/>
      <c r="T46" s="377"/>
      <c r="U46" s="403"/>
      <c r="V46" s="407"/>
      <c r="W46" s="369"/>
      <c r="X46" s="85"/>
    </row>
    <row r="47" spans="1:24" s="363" customFormat="1" ht="15" thickTop="1" x14ac:dyDescent="0.3">
      <c r="A47" s="378"/>
      <c r="B47" s="122" t="s">
        <v>1191</v>
      </c>
      <c r="C47" s="371" t="s">
        <v>809</v>
      </c>
      <c r="D47" s="378" t="s">
        <v>435</v>
      </c>
      <c r="E47" s="131"/>
      <c r="F47" s="371" t="s">
        <v>803</v>
      </c>
      <c r="G47" s="418"/>
      <c r="H47" s="378" t="s">
        <v>805</v>
      </c>
      <c r="I47" s="418"/>
      <c r="J47" s="378" t="s">
        <v>806</v>
      </c>
      <c r="K47" s="418"/>
      <c r="L47" s="378">
        <v>58</v>
      </c>
      <c r="M47" s="418"/>
      <c r="N47" s="378">
        <v>95</v>
      </c>
      <c r="O47" s="418"/>
      <c r="P47" s="378" t="s">
        <v>300</v>
      </c>
      <c r="Q47" s="678" t="s">
        <v>14</v>
      </c>
      <c r="R47" s="733" t="s">
        <v>14</v>
      </c>
      <c r="S47" s="678" t="s">
        <v>14</v>
      </c>
      <c r="T47" s="733" t="s">
        <v>14</v>
      </c>
      <c r="U47" s="403"/>
      <c r="V47" s="407"/>
      <c r="W47" s="378"/>
      <c r="X47" s="371"/>
    </row>
    <row r="48" spans="1:24" s="363" customFormat="1" ht="27.6" x14ac:dyDescent="0.3">
      <c r="A48" s="378"/>
      <c r="B48" s="284" t="s">
        <v>1192</v>
      </c>
      <c r="C48" s="160" t="s">
        <v>1193</v>
      </c>
      <c r="D48" s="158" t="s">
        <v>435</v>
      </c>
      <c r="E48" s="233"/>
      <c r="F48" s="160" t="s">
        <v>1194</v>
      </c>
      <c r="G48" s="417"/>
      <c r="H48" s="158" t="s">
        <v>807</v>
      </c>
      <c r="I48" s="417"/>
      <c r="J48" s="158" t="s">
        <v>806</v>
      </c>
      <c r="K48" s="333" t="s">
        <v>14</v>
      </c>
      <c r="L48" s="273" t="s">
        <v>14</v>
      </c>
      <c r="M48" s="333" t="s">
        <v>14</v>
      </c>
      <c r="N48" s="273" t="s">
        <v>14</v>
      </c>
      <c r="O48" s="417"/>
      <c r="P48" s="158" t="s">
        <v>300</v>
      </c>
      <c r="Q48" s="333" t="s">
        <v>14</v>
      </c>
      <c r="R48" s="273" t="s">
        <v>14</v>
      </c>
      <c r="S48" s="333" t="s">
        <v>14</v>
      </c>
      <c r="T48" s="273" t="s">
        <v>14</v>
      </c>
      <c r="U48" s="378"/>
      <c r="V48" s="371"/>
      <c r="W48" s="378"/>
      <c r="X48" s="371"/>
    </row>
    <row r="49" spans="1:26" s="621" customFormat="1" ht="14.4" x14ac:dyDescent="0.3">
      <c r="A49" s="403"/>
      <c r="B49" s="620"/>
      <c r="C49" s="67"/>
      <c r="D49" s="403"/>
      <c r="E49" s="67"/>
      <c r="F49" s="403"/>
      <c r="G49" s="403"/>
      <c r="H49" s="403"/>
      <c r="I49" s="67"/>
      <c r="J49" s="403"/>
      <c r="K49" s="67"/>
      <c r="L49" s="403"/>
      <c r="M49" s="403"/>
      <c r="N49" s="403"/>
      <c r="O49" s="403"/>
      <c r="P49" s="403"/>
      <c r="Q49" s="403"/>
      <c r="R49" s="403"/>
      <c r="S49" s="403"/>
      <c r="T49" s="403"/>
      <c r="U49" s="403"/>
      <c r="V49" s="407"/>
      <c r="W49" s="403"/>
      <c r="X49" s="407"/>
    </row>
    <row r="50" spans="1:26" s="621" customFormat="1" ht="14.4" x14ac:dyDescent="0.3">
      <c r="A50" s="403"/>
      <c r="B50" s="620"/>
      <c r="C50" s="67"/>
      <c r="D50" s="403"/>
      <c r="E50" s="67"/>
      <c r="F50" s="403"/>
      <c r="G50" s="67"/>
      <c r="H50" s="403"/>
      <c r="I50" s="67"/>
      <c r="J50" s="403"/>
      <c r="K50" s="403"/>
      <c r="L50" s="403"/>
      <c r="M50" s="403"/>
      <c r="N50" s="403"/>
      <c r="O50" s="403"/>
      <c r="P50" s="403"/>
      <c r="Q50" s="403"/>
      <c r="R50" s="403"/>
      <c r="S50" s="403"/>
      <c r="T50" s="403"/>
      <c r="U50" s="403"/>
      <c r="V50" s="407"/>
      <c r="W50" s="403"/>
      <c r="X50" s="407"/>
    </row>
    <row r="51" spans="1:26" s="363" customFormat="1" ht="41.4" x14ac:dyDescent="0.3">
      <c r="A51" s="378"/>
      <c r="B51" s="125" t="s">
        <v>501</v>
      </c>
      <c r="C51" s="113" t="s">
        <v>502</v>
      </c>
      <c r="D51" s="112" t="s">
        <v>433</v>
      </c>
      <c r="E51" s="619"/>
      <c r="F51" s="110" t="s">
        <v>137</v>
      </c>
      <c r="G51" s="622"/>
      <c r="H51" s="168" t="s">
        <v>503</v>
      </c>
      <c r="I51" s="619"/>
      <c r="J51" s="168" t="s">
        <v>1125</v>
      </c>
      <c r="K51" s="189"/>
      <c r="L51" s="110" t="s">
        <v>204</v>
      </c>
      <c r="M51" s="182"/>
      <c r="N51" s="110" t="s">
        <v>1053</v>
      </c>
      <c r="O51" s="623"/>
      <c r="P51" s="110" t="s">
        <v>1054</v>
      </c>
      <c r="Q51" s="624"/>
      <c r="R51" s="110" t="s">
        <v>1055</v>
      </c>
      <c r="S51" s="378"/>
      <c r="T51" s="378"/>
      <c r="U51" s="378"/>
      <c r="V51" s="378"/>
      <c r="W51" s="378"/>
      <c r="X51" s="378"/>
      <c r="Y51" s="378"/>
      <c r="Z51" s="378"/>
    </row>
    <row r="52" spans="1:26" s="397" customFormat="1" ht="15" thickBot="1" x14ac:dyDescent="0.35">
      <c r="A52" s="82"/>
      <c r="B52" s="173" t="s">
        <v>280</v>
      </c>
      <c r="C52" s="171" t="s">
        <v>262</v>
      </c>
      <c r="D52" s="376"/>
      <c r="E52" s="178"/>
      <c r="F52" s="376" t="s">
        <v>264</v>
      </c>
      <c r="G52" s="375"/>
      <c r="H52" s="171" t="s">
        <v>933</v>
      </c>
      <c r="I52" s="375"/>
      <c r="J52" s="171" t="s">
        <v>1126</v>
      </c>
      <c r="K52" s="178"/>
      <c r="L52" s="174" t="s">
        <v>263</v>
      </c>
      <c r="M52" s="208"/>
      <c r="N52" s="174" t="s">
        <v>629</v>
      </c>
      <c r="O52" s="205"/>
      <c r="P52" s="171" t="s">
        <v>630</v>
      </c>
      <c r="Q52" s="208"/>
      <c r="R52" s="174" t="s">
        <v>631</v>
      </c>
      <c r="S52" s="378"/>
      <c r="T52" s="378"/>
      <c r="U52" s="378"/>
      <c r="V52" s="378"/>
      <c r="W52" s="378"/>
      <c r="X52" s="378"/>
      <c r="Y52" s="369"/>
      <c r="Z52" s="85"/>
    </row>
    <row r="53" spans="1:26" s="627" customFormat="1" ht="28.2" thickTop="1" x14ac:dyDescent="0.3">
      <c r="A53" s="403"/>
      <c r="B53" s="135" t="s">
        <v>554</v>
      </c>
      <c r="C53" s="378" t="s">
        <v>558</v>
      </c>
      <c r="D53" s="378" t="s">
        <v>435</v>
      </c>
      <c r="E53" s="419"/>
      <c r="F53" s="378" t="s">
        <v>173</v>
      </c>
      <c r="G53" s="418"/>
      <c r="H53" s="378">
        <v>9.8000000000000007</v>
      </c>
      <c r="I53" s="418"/>
      <c r="J53" s="378">
        <v>11.4</v>
      </c>
      <c r="K53" s="678" t="s">
        <v>14</v>
      </c>
      <c r="L53" s="733" t="s">
        <v>14</v>
      </c>
      <c r="M53" s="418"/>
      <c r="N53" s="625" t="s">
        <v>454</v>
      </c>
      <c r="O53" s="418"/>
      <c r="P53" s="625" t="s">
        <v>530</v>
      </c>
      <c r="Q53" s="418"/>
      <c r="R53" s="626" t="s">
        <v>281</v>
      </c>
      <c r="S53" s="378"/>
      <c r="T53" s="378"/>
      <c r="U53" s="378"/>
      <c r="V53" s="378"/>
      <c r="W53" s="378"/>
      <c r="X53" s="378"/>
      <c r="Y53" s="403"/>
      <c r="Z53" s="403"/>
    </row>
    <row r="54" spans="1:26" s="627" customFormat="1" ht="27.6" x14ac:dyDescent="0.3">
      <c r="A54" s="403"/>
      <c r="B54" s="135" t="s">
        <v>565</v>
      </c>
      <c r="C54" s="378" t="s">
        <v>573</v>
      </c>
      <c r="D54" s="378" t="s">
        <v>435</v>
      </c>
      <c r="E54" s="419"/>
      <c r="F54" s="378" t="s">
        <v>173</v>
      </c>
      <c r="G54" s="418"/>
      <c r="H54" s="489">
        <v>10.8446</v>
      </c>
      <c r="I54" s="332" t="s">
        <v>14</v>
      </c>
      <c r="J54" s="266" t="s">
        <v>14</v>
      </c>
      <c r="K54" s="332" t="s">
        <v>14</v>
      </c>
      <c r="L54" s="266" t="s">
        <v>14</v>
      </c>
      <c r="M54" s="418"/>
      <c r="N54" s="625" t="s">
        <v>301</v>
      </c>
      <c r="O54" s="418"/>
      <c r="P54" s="625" t="s">
        <v>302</v>
      </c>
      <c r="Q54" s="418"/>
      <c r="R54" s="626" t="s">
        <v>281</v>
      </c>
      <c r="S54" s="403"/>
      <c r="T54" s="378"/>
      <c r="U54" s="378"/>
      <c r="V54" s="378"/>
      <c r="W54" s="378"/>
      <c r="X54" s="378"/>
      <c r="Y54" s="403"/>
      <c r="Z54" s="403"/>
    </row>
    <row r="55" spans="1:26" s="627" customFormat="1" ht="27.6" x14ac:dyDescent="0.3">
      <c r="A55" s="403"/>
      <c r="B55" s="135" t="s">
        <v>566</v>
      </c>
      <c r="C55" s="378" t="s">
        <v>574</v>
      </c>
      <c r="D55" s="378" t="s">
        <v>435</v>
      </c>
      <c r="E55" s="419"/>
      <c r="F55" s="378" t="s">
        <v>173</v>
      </c>
      <c r="G55" s="418"/>
      <c r="H55" s="489">
        <v>10.8446</v>
      </c>
      <c r="I55" s="332" t="s">
        <v>14</v>
      </c>
      <c r="J55" s="266" t="s">
        <v>14</v>
      </c>
      <c r="K55" s="332" t="s">
        <v>14</v>
      </c>
      <c r="L55" s="266" t="s">
        <v>14</v>
      </c>
      <c r="M55" s="418"/>
      <c r="N55" s="625" t="s">
        <v>301</v>
      </c>
      <c r="O55" s="418"/>
      <c r="P55" s="625" t="s">
        <v>302</v>
      </c>
      <c r="Q55" s="418"/>
      <c r="R55" s="626" t="s">
        <v>281</v>
      </c>
      <c r="S55" s="403"/>
      <c r="T55" s="378"/>
      <c r="U55" s="378"/>
      <c r="V55" s="378"/>
      <c r="W55" s="378"/>
      <c r="X55" s="378"/>
      <c r="Y55" s="403"/>
      <c r="Z55" s="403"/>
    </row>
    <row r="56" spans="1:26" s="627" customFormat="1" ht="27.6" x14ac:dyDescent="0.3">
      <c r="A56" s="403"/>
      <c r="B56" s="135" t="s">
        <v>795</v>
      </c>
      <c r="C56" s="378" t="s">
        <v>808</v>
      </c>
      <c r="D56" s="378" t="s">
        <v>435</v>
      </c>
      <c r="E56" s="419"/>
      <c r="F56" s="378" t="s">
        <v>173</v>
      </c>
      <c r="G56" s="418"/>
      <c r="H56" s="489">
        <v>11</v>
      </c>
      <c r="I56" s="418"/>
      <c r="J56" s="378">
        <v>12.7</v>
      </c>
      <c r="K56" s="332" t="s">
        <v>14</v>
      </c>
      <c r="L56" s="266" t="s">
        <v>14</v>
      </c>
      <c r="M56" s="418"/>
      <c r="N56" s="625" t="s">
        <v>454</v>
      </c>
      <c r="O56" s="418"/>
      <c r="P56" s="625" t="s">
        <v>530</v>
      </c>
      <c r="Q56" s="418"/>
      <c r="R56" s="626" t="s">
        <v>281</v>
      </c>
      <c r="S56" s="403"/>
      <c r="T56" s="403"/>
      <c r="U56" s="403"/>
      <c r="V56" s="403"/>
      <c r="W56" s="403"/>
      <c r="X56" s="403"/>
      <c r="Y56" s="403"/>
      <c r="Z56" s="403"/>
    </row>
    <row r="57" spans="1:26" s="627" customFormat="1" ht="27.6" x14ac:dyDescent="0.3">
      <c r="A57" s="403"/>
      <c r="B57" s="135" t="s">
        <v>809</v>
      </c>
      <c r="C57" s="371" t="s">
        <v>810</v>
      </c>
      <c r="D57" s="378" t="s">
        <v>435</v>
      </c>
      <c r="E57" s="419"/>
      <c r="F57" s="378" t="s">
        <v>704</v>
      </c>
      <c r="G57" s="332" t="s">
        <v>14</v>
      </c>
      <c r="H57" s="266" t="s">
        <v>14</v>
      </c>
      <c r="I57" s="265" t="s">
        <v>14</v>
      </c>
      <c r="J57" s="266" t="s">
        <v>14</v>
      </c>
      <c r="K57" s="332" t="s">
        <v>14</v>
      </c>
      <c r="L57" s="266" t="s">
        <v>14</v>
      </c>
      <c r="M57" s="332" t="s">
        <v>14</v>
      </c>
      <c r="N57" s="266" t="s">
        <v>14</v>
      </c>
      <c r="O57" s="332" t="s">
        <v>14</v>
      </c>
      <c r="P57" s="734" t="s">
        <v>14</v>
      </c>
      <c r="Q57" s="332" t="s">
        <v>14</v>
      </c>
      <c r="R57" s="734" t="s">
        <v>14</v>
      </c>
      <c r="S57" s="403"/>
      <c r="T57" s="403"/>
      <c r="U57" s="403"/>
      <c r="V57" s="403"/>
      <c r="W57" s="403"/>
      <c r="X57" s="403"/>
      <c r="Y57" s="403"/>
      <c r="Z57" s="403"/>
    </row>
    <row r="58" spans="1:26" s="627" customFormat="1" ht="27.6" x14ac:dyDescent="0.3">
      <c r="A58" s="403"/>
      <c r="B58" s="316" t="s">
        <v>1188</v>
      </c>
      <c r="C58" s="158" t="s">
        <v>1195</v>
      </c>
      <c r="D58" s="158" t="s">
        <v>435</v>
      </c>
      <c r="E58" s="417"/>
      <c r="F58" s="158" t="s">
        <v>173</v>
      </c>
      <c r="G58" s="417"/>
      <c r="H58" s="446">
        <v>10.8446</v>
      </c>
      <c r="I58" s="299" t="s">
        <v>14</v>
      </c>
      <c r="J58" s="273" t="s">
        <v>14</v>
      </c>
      <c r="K58" s="333" t="s">
        <v>14</v>
      </c>
      <c r="L58" s="273" t="s">
        <v>14</v>
      </c>
      <c r="M58" s="417"/>
      <c r="N58" s="628" t="s">
        <v>301</v>
      </c>
      <c r="O58" s="417"/>
      <c r="P58" s="629" t="s">
        <v>302</v>
      </c>
      <c r="Q58" s="417"/>
      <c r="R58" s="630" t="s">
        <v>281</v>
      </c>
      <c r="S58" s="403"/>
      <c r="T58" s="403"/>
      <c r="U58" s="403"/>
      <c r="V58" s="403"/>
      <c r="W58" s="403"/>
      <c r="X58" s="403"/>
      <c r="Y58" s="403"/>
      <c r="Z58" s="403"/>
    </row>
    <row r="59" spans="1:26" s="621" customFormat="1" ht="14.4" x14ac:dyDescent="0.3">
      <c r="A59" s="403"/>
      <c r="B59" s="620"/>
      <c r="C59" s="18"/>
      <c r="D59" s="403"/>
      <c r="E59" s="67"/>
      <c r="F59" s="403"/>
      <c r="G59" s="67"/>
      <c r="H59" s="403"/>
      <c r="I59" s="67"/>
      <c r="J59" s="403"/>
      <c r="K59" s="407"/>
      <c r="L59" s="403"/>
      <c r="M59" s="403"/>
      <c r="N59" s="403"/>
      <c r="O59" s="403"/>
      <c r="P59" s="403"/>
      <c r="Q59" s="403"/>
      <c r="R59" s="403"/>
      <c r="S59" s="403"/>
      <c r="T59" s="403"/>
      <c r="U59" s="403"/>
      <c r="V59" s="403"/>
      <c r="W59" s="403"/>
      <c r="X59" s="403"/>
    </row>
    <row r="60" spans="1:26" s="621" customFormat="1" ht="14.4" x14ac:dyDescent="0.3">
      <c r="A60" s="403"/>
      <c r="B60" s="403"/>
      <c r="C60" s="407"/>
      <c r="D60" s="403"/>
      <c r="E60" s="403"/>
      <c r="F60" s="407"/>
      <c r="G60" s="403"/>
      <c r="H60" s="407"/>
      <c r="I60" s="403"/>
      <c r="J60" s="407"/>
      <c r="K60" s="403"/>
      <c r="L60" s="407"/>
      <c r="M60" s="403"/>
      <c r="N60" s="407"/>
      <c r="O60" s="403"/>
      <c r="P60" s="407"/>
      <c r="Q60" s="403"/>
      <c r="R60" s="403"/>
      <c r="S60" s="403"/>
      <c r="T60" s="403"/>
    </row>
    <row r="61" spans="1:26" s="363" customFormat="1" ht="27.6" x14ac:dyDescent="0.3">
      <c r="A61" s="378"/>
      <c r="B61" s="125" t="s">
        <v>501</v>
      </c>
      <c r="C61" s="113" t="s">
        <v>504</v>
      </c>
      <c r="D61" s="112" t="s">
        <v>433</v>
      </c>
      <c r="E61" s="619"/>
      <c r="F61" s="110" t="s">
        <v>474</v>
      </c>
      <c r="G61" s="168"/>
      <c r="H61" s="168" t="s">
        <v>603</v>
      </c>
      <c r="I61" s="189"/>
      <c r="J61" s="110" t="s">
        <v>204</v>
      </c>
      <c r="K61" s="182"/>
      <c r="L61" s="110" t="s">
        <v>1056</v>
      </c>
      <c r="M61" s="378"/>
      <c r="O61" s="378"/>
      <c r="P61" s="378"/>
      <c r="Q61" s="378"/>
      <c r="R61" s="378"/>
    </row>
    <row r="62" spans="1:26" s="621" customFormat="1" ht="15" thickBot="1" x14ac:dyDescent="0.35">
      <c r="A62" s="403"/>
      <c r="B62" s="173" t="s">
        <v>282</v>
      </c>
      <c r="C62" s="171" t="s">
        <v>265</v>
      </c>
      <c r="D62" s="171"/>
      <c r="E62" s="631"/>
      <c r="F62" s="174" t="s">
        <v>266</v>
      </c>
      <c r="G62" s="632"/>
      <c r="H62" s="171" t="s">
        <v>267</v>
      </c>
      <c r="I62" s="631"/>
      <c r="J62" s="174"/>
      <c r="K62" s="343"/>
      <c r="L62" s="174" t="s">
        <v>283</v>
      </c>
      <c r="M62" s="403"/>
      <c r="N62" s="403"/>
      <c r="O62" s="403"/>
      <c r="P62" s="403"/>
      <c r="Q62" s="403"/>
      <c r="R62" s="403"/>
    </row>
    <row r="63" spans="1:26" s="364" customFormat="1" ht="14.4" thickTop="1" x14ac:dyDescent="0.3">
      <c r="A63" s="378"/>
      <c r="B63" s="135" t="s">
        <v>554</v>
      </c>
      <c r="C63" s="378" t="s">
        <v>559</v>
      </c>
      <c r="D63" s="378" t="s">
        <v>435</v>
      </c>
      <c r="E63" s="420"/>
      <c r="F63" s="274" t="s">
        <v>562</v>
      </c>
      <c r="G63" s="735" t="s">
        <v>14</v>
      </c>
      <c r="H63" s="736" t="s">
        <v>14</v>
      </c>
      <c r="I63" s="735" t="s">
        <v>14</v>
      </c>
      <c r="J63" s="736" t="s">
        <v>14</v>
      </c>
      <c r="K63" s="735" t="s">
        <v>14</v>
      </c>
      <c r="L63" s="736" t="s">
        <v>14</v>
      </c>
      <c r="M63" s="378"/>
      <c r="N63" s="378"/>
      <c r="O63" s="378"/>
      <c r="P63" s="378"/>
      <c r="Q63" s="378"/>
      <c r="R63" s="378"/>
    </row>
    <row r="64" spans="1:26" s="364" customFormat="1" x14ac:dyDescent="0.3">
      <c r="A64" s="378"/>
      <c r="B64" s="135" t="s">
        <v>565</v>
      </c>
      <c r="C64" s="378" t="s">
        <v>575</v>
      </c>
      <c r="D64" s="378" t="s">
        <v>435</v>
      </c>
      <c r="E64" s="416"/>
      <c r="F64" s="274" t="s">
        <v>562</v>
      </c>
      <c r="G64" s="735" t="s">
        <v>14</v>
      </c>
      <c r="H64" s="736" t="s">
        <v>14</v>
      </c>
      <c r="I64" s="735" t="s">
        <v>14</v>
      </c>
      <c r="J64" s="736" t="s">
        <v>14</v>
      </c>
      <c r="K64" s="735" t="s">
        <v>14</v>
      </c>
      <c r="L64" s="736" t="s">
        <v>14</v>
      </c>
      <c r="M64" s="378"/>
      <c r="N64" s="378"/>
      <c r="O64" s="378"/>
      <c r="P64" s="378"/>
      <c r="Q64" s="378"/>
      <c r="R64" s="378"/>
    </row>
    <row r="65" spans="1:24" s="364" customFormat="1" x14ac:dyDescent="0.3">
      <c r="A65" s="378"/>
      <c r="B65" s="135" t="s">
        <v>566</v>
      </c>
      <c r="C65" s="378" t="s">
        <v>576</v>
      </c>
      <c r="D65" s="378" t="s">
        <v>435</v>
      </c>
      <c r="E65" s="416"/>
      <c r="F65" s="274" t="s">
        <v>562</v>
      </c>
      <c r="G65" s="735" t="s">
        <v>14</v>
      </c>
      <c r="H65" s="736" t="s">
        <v>14</v>
      </c>
      <c r="I65" s="735" t="s">
        <v>14</v>
      </c>
      <c r="J65" s="736" t="s">
        <v>14</v>
      </c>
      <c r="K65" s="735" t="s">
        <v>14</v>
      </c>
      <c r="L65" s="736" t="s">
        <v>14</v>
      </c>
      <c r="M65" s="378"/>
      <c r="N65" s="378"/>
      <c r="O65" s="378"/>
      <c r="P65" s="378"/>
      <c r="Q65" s="378"/>
      <c r="R65" s="378"/>
    </row>
    <row r="66" spans="1:24" s="364" customFormat="1" x14ac:dyDescent="0.3">
      <c r="A66" s="378"/>
      <c r="B66" s="135" t="s">
        <v>795</v>
      </c>
      <c r="C66" s="378" t="s">
        <v>811</v>
      </c>
      <c r="D66" s="378" t="s">
        <v>435</v>
      </c>
      <c r="E66" s="416"/>
      <c r="F66" s="274" t="s">
        <v>562</v>
      </c>
      <c r="G66" s="735" t="s">
        <v>14</v>
      </c>
      <c r="H66" s="736" t="s">
        <v>14</v>
      </c>
      <c r="I66" s="735" t="s">
        <v>14</v>
      </c>
      <c r="J66" s="736" t="s">
        <v>14</v>
      </c>
      <c r="K66" s="735" t="s">
        <v>14</v>
      </c>
      <c r="L66" s="736" t="s">
        <v>14</v>
      </c>
      <c r="M66" s="378"/>
      <c r="N66" s="378"/>
      <c r="O66" s="378"/>
      <c r="P66" s="378"/>
      <c r="Q66" s="378"/>
      <c r="R66" s="378"/>
    </row>
    <row r="67" spans="1:24" s="364" customFormat="1" x14ac:dyDescent="0.3">
      <c r="A67" s="378"/>
      <c r="B67" s="135" t="s">
        <v>554</v>
      </c>
      <c r="C67" s="378" t="s">
        <v>587</v>
      </c>
      <c r="D67" s="378" t="s">
        <v>435</v>
      </c>
      <c r="E67" s="416"/>
      <c r="F67" s="274" t="s">
        <v>562</v>
      </c>
      <c r="G67" s="735" t="s">
        <v>14</v>
      </c>
      <c r="H67" s="736" t="s">
        <v>14</v>
      </c>
      <c r="I67" s="735" t="s">
        <v>14</v>
      </c>
      <c r="J67" s="736" t="s">
        <v>14</v>
      </c>
      <c r="K67" s="735" t="s">
        <v>14</v>
      </c>
      <c r="L67" s="736" t="s">
        <v>14</v>
      </c>
      <c r="M67" s="378"/>
      <c r="N67" s="378"/>
      <c r="O67" s="378"/>
      <c r="P67" s="378"/>
      <c r="Q67" s="378"/>
      <c r="R67" s="378"/>
    </row>
    <row r="68" spans="1:24" s="364" customFormat="1" x14ac:dyDescent="0.3">
      <c r="A68" s="378"/>
      <c r="B68" s="135" t="s">
        <v>565</v>
      </c>
      <c r="C68" s="378" t="s">
        <v>587</v>
      </c>
      <c r="D68" s="378" t="s">
        <v>435</v>
      </c>
      <c r="E68" s="416"/>
      <c r="F68" s="274" t="s">
        <v>562</v>
      </c>
      <c r="G68" s="735" t="s">
        <v>14</v>
      </c>
      <c r="H68" s="736" t="s">
        <v>14</v>
      </c>
      <c r="I68" s="735" t="s">
        <v>14</v>
      </c>
      <c r="J68" s="736" t="s">
        <v>14</v>
      </c>
      <c r="K68" s="735" t="s">
        <v>14</v>
      </c>
      <c r="L68" s="736" t="s">
        <v>14</v>
      </c>
      <c r="M68" s="378"/>
      <c r="N68" s="378"/>
      <c r="O68" s="378"/>
      <c r="P68" s="378"/>
      <c r="Q68" s="378"/>
      <c r="R68" s="378"/>
    </row>
    <row r="69" spans="1:24" s="364" customFormat="1" x14ac:dyDescent="0.3">
      <c r="A69" s="378"/>
      <c r="B69" s="135" t="s">
        <v>566</v>
      </c>
      <c r="C69" s="378" t="s">
        <v>587</v>
      </c>
      <c r="D69" s="378" t="s">
        <v>435</v>
      </c>
      <c r="E69" s="416"/>
      <c r="F69" s="274" t="s">
        <v>562</v>
      </c>
      <c r="G69" s="735" t="s">
        <v>14</v>
      </c>
      <c r="H69" s="736" t="s">
        <v>14</v>
      </c>
      <c r="I69" s="735" t="s">
        <v>14</v>
      </c>
      <c r="J69" s="736" t="s">
        <v>14</v>
      </c>
      <c r="K69" s="735" t="s">
        <v>14</v>
      </c>
      <c r="L69" s="736" t="s">
        <v>14</v>
      </c>
      <c r="M69" s="378"/>
      <c r="N69" s="378"/>
      <c r="O69" s="378"/>
      <c r="P69" s="378"/>
      <c r="Q69" s="378"/>
      <c r="R69" s="378"/>
    </row>
    <row r="70" spans="1:24" s="364" customFormat="1" x14ac:dyDescent="0.3">
      <c r="A70" s="378"/>
      <c r="B70" s="135" t="s">
        <v>795</v>
      </c>
      <c r="C70" s="378" t="s">
        <v>587</v>
      </c>
      <c r="D70" s="378" t="s">
        <v>435</v>
      </c>
      <c r="E70" s="416"/>
      <c r="F70" s="197" t="s">
        <v>562</v>
      </c>
      <c r="G70" s="735" t="s">
        <v>14</v>
      </c>
      <c r="H70" s="736" t="s">
        <v>14</v>
      </c>
      <c r="I70" s="735" t="s">
        <v>14</v>
      </c>
      <c r="J70" s="736" t="s">
        <v>14</v>
      </c>
      <c r="K70" s="735" t="s">
        <v>14</v>
      </c>
      <c r="L70" s="736" t="s">
        <v>14</v>
      </c>
      <c r="M70" s="378"/>
      <c r="N70" s="378"/>
      <c r="O70" s="378"/>
      <c r="P70" s="378"/>
      <c r="Q70" s="378"/>
      <c r="R70" s="378"/>
    </row>
    <row r="71" spans="1:24" s="364" customFormat="1" ht="27.6" x14ac:dyDescent="0.3">
      <c r="A71" s="378"/>
      <c r="B71" s="135" t="s">
        <v>809</v>
      </c>
      <c r="C71" s="371" t="s">
        <v>812</v>
      </c>
      <c r="D71" s="378" t="s">
        <v>435</v>
      </c>
      <c r="E71" s="416"/>
      <c r="F71" s="197" t="s">
        <v>562</v>
      </c>
      <c r="G71" s="735" t="s">
        <v>14</v>
      </c>
      <c r="H71" s="736" t="s">
        <v>14</v>
      </c>
      <c r="I71" s="735" t="s">
        <v>14</v>
      </c>
      <c r="J71" s="736" t="s">
        <v>14</v>
      </c>
      <c r="K71" s="735" t="s">
        <v>14</v>
      </c>
      <c r="L71" s="736" t="s">
        <v>14</v>
      </c>
      <c r="M71" s="378"/>
      <c r="N71" s="378"/>
      <c r="O71" s="378"/>
      <c r="P71" s="378"/>
      <c r="Q71" s="378"/>
      <c r="R71" s="378"/>
    </row>
    <row r="72" spans="1:24" s="364" customFormat="1" x14ac:dyDescent="0.3">
      <c r="A72" s="378"/>
      <c r="B72" s="284" t="s">
        <v>1188</v>
      </c>
      <c r="C72" s="160" t="s">
        <v>1196</v>
      </c>
      <c r="D72" s="476" t="s">
        <v>435</v>
      </c>
      <c r="E72" s="417"/>
      <c r="F72" s="193" t="s">
        <v>815</v>
      </c>
      <c r="G72" s="633"/>
      <c r="H72" s="579">
        <f>0.0051427*(78)+0.3989</f>
        <v>0.80003059999999993</v>
      </c>
      <c r="I72" s="737" t="s">
        <v>14</v>
      </c>
      <c r="J72" s="738" t="s">
        <v>14</v>
      </c>
      <c r="K72" s="426"/>
      <c r="L72" s="166" t="s">
        <v>284</v>
      </c>
      <c r="M72" s="378"/>
      <c r="N72" s="378"/>
      <c r="O72" s="378"/>
      <c r="P72" s="378"/>
      <c r="Q72" s="378"/>
      <c r="R72" s="378"/>
    </row>
    <row r="73" spans="1:24" s="621" customFormat="1" ht="14.4" x14ac:dyDescent="0.3">
      <c r="A73" s="403"/>
      <c r="B73" s="634"/>
      <c r="C73" s="634"/>
      <c r="E73" s="627"/>
      <c r="G73" s="627"/>
      <c r="I73" s="627"/>
      <c r="K73" s="627"/>
      <c r="M73" s="403"/>
      <c r="N73" s="403"/>
      <c r="O73" s="403"/>
      <c r="P73" s="403"/>
      <c r="Q73" s="403"/>
      <c r="R73" s="403"/>
      <c r="S73" s="403"/>
      <c r="T73" s="403"/>
    </row>
    <row r="74" spans="1:24" s="621" customFormat="1" ht="14.4" x14ac:dyDescent="0.3">
      <c r="A74" s="403"/>
      <c r="B74" s="67"/>
      <c r="C74" s="18"/>
      <c r="D74" s="403"/>
      <c r="E74" s="67"/>
      <c r="F74" s="403"/>
      <c r="G74" s="67"/>
      <c r="H74" s="403"/>
      <c r="I74" s="67"/>
      <c r="J74" s="403"/>
      <c r="K74" s="67"/>
      <c r="L74" s="403"/>
      <c r="M74" s="67"/>
      <c r="N74" s="403"/>
      <c r="O74" s="67"/>
      <c r="P74" s="403"/>
      <c r="Q74" s="67"/>
      <c r="R74" s="403"/>
      <c r="S74" s="67"/>
      <c r="T74" s="403"/>
    </row>
    <row r="75" spans="1:24" s="363" customFormat="1" ht="27.6" x14ac:dyDescent="0.3">
      <c r="A75" s="378"/>
      <c r="B75" s="125" t="s">
        <v>500</v>
      </c>
      <c r="C75" s="113" t="s">
        <v>506</v>
      </c>
      <c r="D75" s="113" t="s">
        <v>433</v>
      </c>
      <c r="E75" s="619"/>
      <c r="F75" s="110" t="s">
        <v>184</v>
      </c>
      <c r="G75" s="113"/>
      <c r="H75" s="168" t="s">
        <v>277</v>
      </c>
      <c r="I75" s="125"/>
      <c r="J75" s="110" t="s">
        <v>511</v>
      </c>
      <c r="K75" s="125"/>
      <c r="L75" s="110" t="s">
        <v>183</v>
      </c>
      <c r="M75" s="168"/>
      <c r="N75" s="113" t="s">
        <v>205</v>
      </c>
      <c r="O75" s="189"/>
      <c r="P75" s="110" t="s">
        <v>507</v>
      </c>
      <c r="Q75" s="168"/>
      <c r="R75" s="168" t="s">
        <v>206</v>
      </c>
      <c r="S75" s="189"/>
      <c r="T75" s="110" t="s">
        <v>182</v>
      </c>
    </row>
    <row r="76" spans="1:24" s="635" customFormat="1" ht="15" thickBot="1" x14ac:dyDescent="0.35">
      <c r="A76" s="82"/>
      <c r="B76" s="173" t="s">
        <v>268</v>
      </c>
      <c r="C76" s="171" t="s">
        <v>269</v>
      </c>
      <c r="D76" s="171"/>
      <c r="E76" s="631"/>
      <c r="F76" s="174" t="s">
        <v>270</v>
      </c>
      <c r="G76" s="632"/>
      <c r="H76" s="171" t="s">
        <v>271</v>
      </c>
      <c r="I76" s="631"/>
      <c r="J76" s="174"/>
      <c r="K76" s="631"/>
      <c r="L76" s="174" t="s">
        <v>272</v>
      </c>
      <c r="M76" s="632"/>
      <c r="N76" s="171" t="s">
        <v>273</v>
      </c>
      <c r="O76" s="631"/>
      <c r="P76" s="174" t="s">
        <v>274</v>
      </c>
      <c r="Q76" s="632"/>
      <c r="R76" s="171" t="s">
        <v>275</v>
      </c>
      <c r="S76" s="631"/>
      <c r="T76" s="174" t="s">
        <v>276</v>
      </c>
    </row>
    <row r="77" spans="1:24" s="364" customFormat="1" ht="15" thickTop="1" x14ac:dyDescent="0.3">
      <c r="A77" s="378"/>
      <c r="B77" s="135" t="s">
        <v>797</v>
      </c>
      <c r="C77" s="378" t="s">
        <v>563</v>
      </c>
      <c r="D77" s="378" t="s">
        <v>435</v>
      </c>
      <c r="E77" s="416"/>
      <c r="F77" s="378" t="s">
        <v>482</v>
      </c>
      <c r="G77" s="416"/>
      <c r="H77" s="378" t="s">
        <v>279</v>
      </c>
      <c r="I77" s="490" t="s">
        <v>919</v>
      </c>
      <c r="J77" s="496">
        <v>14146.3</v>
      </c>
      <c r="K77" s="491" t="s">
        <v>919</v>
      </c>
      <c r="L77" s="443">
        <f>J77*P77*(0.1175/745.6)/N77</f>
        <v>14.382789786099956</v>
      </c>
      <c r="M77" s="419"/>
      <c r="N77" s="435">
        <v>0.62</v>
      </c>
      <c r="O77" s="416"/>
      <c r="P77" s="435">
        <v>4</v>
      </c>
      <c r="Q77" s="419"/>
      <c r="R77" s="445">
        <v>15</v>
      </c>
      <c r="S77" s="419"/>
      <c r="T77" s="636">
        <v>0.92400000000000004</v>
      </c>
      <c r="V77" s="363"/>
      <c r="X77" s="528"/>
    </row>
    <row r="78" spans="1:24" s="364" customFormat="1" ht="14.4" x14ac:dyDescent="0.3">
      <c r="A78" s="378"/>
      <c r="B78" s="135" t="s">
        <v>798</v>
      </c>
      <c r="C78" s="378" t="s">
        <v>577</v>
      </c>
      <c r="D78" s="378" t="s">
        <v>435</v>
      </c>
      <c r="E78" s="416"/>
      <c r="F78" s="378" t="s">
        <v>482</v>
      </c>
      <c r="G78" s="416"/>
      <c r="H78" s="378" t="s">
        <v>279</v>
      </c>
      <c r="I78" s="491" t="s">
        <v>919</v>
      </c>
      <c r="J78" s="496">
        <v>1646.78</v>
      </c>
      <c r="K78" s="491" t="s">
        <v>919</v>
      </c>
      <c r="L78" s="443">
        <f>J78*P78*(0.1175/745.6)/N78</f>
        <v>1.5571082349785406</v>
      </c>
      <c r="M78" s="419"/>
      <c r="N78" s="1">
        <v>0.5</v>
      </c>
      <c r="O78" s="419"/>
      <c r="P78" s="1">
        <v>3</v>
      </c>
      <c r="Q78" s="419"/>
      <c r="R78" s="541">
        <v>2</v>
      </c>
      <c r="S78" s="419"/>
      <c r="T78" s="445">
        <v>0.86499999999999999</v>
      </c>
      <c r="V78" s="363"/>
      <c r="X78" s="528"/>
    </row>
    <row r="79" spans="1:24" s="364" customFormat="1" ht="14.4" x14ac:dyDescent="0.3">
      <c r="A79" s="378"/>
      <c r="B79" s="135" t="s">
        <v>799</v>
      </c>
      <c r="C79" s="378" t="s">
        <v>578</v>
      </c>
      <c r="D79" s="378" t="s">
        <v>435</v>
      </c>
      <c r="E79" s="416"/>
      <c r="F79" s="378" t="s">
        <v>482</v>
      </c>
      <c r="G79" s="416"/>
      <c r="H79" s="378" t="s">
        <v>279</v>
      </c>
      <c r="I79" s="491" t="s">
        <v>919</v>
      </c>
      <c r="J79" s="496">
        <v>1674.51</v>
      </c>
      <c r="K79" s="491" t="s">
        <v>919</v>
      </c>
      <c r="L79" s="443">
        <f>J79*P79*(0.1175/745.6)/N79</f>
        <v>1.5833282591201714</v>
      </c>
      <c r="M79" s="419"/>
      <c r="N79" s="1">
        <v>0.5</v>
      </c>
      <c r="O79" s="419"/>
      <c r="P79" s="1">
        <v>3</v>
      </c>
      <c r="Q79" s="419"/>
      <c r="R79" s="541">
        <v>2</v>
      </c>
      <c r="S79" s="419"/>
      <c r="T79" s="445">
        <v>0.86499999999999999</v>
      </c>
      <c r="V79" s="363"/>
      <c r="X79" s="528"/>
    </row>
    <row r="80" spans="1:24" s="364" customFormat="1" ht="14.4" x14ac:dyDescent="0.3">
      <c r="A80" s="378"/>
      <c r="B80" s="135" t="s">
        <v>800</v>
      </c>
      <c r="C80" s="378" t="s">
        <v>816</v>
      </c>
      <c r="D80" s="378" t="s">
        <v>435</v>
      </c>
      <c r="E80" s="416"/>
      <c r="F80" s="378" t="s">
        <v>482</v>
      </c>
      <c r="G80" s="416"/>
      <c r="H80" s="378" t="s">
        <v>279</v>
      </c>
      <c r="I80" s="491" t="s">
        <v>919</v>
      </c>
      <c r="J80" s="496">
        <v>1721.44</v>
      </c>
      <c r="K80" s="491" t="s">
        <v>919</v>
      </c>
      <c r="L80" s="443">
        <f>J80*P80*(0.1175/745.6)/N80</f>
        <v>1.6277027896995706</v>
      </c>
      <c r="M80" s="419"/>
      <c r="N80" s="1">
        <v>0.5</v>
      </c>
      <c r="O80" s="419"/>
      <c r="P80" s="1">
        <v>3</v>
      </c>
      <c r="Q80" s="419"/>
      <c r="R80" s="541">
        <v>2</v>
      </c>
      <c r="S80" s="419"/>
      <c r="T80" s="445">
        <v>0.86499999999999999</v>
      </c>
      <c r="V80" s="363"/>
      <c r="X80" s="528"/>
    </row>
    <row r="81" spans="1:24" s="364" customFormat="1" ht="14.4" x14ac:dyDescent="0.3">
      <c r="A81" s="378"/>
      <c r="B81" s="135" t="s">
        <v>872</v>
      </c>
      <c r="C81" s="378" t="s">
        <v>837</v>
      </c>
      <c r="D81" s="378" t="s">
        <v>435</v>
      </c>
      <c r="E81" s="416"/>
      <c r="F81" s="378" t="s">
        <v>485</v>
      </c>
      <c r="G81" s="416"/>
      <c r="H81" s="378" t="s">
        <v>279</v>
      </c>
      <c r="I81" s="491" t="s">
        <v>919</v>
      </c>
      <c r="J81" s="496">
        <v>351.02600000000001</v>
      </c>
      <c r="K81" s="491" t="s">
        <v>919</v>
      </c>
      <c r="L81" s="505">
        <v>0.14088600000000001</v>
      </c>
      <c r="M81" s="419"/>
      <c r="N81" s="1">
        <v>0.5</v>
      </c>
      <c r="O81" s="419"/>
      <c r="P81" s="459">
        <f>L81*N81/J81/(0.1175/745.6)</f>
        <v>1.2734051172302083</v>
      </c>
      <c r="Q81" s="419"/>
      <c r="R81" s="541">
        <v>0.25</v>
      </c>
      <c r="S81" s="419"/>
      <c r="T81" s="445">
        <v>0.85499999999999998</v>
      </c>
      <c r="V81" s="637"/>
      <c r="X81" s="528"/>
    </row>
    <row r="82" spans="1:24" s="364" customFormat="1" ht="14.4" x14ac:dyDescent="0.3">
      <c r="A82" s="378"/>
      <c r="B82" s="135" t="s">
        <v>872</v>
      </c>
      <c r="C82" s="378" t="s">
        <v>838</v>
      </c>
      <c r="D82" s="378" t="s">
        <v>435</v>
      </c>
      <c r="E82" s="416"/>
      <c r="F82" s="378" t="s">
        <v>485</v>
      </c>
      <c r="G82" s="416"/>
      <c r="H82" s="378" t="s">
        <v>279</v>
      </c>
      <c r="I82" s="491" t="s">
        <v>919</v>
      </c>
      <c r="J82" s="496">
        <v>351.02600000000001</v>
      </c>
      <c r="K82" s="491" t="s">
        <v>919</v>
      </c>
      <c r="L82" s="505">
        <v>0.14088600000000001</v>
      </c>
      <c r="M82" s="419"/>
      <c r="N82" s="1">
        <v>0.5</v>
      </c>
      <c r="O82" s="419"/>
      <c r="P82" s="459">
        <f t="shared" ref="P82:P126" si="0">L82*N82/J82/(0.1175/745.6)</f>
        <v>1.2734051172302083</v>
      </c>
      <c r="Q82" s="419"/>
      <c r="R82" s="541">
        <v>0.25</v>
      </c>
      <c r="S82" s="419"/>
      <c r="T82" s="445">
        <v>0.85499999999999998</v>
      </c>
      <c r="V82" s="363"/>
      <c r="X82" s="528"/>
    </row>
    <row r="83" spans="1:24" s="364" customFormat="1" ht="14.4" x14ac:dyDescent="0.3">
      <c r="A83" s="378"/>
      <c r="B83" s="135" t="s">
        <v>872</v>
      </c>
      <c r="C83" s="378" t="s">
        <v>839</v>
      </c>
      <c r="D83" s="378" t="s">
        <v>435</v>
      </c>
      <c r="E83" s="416"/>
      <c r="F83" s="378" t="s">
        <v>485</v>
      </c>
      <c r="G83" s="416"/>
      <c r="H83" s="378" t="s">
        <v>279</v>
      </c>
      <c r="I83" s="491" t="s">
        <v>919</v>
      </c>
      <c r="J83" s="496">
        <v>351.02600000000001</v>
      </c>
      <c r="K83" s="491" t="s">
        <v>919</v>
      </c>
      <c r="L83" s="505">
        <v>0.14088600000000001</v>
      </c>
      <c r="M83" s="419"/>
      <c r="N83" s="1">
        <v>0.5</v>
      </c>
      <c r="O83" s="419"/>
      <c r="P83" s="459">
        <f t="shared" si="0"/>
        <v>1.2734051172302083</v>
      </c>
      <c r="Q83" s="419"/>
      <c r="R83" s="541">
        <v>0.25</v>
      </c>
      <c r="S83" s="419"/>
      <c r="T83" s="445">
        <v>0.85499999999999998</v>
      </c>
      <c r="V83" s="363"/>
      <c r="X83" s="528"/>
    </row>
    <row r="84" spans="1:24" s="364" customFormat="1" ht="14.4" x14ac:dyDescent="0.3">
      <c r="A84" s="378"/>
      <c r="B84" s="135" t="s">
        <v>872</v>
      </c>
      <c r="C84" s="378" t="s">
        <v>840</v>
      </c>
      <c r="D84" s="378" t="s">
        <v>435</v>
      </c>
      <c r="E84" s="416"/>
      <c r="F84" s="378" t="s">
        <v>485</v>
      </c>
      <c r="G84" s="416"/>
      <c r="H84" s="378" t="s">
        <v>279</v>
      </c>
      <c r="I84" s="491" t="s">
        <v>919</v>
      </c>
      <c r="J84" s="496">
        <v>351</v>
      </c>
      <c r="K84" s="491" t="s">
        <v>919</v>
      </c>
      <c r="L84" s="505">
        <v>0.140875</v>
      </c>
      <c r="M84" s="419"/>
      <c r="N84" s="1">
        <v>0.5</v>
      </c>
      <c r="O84" s="419"/>
      <c r="P84" s="459">
        <f t="shared" si="0"/>
        <v>1.2734000121234166</v>
      </c>
      <c r="Q84" s="419"/>
      <c r="R84" s="541">
        <v>0.25</v>
      </c>
      <c r="S84" s="419"/>
      <c r="T84" s="445">
        <v>0.85499999999999998</v>
      </c>
      <c r="V84" s="363"/>
      <c r="X84" s="528"/>
    </row>
    <row r="85" spans="1:24" s="364" customFormat="1" ht="14.4" x14ac:dyDescent="0.3">
      <c r="A85" s="378"/>
      <c r="B85" s="135" t="s">
        <v>872</v>
      </c>
      <c r="C85" s="378" t="s">
        <v>841</v>
      </c>
      <c r="D85" s="378" t="s">
        <v>435</v>
      </c>
      <c r="E85" s="416"/>
      <c r="F85" s="378" t="s">
        <v>485</v>
      </c>
      <c r="G85" s="416"/>
      <c r="H85" s="378" t="s">
        <v>279</v>
      </c>
      <c r="I85" s="491" t="s">
        <v>919</v>
      </c>
      <c r="J85" s="496">
        <v>351</v>
      </c>
      <c r="K85" s="491" t="s">
        <v>919</v>
      </c>
      <c r="L85" s="505">
        <v>0.140876</v>
      </c>
      <c r="M85" s="419"/>
      <c r="N85" s="1">
        <v>0.5</v>
      </c>
      <c r="O85" s="419"/>
      <c r="P85" s="459">
        <f t="shared" si="0"/>
        <v>1.2734090513426686</v>
      </c>
      <c r="Q85" s="419"/>
      <c r="R85" s="541">
        <v>0.25</v>
      </c>
      <c r="S85" s="419"/>
      <c r="T85" s="445">
        <v>0.85499999999999998</v>
      </c>
      <c r="V85" s="363"/>
      <c r="X85" s="528"/>
    </row>
    <row r="86" spans="1:24" s="364" customFormat="1" ht="14.4" x14ac:dyDescent="0.3">
      <c r="A86" s="378"/>
      <c r="B86" s="135" t="s">
        <v>873</v>
      </c>
      <c r="C86" s="378" t="s">
        <v>842</v>
      </c>
      <c r="D86" s="378" t="s">
        <v>435</v>
      </c>
      <c r="E86" s="416"/>
      <c r="F86" s="378" t="s">
        <v>485</v>
      </c>
      <c r="G86" s="416"/>
      <c r="H86" s="378" t="s">
        <v>279</v>
      </c>
      <c r="I86" s="491" t="s">
        <v>919</v>
      </c>
      <c r="J86" s="496">
        <v>351.02699999999999</v>
      </c>
      <c r="K86" s="491" t="s">
        <v>919</v>
      </c>
      <c r="L86" s="505">
        <v>0.14088600000000001</v>
      </c>
      <c r="M86" s="419"/>
      <c r="N86" s="1">
        <v>0.5</v>
      </c>
      <c r="O86" s="419"/>
      <c r="P86" s="459">
        <f t="shared" si="0"/>
        <v>1.2734014895744521</v>
      </c>
      <c r="Q86" s="419"/>
      <c r="R86" s="541">
        <v>0.25</v>
      </c>
      <c r="S86" s="419"/>
      <c r="T86" s="445">
        <v>0.85499999999999998</v>
      </c>
      <c r="V86" s="363"/>
      <c r="X86" s="528"/>
    </row>
    <row r="87" spans="1:24" s="364" customFormat="1" ht="14.4" x14ac:dyDescent="0.3">
      <c r="A87" s="378"/>
      <c r="B87" s="135" t="s">
        <v>873</v>
      </c>
      <c r="C87" s="378" t="s">
        <v>843</v>
      </c>
      <c r="D87" s="378" t="s">
        <v>435</v>
      </c>
      <c r="E87" s="416"/>
      <c r="F87" s="378" t="s">
        <v>485</v>
      </c>
      <c r="G87" s="416"/>
      <c r="H87" s="378" t="s">
        <v>279</v>
      </c>
      <c r="I87" s="491" t="s">
        <v>919</v>
      </c>
      <c r="J87" s="496">
        <v>351.02600000000001</v>
      </c>
      <c r="K87" s="491" t="s">
        <v>919</v>
      </c>
      <c r="L87" s="505">
        <v>0.14088600000000001</v>
      </c>
      <c r="M87" s="419"/>
      <c r="N87" s="1">
        <v>0.5</v>
      </c>
      <c r="O87" s="419"/>
      <c r="P87" s="459">
        <f t="shared" si="0"/>
        <v>1.2734051172302083</v>
      </c>
      <c r="Q87" s="419"/>
      <c r="R87" s="541">
        <v>0.25</v>
      </c>
      <c r="S87" s="419"/>
      <c r="T87" s="445">
        <v>0.85499999999999998</v>
      </c>
      <c r="V87" s="363"/>
      <c r="X87" s="528"/>
    </row>
    <row r="88" spans="1:24" s="364" customFormat="1" ht="14.4" x14ac:dyDescent="0.3">
      <c r="A88" s="378"/>
      <c r="B88" s="135" t="s">
        <v>873</v>
      </c>
      <c r="C88" s="378" t="s">
        <v>844</v>
      </c>
      <c r="D88" s="378" t="s">
        <v>435</v>
      </c>
      <c r="E88" s="416"/>
      <c r="F88" s="378" t="s">
        <v>485</v>
      </c>
      <c r="G88" s="416"/>
      <c r="H88" s="378" t="s">
        <v>279</v>
      </c>
      <c r="I88" s="491" t="s">
        <v>919</v>
      </c>
      <c r="J88" s="496">
        <v>378.03</v>
      </c>
      <c r="K88" s="491" t="s">
        <v>919</v>
      </c>
      <c r="L88" s="505">
        <v>0.151724</v>
      </c>
      <c r="M88" s="419"/>
      <c r="N88" s="1">
        <v>0.5</v>
      </c>
      <c r="O88" s="419"/>
      <c r="P88" s="459">
        <f t="shared" si="0"/>
        <v>1.2734035450299175</v>
      </c>
      <c r="Q88" s="419"/>
      <c r="R88" s="541">
        <v>0.25</v>
      </c>
      <c r="S88" s="419"/>
      <c r="T88" s="445">
        <v>0.85499999999999998</v>
      </c>
      <c r="V88" s="363"/>
      <c r="X88" s="528"/>
    </row>
    <row r="89" spans="1:24" s="364" customFormat="1" ht="14.4" x14ac:dyDescent="0.3">
      <c r="A89" s="378"/>
      <c r="B89" s="135" t="s">
        <v>873</v>
      </c>
      <c r="C89" s="378" t="s">
        <v>845</v>
      </c>
      <c r="D89" s="378" t="s">
        <v>435</v>
      </c>
      <c r="E89" s="416"/>
      <c r="F89" s="378" t="s">
        <v>485</v>
      </c>
      <c r="G89" s="416"/>
      <c r="H89" s="378" t="s">
        <v>279</v>
      </c>
      <c r="I89" s="491" t="s">
        <v>919</v>
      </c>
      <c r="J89" s="496">
        <v>351.02600000000001</v>
      </c>
      <c r="K89" s="491" t="s">
        <v>919</v>
      </c>
      <c r="L89" s="505">
        <v>0.14088600000000001</v>
      </c>
      <c r="M89" s="419"/>
      <c r="N89" s="1">
        <v>0.5</v>
      </c>
      <c r="O89" s="419"/>
      <c r="P89" s="459">
        <f t="shared" si="0"/>
        <v>1.2734051172302083</v>
      </c>
      <c r="Q89" s="419"/>
      <c r="R89" s="541">
        <v>0.25</v>
      </c>
      <c r="S89" s="419"/>
      <c r="T89" s="445">
        <v>0.85499999999999998</v>
      </c>
      <c r="V89" s="363"/>
      <c r="X89" s="528"/>
    </row>
    <row r="90" spans="1:24" s="364" customFormat="1" ht="14.4" x14ac:dyDescent="0.3">
      <c r="A90" s="378"/>
      <c r="B90" s="135" t="s">
        <v>873</v>
      </c>
      <c r="C90" s="378" t="s">
        <v>846</v>
      </c>
      <c r="D90" s="378" t="s">
        <v>435</v>
      </c>
      <c r="E90" s="416"/>
      <c r="F90" s="378" t="s">
        <v>485</v>
      </c>
      <c r="G90" s="416"/>
      <c r="H90" s="378" t="s">
        <v>279</v>
      </c>
      <c r="I90" s="491" t="s">
        <v>919</v>
      </c>
      <c r="J90" s="496">
        <v>351.02600000000001</v>
      </c>
      <c r="K90" s="491" t="s">
        <v>919</v>
      </c>
      <c r="L90" s="505">
        <v>0.14088600000000001</v>
      </c>
      <c r="M90" s="419"/>
      <c r="N90" s="1">
        <v>0.5</v>
      </c>
      <c r="O90" s="419"/>
      <c r="P90" s="459">
        <f t="shared" si="0"/>
        <v>1.2734051172302083</v>
      </c>
      <c r="Q90" s="419"/>
      <c r="R90" s="541">
        <v>0.25</v>
      </c>
      <c r="S90" s="419"/>
      <c r="T90" s="445">
        <v>0.85499999999999998</v>
      </c>
      <c r="V90" s="363"/>
      <c r="X90" s="528"/>
    </row>
    <row r="91" spans="1:24" s="364" customFormat="1" ht="14.4" x14ac:dyDescent="0.3">
      <c r="A91" s="378"/>
      <c r="B91" s="135" t="s">
        <v>873</v>
      </c>
      <c r="C91" s="378" t="s">
        <v>847</v>
      </c>
      <c r="D91" s="378" t="s">
        <v>435</v>
      </c>
      <c r="E91" s="416"/>
      <c r="F91" s="378" t="s">
        <v>485</v>
      </c>
      <c r="G91" s="416"/>
      <c r="H91" s="378" t="s">
        <v>279</v>
      </c>
      <c r="I91" s="491" t="s">
        <v>919</v>
      </c>
      <c r="J91" s="496">
        <v>351</v>
      </c>
      <c r="K91" s="491" t="s">
        <v>919</v>
      </c>
      <c r="L91" s="505">
        <v>0.140875</v>
      </c>
      <c r="M91" s="419"/>
      <c r="N91" s="1">
        <v>0.5</v>
      </c>
      <c r="O91" s="419"/>
      <c r="P91" s="459">
        <f t="shared" si="0"/>
        <v>1.2734000121234166</v>
      </c>
      <c r="Q91" s="419"/>
      <c r="R91" s="541">
        <v>0.25</v>
      </c>
      <c r="S91" s="419"/>
      <c r="T91" s="445">
        <v>0.85499999999999998</v>
      </c>
      <c r="V91" s="363"/>
      <c r="X91" s="528"/>
    </row>
    <row r="92" spans="1:24" s="364" customFormat="1" ht="14.4" x14ac:dyDescent="0.3">
      <c r="A92" s="378"/>
      <c r="B92" s="135" t="s">
        <v>873</v>
      </c>
      <c r="C92" s="378" t="s">
        <v>848</v>
      </c>
      <c r="D92" s="378" t="s">
        <v>435</v>
      </c>
      <c r="E92" s="416"/>
      <c r="F92" s="378" t="s">
        <v>485</v>
      </c>
      <c r="G92" s="416"/>
      <c r="H92" s="378" t="s">
        <v>279</v>
      </c>
      <c r="I92" s="491" t="s">
        <v>919</v>
      </c>
      <c r="J92" s="496">
        <v>351</v>
      </c>
      <c r="K92" s="491" t="s">
        <v>919</v>
      </c>
      <c r="L92" s="505">
        <v>0.140876</v>
      </c>
      <c r="M92" s="419"/>
      <c r="N92" s="1">
        <v>0.5</v>
      </c>
      <c r="O92" s="419"/>
      <c r="P92" s="459">
        <f t="shared" si="0"/>
        <v>1.2734090513426686</v>
      </c>
      <c r="Q92" s="419"/>
      <c r="R92" s="541">
        <v>0.25</v>
      </c>
      <c r="S92" s="419"/>
      <c r="T92" s="445">
        <v>0.85499999999999998</v>
      </c>
      <c r="V92" s="363"/>
      <c r="X92" s="528"/>
    </row>
    <row r="93" spans="1:24" s="364" customFormat="1" ht="14.4" x14ac:dyDescent="0.3">
      <c r="A93" s="378"/>
      <c r="B93" s="135" t="s">
        <v>873</v>
      </c>
      <c r="C93" s="378" t="s">
        <v>849</v>
      </c>
      <c r="D93" s="378" t="s">
        <v>435</v>
      </c>
      <c r="E93" s="416"/>
      <c r="F93" s="378" t="s">
        <v>485</v>
      </c>
      <c r="G93" s="416"/>
      <c r="H93" s="378" t="s">
        <v>279</v>
      </c>
      <c r="I93" s="491" t="s">
        <v>919</v>
      </c>
      <c r="J93" s="496">
        <v>351.00599999999997</v>
      </c>
      <c r="K93" s="491" t="s">
        <v>919</v>
      </c>
      <c r="L93" s="505">
        <v>0.140878</v>
      </c>
      <c r="M93" s="419"/>
      <c r="N93" s="1">
        <v>0.5</v>
      </c>
      <c r="O93" s="419"/>
      <c r="P93" s="459">
        <f t="shared" si="0"/>
        <v>1.273405362168144</v>
      </c>
      <c r="Q93" s="419"/>
      <c r="R93" s="541">
        <v>0.25</v>
      </c>
      <c r="S93" s="419"/>
      <c r="T93" s="445">
        <v>0.85499999999999998</v>
      </c>
      <c r="V93" s="363"/>
      <c r="X93" s="528"/>
    </row>
    <row r="94" spans="1:24" s="364" customFormat="1" ht="14.4" x14ac:dyDescent="0.3">
      <c r="A94" s="378"/>
      <c r="B94" s="135" t="s">
        <v>873</v>
      </c>
      <c r="C94" s="378" t="s">
        <v>850</v>
      </c>
      <c r="D94" s="378" t="s">
        <v>435</v>
      </c>
      <c r="E94" s="416"/>
      <c r="F94" s="378" t="s">
        <v>485</v>
      </c>
      <c r="G94" s="416"/>
      <c r="H94" s="378" t="s">
        <v>279</v>
      </c>
      <c r="I94" s="491" t="s">
        <v>919</v>
      </c>
      <c r="J94" s="496">
        <v>351</v>
      </c>
      <c r="K94" s="491" t="s">
        <v>919</v>
      </c>
      <c r="L94" s="505">
        <v>0.140875</v>
      </c>
      <c r="M94" s="419"/>
      <c r="N94" s="1">
        <v>0.5</v>
      </c>
      <c r="O94" s="419"/>
      <c r="P94" s="459">
        <f t="shared" si="0"/>
        <v>1.2734000121234166</v>
      </c>
      <c r="Q94" s="419"/>
      <c r="R94" s="541">
        <v>0.25</v>
      </c>
      <c r="S94" s="419"/>
      <c r="T94" s="445">
        <v>0.85499999999999998</v>
      </c>
      <c r="V94" s="363"/>
      <c r="X94" s="528"/>
    </row>
    <row r="95" spans="1:24" s="364" customFormat="1" ht="14.4" x14ac:dyDescent="0.3">
      <c r="A95" s="378"/>
      <c r="B95" s="135" t="s">
        <v>873</v>
      </c>
      <c r="C95" s="378" t="s">
        <v>851</v>
      </c>
      <c r="D95" s="378" t="s">
        <v>435</v>
      </c>
      <c r="E95" s="416"/>
      <c r="F95" s="378" t="s">
        <v>485</v>
      </c>
      <c r="G95" s="416"/>
      <c r="H95" s="378" t="s">
        <v>279</v>
      </c>
      <c r="I95" s="491" t="s">
        <v>919</v>
      </c>
      <c r="J95" s="496">
        <v>351</v>
      </c>
      <c r="K95" s="491" t="s">
        <v>919</v>
      </c>
      <c r="L95" s="505">
        <v>0.140875</v>
      </c>
      <c r="M95" s="419"/>
      <c r="N95" s="1">
        <v>0.5</v>
      </c>
      <c r="O95" s="419"/>
      <c r="P95" s="459">
        <f t="shared" si="0"/>
        <v>1.2734000121234166</v>
      </c>
      <c r="Q95" s="419"/>
      <c r="R95" s="541">
        <v>0.25</v>
      </c>
      <c r="S95" s="419"/>
      <c r="T95" s="445">
        <v>0.85499999999999998</v>
      </c>
      <c r="V95" s="363"/>
      <c r="X95" s="528"/>
    </row>
    <row r="96" spans="1:24" s="364" customFormat="1" ht="14.4" x14ac:dyDescent="0.3">
      <c r="A96" s="378"/>
      <c r="B96" s="135" t="s">
        <v>874</v>
      </c>
      <c r="C96" s="378" t="s">
        <v>852</v>
      </c>
      <c r="D96" s="378" t="s">
        <v>435</v>
      </c>
      <c r="E96" s="416"/>
      <c r="F96" s="378" t="s">
        <v>485</v>
      </c>
      <c r="G96" s="416"/>
      <c r="H96" s="378" t="s">
        <v>279</v>
      </c>
      <c r="I96" s="491" t="s">
        <v>919</v>
      </c>
      <c r="J96" s="496">
        <v>351.02699999999999</v>
      </c>
      <c r="K96" s="491" t="s">
        <v>919</v>
      </c>
      <c r="L96" s="505">
        <v>0.14088600000000001</v>
      </c>
      <c r="M96" s="419"/>
      <c r="N96" s="1">
        <v>0.5</v>
      </c>
      <c r="O96" s="419"/>
      <c r="P96" s="459">
        <f t="shared" si="0"/>
        <v>1.2734014895744521</v>
      </c>
      <c r="Q96" s="419"/>
      <c r="R96" s="541">
        <v>0.25</v>
      </c>
      <c r="S96" s="419"/>
      <c r="T96" s="445">
        <v>0.85499999999999998</v>
      </c>
      <c r="V96" s="363"/>
      <c r="X96" s="528"/>
    </row>
    <row r="97" spans="1:24" s="364" customFormat="1" ht="14.4" x14ac:dyDescent="0.3">
      <c r="A97" s="378"/>
      <c r="B97" s="135" t="s">
        <v>874</v>
      </c>
      <c r="C97" s="378" t="s">
        <v>853</v>
      </c>
      <c r="D97" s="378" t="s">
        <v>435</v>
      </c>
      <c r="E97" s="416"/>
      <c r="F97" s="378" t="s">
        <v>485</v>
      </c>
      <c r="G97" s="416"/>
      <c r="H97" s="378" t="s">
        <v>279</v>
      </c>
      <c r="I97" s="491" t="s">
        <v>919</v>
      </c>
      <c r="J97" s="496">
        <v>351.02600000000001</v>
      </c>
      <c r="K97" s="491" t="s">
        <v>919</v>
      </c>
      <c r="L97" s="505">
        <v>0.14088600000000001</v>
      </c>
      <c r="M97" s="419"/>
      <c r="N97" s="1">
        <v>0.5</v>
      </c>
      <c r="O97" s="419"/>
      <c r="P97" s="459">
        <f t="shared" si="0"/>
        <v>1.2734051172302083</v>
      </c>
      <c r="Q97" s="419"/>
      <c r="R97" s="541">
        <v>0.25</v>
      </c>
      <c r="S97" s="419"/>
      <c r="T97" s="445">
        <v>0.85499999999999998</v>
      </c>
      <c r="V97" s="363"/>
      <c r="X97" s="528"/>
    </row>
    <row r="98" spans="1:24" s="364" customFormat="1" ht="14.4" x14ac:dyDescent="0.3">
      <c r="A98" s="378"/>
      <c r="B98" s="135" t="s">
        <v>874</v>
      </c>
      <c r="C98" s="378" t="s">
        <v>854</v>
      </c>
      <c r="D98" s="378" t="s">
        <v>435</v>
      </c>
      <c r="E98" s="416"/>
      <c r="F98" s="378" t="s">
        <v>485</v>
      </c>
      <c r="G98" s="416"/>
      <c r="H98" s="378" t="s">
        <v>279</v>
      </c>
      <c r="I98" s="491" t="s">
        <v>919</v>
      </c>
      <c r="J98" s="496">
        <v>378.03</v>
      </c>
      <c r="K98" s="491" t="s">
        <v>919</v>
      </c>
      <c r="L98" s="505">
        <v>0.151724</v>
      </c>
      <c r="M98" s="419"/>
      <c r="N98" s="1">
        <v>0.5</v>
      </c>
      <c r="O98" s="419"/>
      <c r="P98" s="459">
        <f t="shared" si="0"/>
        <v>1.2734035450299175</v>
      </c>
      <c r="Q98" s="419"/>
      <c r="R98" s="541">
        <v>0.25</v>
      </c>
      <c r="S98" s="419"/>
      <c r="T98" s="445">
        <v>0.85499999999999998</v>
      </c>
      <c r="V98" s="363"/>
      <c r="X98" s="528"/>
    </row>
    <row r="99" spans="1:24" s="364" customFormat="1" ht="14.4" x14ac:dyDescent="0.3">
      <c r="A99" s="378"/>
      <c r="B99" s="135" t="s">
        <v>874</v>
      </c>
      <c r="C99" s="378" t="s">
        <v>855</v>
      </c>
      <c r="D99" s="378" t="s">
        <v>435</v>
      </c>
      <c r="E99" s="416"/>
      <c r="F99" s="378" t="s">
        <v>485</v>
      </c>
      <c r="G99" s="416"/>
      <c r="H99" s="378" t="s">
        <v>279</v>
      </c>
      <c r="I99" s="491" t="s">
        <v>919</v>
      </c>
      <c r="J99" s="496">
        <v>351.02600000000001</v>
      </c>
      <c r="K99" s="491" t="s">
        <v>919</v>
      </c>
      <c r="L99" s="505">
        <v>0.14088600000000001</v>
      </c>
      <c r="M99" s="419"/>
      <c r="N99" s="1">
        <v>0.5</v>
      </c>
      <c r="O99" s="419"/>
      <c r="P99" s="459">
        <f t="shared" si="0"/>
        <v>1.2734051172302083</v>
      </c>
      <c r="Q99" s="419"/>
      <c r="R99" s="541">
        <v>0.25</v>
      </c>
      <c r="S99" s="419"/>
      <c r="T99" s="445">
        <v>0.85499999999999998</v>
      </c>
      <c r="V99" s="363"/>
      <c r="X99" s="528"/>
    </row>
    <row r="100" spans="1:24" s="364" customFormat="1" ht="14.4" x14ac:dyDescent="0.3">
      <c r="A100" s="378"/>
      <c r="B100" s="135" t="s">
        <v>874</v>
      </c>
      <c r="C100" s="378" t="s">
        <v>856</v>
      </c>
      <c r="D100" s="378" t="s">
        <v>435</v>
      </c>
      <c r="E100" s="416"/>
      <c r="F100" s="378" t="s">
        <v>485</v>
      </c>
      <c r="G100" s="416"/>
      <c r="H100" s="378" t="s">
        <v>279</v>
      </c>
      <c r="I100" s="491" t="s">
        <v>919</v>
      </c>
      <c r="J100" s="496">
        <v>351.02600000000001</v>
      </c>
      <c r="K100" s="491" t="s">
        <v>919</v>
      </c>
      <c r="L100" s="505">
        <v>0.14088600000000001</v>
      </c>
      <c r="M100" s="419"/>
      <c r="N100" s="1">
        <v>0.5</v>
      </c>
      <c r="O100" s="419"/>
      <c r="P100" s="459">
        <f t="shared" si="0"/>
        <v>1.2734051172302083</v>
      </c>
      <c r="Q100" s="419"/>
      <c r="R100" s="541">
        <v>0.25</v>
      </c>
      <c r="S100" s="419"/>
      <c r="T100" s="445">
        <v>0.85499999999999998</v>
      </c>
      <c r="V100" s="363"/>
      <c r="X100" s="528"/>
    </row>
    <row r="101" spans="1:24" s="364" customFormat="1" ht="14.4" x14ac:dyDescent="0.3">
      <c r="A101" s="378"/>
      <c r="B101" s="135" t="s">
        <v>874</v>
      </c>
      <c r="C101" s="378" t="s">
        <v>857</v>
      </c>
      <c r="D101" s="378" t="s">
        <v>435</v>
      </c>
      <c r="E101" s="416"/>
      <c r="F101" s="378" t="s">
        <v>485</v>
      </c>
      <c r="G101" s="416"/>
      <c r="H101" s="378" t="s">
        <v>279</v>
      </c>
      <c r="I101" s="491" t="s">
        <v>919</v>
      </c>
      <c r="J101" s="496">
        <v>351</v>
      </c>
      <c r="K101" s="491" t="s">
        <v>919</v>
      </c>
      <c r="L101" s="505">
        <v>0.140875</v>
      </c>
      <c r="M101" s="419"/>
      <c r="N101" s="1">
        <v>0.5</v>
      </c>
      <c r="O101" s="419"/>
      <c r="P101" s="459">
        <f t="shared" si="0"/>
        <v>1.2734000121234166</v>
      </c>
      <c r="Q101" s="419"/>
      <c r="R101" s="541">
        <v>0.25</v>
      </c>
      <c r="S101" s="419"/>
      <c r="T101" s="445">
        <v>0.85499999999999998</v>
      </c>
      <c r="V101" s="363"/>
      <c r="X101" s="528"/>
    </row>
    <row r="102" spans="1:24" s="364" customFormat="1" ht="14.4" x14ac:dyDescent="0.3">
      <c r="A102" s="378"/>
      <c r="B102" s="135" t="s">
        <v>874</v>
      </c>
      <c r="C102" s="378" t="s">
        <v>858</v>
      </c>
      <c r="D102" s="378" t="s">
        <v>435</v>
      </c>
      <c r="E102" s="416"/>
      <c r="F102" s="378" t="s">
        <v>485</v>
      </c>
      <c r="G102" s="416"/>
      <c r="H102" s="378" t="s">
        <v>279</v>
      </c>
      <c r="I102" s="491" t="s">
        <v>919</v>
      </c>
      <c r="J102" s="496">
        <v>351</v>
      </c>
      <c r="K102" s="491" t="s">
        <v>919</v>
      </c>
      <c r="L102" s="505">
        <v>0.140876</v>
      </c>
      <c r="M102" s="419"/>
      <c r="N102" s="1">
        <v>0.5</v>
      </c>
      <c r="O102" s="419"/>
      <c r="P102" s="459">
        <f t="shared" si="0"/>
        <v>1.2734090513426686</v>
      </c>
      <c r="Q102" s="419"/>
      <c r="R102" s="541">
        <v>0.25</v>
      </c>
      <c r="S102" s="419"/>
      <c r="T102" s="445">
        <v>0.85499999999999998</v>
      </c>
      <c r="V102" s="363"/>
      <c r="X102" s="528"/>
    </row>
    <row r="103" spans="1:24" s="364" customFormat="1" ht="14.4" x14ac:dyDescent="0.3">
      <c r="A103" s="378"/>
      <c r="B103" s="135" t="s">
        <v>874</v>
      </c>
      <c r="C103" s="378" t="s">
        <v>859</v>
      </c>
      <c r="D103" s="378" t="s">
        <v>435</v>
      </c>
      <c r="E103" s="416"/>
      <c r="F103" s="197" t="s">
        <v>485</v>
      </c>
      <c r="G103" s="416"/>
      <c r="H103" s="197" t="s">
        <v>279</v>
      </c>
      <c r="I103" s="491" t="s">
        <v>919</v>
      </c>
      <c r="J103" s="496">
        <v>351.00599999999997</v>
      </c>
      <c r="K103" s="491" t="s">
        <v>919</v>
      </c>
      <c r="L103" s="505">
        <v>0.140878</v>
      </c>
      <c r="M103" s="419"/>
      <c r="N103" s="198">
        <v>0.5</v>
      </c>
      <c r="O103" s="419"/>
      <c r="P103" s="459">
        <f t="shared" si="0"/>
        <v>1.273405362168144</v>
      </c>
      <c r="Q103" s="419"/>
      <c r="R103" s="541">
        <v>0.25</v>
      </c>
      <c r="S103" s="419"/>
      <c r="T103" s="445">
        <v>0.85499999999999998</v>
      </c>
      <c r="V103" s="363"/>
      <c r="X103" s="528"/>
    </row>
    <row r="104" spans="1:24" s="364" customFormat="1" ht="14.4" x14ac:dyDescent="0.3">
      <c r="A104" s="378"/>
      <c r="B104" s="135" t="s">
        <v>874</v>
      </c>
      <c r="C104" s="378" t="s">
        <v>860</v>
      </c>
      <c r="D104" s="378" t="s">
        <v>435</v>
      </c>
      <c r="E104" s="416"/>
      <c r="F104" s="197" t="s">
        <v>485</v>
      </c>
      <c r="G104" s="416"/>
      <c r="H104" s="197" t="s">
        <v>279</v>
      </c>
      <c r="I104" s="491" t="s">
        <v>919</v>
      </c>
      <c r="J104" s="496">
        <v>351</v>
      </c>
      <c r="K104" s="491" t="s">
        <v>919</v>
      </c>
      <c r="L104" s="505">
        <v>0.140875</v>
      </c>
      <c r="M104" s="419"/>
      <c r="N104" s="198">
        <v>0.5</v>
      </c>
      <c r="O104" s="419"/>
      <c r="P104" s="459">
        <f t="shared" si="0"/>
        <v>1.2734000121234166</v>
      </c>
      <c r="Q104" s="419"/>
      <c r="R104" s="541">
        <v>0.25</v>
      </c>
      <c r="S104" s="419"/>
      <c r="T104" s="445">
        <v>0.85499999999999998</v>
      </c>
      <c r="V104" s="363"/>
      <c r="X104" s="528"/>
    </row>
    <row r="105" spans="1:24" s="364" customFormat="1" ht="14.4" x14ac:dyDescent="0.3">
      <c r="A105" s="378"/>
      <c r="B105" s="135" t="s">
        <v>874</v>
      </c>
      <c r="C105" s="378" t="s">
        <v>861</v>
      </c>
      <c r="D105" s="378" t="s">
        <v>435</v>
      </c>
      <c r="E105" s="416"/>
      <c r="F105" s="197" t="s">
        <v>485</v>
      </c>
      <c r="G105" s="416"/>
      <c r="H105" s="197" t="s">
        <v>279</v>
      </c>
      <c r="I105" s="491" t="s">
        <v>919</v>
      </c>
      <c r="J105" s="496">
        <v>351</v>
      </c>
      <c r="K105" s="491" t="s">
        <v>919</v>
      </c>
      <c r="L105" s="505">
        <v>0.140875</v>
      </c>
      <c r="M105" s="419"/>
      <c r="N105" s="198">
        <v>0.5</v>
      </c>
      <c r="O105" s="419"/>
      <c r="P105" s="459">
        <f t="shared" si="0"/>
        <v>1.2734000121234166</v>
      </c>
      <c r="Q105" s="419"/>
      <c r="R105" s="541">
        <v>0.25</v>
      </c>
      <c r="S105" s="419"/>
      <c r="T105" s="445">
        <v>0.85499999999999998</v>
      </c>
      <c r="V105" s="363"/>
      <c r="X105" s="528"/>
    </row>
    <row r="106" spans="1:24" s="364" customFormat="1" ht="14.4" x14ac:dyDescent="0.3">
      <c r="A106" s="378"/>
      <c r="B106" s="135" t="s">
        <v>875</v>
      </c>
      <c r="C106" s="378" t="s">
        <v>862</v>
      </c>
      <c r="D106" s="378" t="s">
        <v>435</v>
      </c>
      <c r="E106" s="416"/>
      <c r="F106" s="197" t="s">
        <v>485</v>
      </c>
      <c r="G106" s="416"/>
      <c r="H106" s="197" t="s">
        <v>279</v>
      </c>
      <c r="I106" s="491" t="s">
        <v>919</v>
      </c>
      <c r="J106" s="496">
        <v>351.02699999999999</v>
      </c>
      <c r="K106" s="491" t="s">
        <v>919</v>
      </c>
      <c r="L106" s="505">
        <v>0.14088600000000001</v>
      </c>
      <c r="M106" s="419"/>
      <c r="N106" s="198">
        <v>0.5</v>
      </c>
      <c r="O106" s="419"/>
      <c r="P106" s="459">
        <f t="shared" si="0"/>
        <v>1.2734014895744521</v>
      </c>
      <c r="Q106" s="419"/>
      <c r="R106" s="541">
        <v>0.25</v>
      </c>
      <c r="S106" s="419"/>
      <c r="T106" s="445">
        <v>0.85499999999999998</v>
      </c>
      <c r="V106" s="363"/>
      <c r="X106" s="528"/>
    </row>
    <row r="107" spans="1:24" s="364" customFormat="1" ht="14.4" x14ac:dyDescent="0.3">
      <c r="A107" s="378"/>
      <c r="B107" s="135" t="s">
        <v>875</v>
      </c>
      <c r="C107" s="378" t="s">
        <v>863</v>
      </c>
      <c r="D107" s="378" t="s">
        <v>435</v>
      </c>
      <c r="E107" s="416"/>
      <c r="F107" s="197" t="s">
        <v>485</v>
      </c>
      <c r="G107" s="416"/>
      <c r="H107" s="197" t="s">
        <v>279</v>
      </c>
      <c r="I107" s="491" t="s">
        <v>919</v>
      </c>
      <c r="J107" s="496">
        <v>351.02600000000001</v>
      </c>
      <c r="K107" s="491" t="s">
        <v>919</v>
      </c>
      <c r="L107" s="505">
        <v>0.14088600000000001</v>
      </c>
      <c r="M107" s="419"/>
      <c r="N107" s="198">
        <v>0.5</v>
      </c>
      <c r="O107" s="419"/>
      <c r="P107" s="459">
        <f t="shared" si="0"/>
        <v>1.2734051172302083</v>
      </c>
      <c r="Q107" s="419"/>
      <c r="R107" s="541">
        <v>0.25</v>
      </c>
      <c r="S107" s="419"/>
      <c r="T107" s="445">
        <v>0.85499999999999998</v>
      </c>
      <c r="V107" s="363"/>
      <c r="X107" s="528"/>
    </row>
    <row r="108" spans="1:24" s="364" customFormat="1" ht="14.4" x14ac:dyDescent="0.3">
      <c r="A108" s="378"/>
      <c r="B108" s="135" t="s">
        <v>875</v>
      </c>
      <c r="C108" s="378" t="s">
        <v>864</v>
      </c>
      <c r="D108" s="378" t="s">
        <v>435</v>
      </c>
      <c r="E108" s="416"/>
      <c r="F108" s="197" t="s">
        <v>485</v>
      </c>
      <c r="G108" s="416"/>
      <c r="H108" s="197" t="s">
        <v>279</v>
      </c>
      <c r="I108" s="491" t="s">
        <v>919</v>
      </c>
      <c r="J108" s="496">
        <v>378.03</v>
      </c>
      <c r="K108" s="491" t="s">
        <v>919</v>
      </c>
      <c r="L108" s="505">
        <v>0.151724</v>
      </c>
      <c r="M108" s="419"/>
      <c r="N108" s="198">
        <v>0.5</v>
      </c>
      <c r="O108" s="419"/>
      <c r="P108" s="459">
        <f t="shared" si="0"/>
        <v>1.2734035450299175</v>
      </c>
      <c r="Q108" s="419"/>
      <c r="R108" s="541">
        <v>0.25</v>
      </c>
      <c r="S108" s="419"/>
      <c r="T108" s="445">
        <v>0.85499999999999998</v>
      </c>
      <c r="V108" s="363"/>
      <c r="X108" s="528"/>
    </row>
    <row r="109" spans="1:24" s="364" customFormat="1" ht="14.4" x14ac:dyDescent="0.3">
      <c r="A109" s="378"/>
      <c r="B109" s="135" t="s">
        <v>875</v>
      </c>
      <c r="C109" s="378" t="s">
        <v>865</v>
      </c>
      <c r="D109" s="378" t="s">
        <v>435</v>
      </c>
      <c r="E109" s="416"/>
      <c r="F109" s="197" t="s">
        <v>485</v>
      </c>
      <c r="G109" s="416"/>
      <c r="H109" s="197" t="s">
        <v>279</v>
      </c>
      <c r="I109" s="491" t="s">
        <v>919</v>
      </c>
      <c r="J109" s="496">
        <v>351.02600000000001</v>
      </c>
      <c r="K109" s="491" t="s">
        <v>919</v>
      </c>
      <c r="L109" s="505">
        <v>0.14088600000000001</v>
      </c>
      <c r="M109" s="419"/>
      <c r="N109" s="198">
        <v>0.5</v>
      </c>
      <c r="O109" s="419"/>
      <c r="P109" s="459">
        <f t="shared" si="0"/>
        <v>1.2734051172302083</v>
      </c>
      <c r="Q109" s="419"/>
      <c r="R109" s="541">
        <v>0.25</v>
      </c>
      <c r="S109" s="419"/>
      <c r="T109" s="445">
        <v>0.85499999999999998</v>
      </c>
      <c r="V109" s="363"/>
      <c r="X109" s="528"/>
    </row>
    <row r="110" spans="1:24" s="364" customFormat="1" ht="14.4" x14ac:dyDescent="0.3">
      <c r="A110" s="378"/>
      <c r="B110" s="135" t="s">
        <v>875</v>
      </c>
      <c r="C110" s="378" t="s">
        <v>866</v>
      </c>
      <c r="D110" s="378" t="s">
        <v>435</v>
      </c>
      <c r="E110" s="416"/>
      <c r="F110" s="197" t="s">
        <v>485</v>
      </c>
      <c r="G110" s="416"/>
      <c r="H110" s="197" t="s">
        <v>279</v>
      </c>
      <c r="I110" s="491" t="s">
        <v>919</v>
      </c>
      <c r="J110" s="496">
        <v>351.02600000000001</v>
      </c>
      <c r="K110" s="491" t="s">
        <v>919</v>
      </c>
      <c r="L110" s="505">
        <v>0.14088600000000001</v>
      </c>
      <c r="M110" s="419"/>
      <c r="N110" s="198">
        <v>0.5</v>
      </c>
      <c r="O110" s="419"/>
      <c r="P110" s="459">
        <f t="shared" si="0"/>
        <v>1.2734051172302083</v>
      </c>
      <c r="Q110" s="419"/>
      <c r="R110" s="541">
        <v>0.25</v>
      </c>
      <c r="S110" s="419"/>
      <c r="T110" s="445">
        <v>0.85499999999999998</v>
      </c>
      <c r="V110" s="363"/>
      <c r="X110" s="528"/>
    </row>
    <row r="111" spans="1:24" s="364" customFormat="1" ht="14.4" x14ac:dyDescent="0.3">
      <c r="A111" s="378"/>
      <c r="B111" s="135" t="s">
        <v>875</v>
      </c>
      <c r="C111" s="378" t="s">
        <v>867</v>
      </c>
      <c r="D111" s="378" t="s">
        <v>435</v>
      </c>
      <c r="E111" s="416"/>
      <c r="F111" s="197" t="s">
        <v>485</v>
      </c>
      <c r="G111" s="416"/>
      <c r="H111" s="197" t="s">
        <v>279</v>
      </c>
      <c r="I111" s="491" t="s">
        <v>919</v>
      </c>
      <c r="J111" s="496">
        <v>351</v>
      </c>
      <c r="K111" s="491" t="s">
        <v>919</v>
      </c>
      <c r="L111" s="505">
        <v>0.140875</v>
      </c>
      <c r="M111" s="419"/>
      <c r="N111" s="198">
        <v>0.5</v>
      </c>
      <c r="O111" s="419"/>
      <c r="P111" s="459">
        <f t="shared" si="0"/>
        <v>1.2734000121234166</v>
      </c>
      <c r="Q111" s="419"/>
      <c r="R111" s="541">
        <v>0.25</v>
      </c>
      <c r="S111" s="419"/>
      <c r="T111" s="445">
        <v>0.85499999999999998</v>
      </c>
      <c r="V111" s="363"/>
      <c r="X111" s="528"/>
    </row>
    <row r="112" spans="1:24" s="364" customFormat="1" ht="14.4" x14ac:dyDescent="0.3">
      <c r="A112" s="378"/>
      <c r="B112" s="135" t="s">
        <v>875</v>
      </c>
      <c r="C112" s="378" t="s">
        <v>868</v>
      </c>
      <c r="D112" s="378" t="s">
        <v>435</v>
      </c>
      <c r="E112" s="416"/>
      <c r="F112" s="197" t="s">
        <v>485</v>
      </c>
      <c r="G112" s="416"/>
      <c r="H112" s="197" t="s">
        <v>279</v>
      </c>
      <c r="I112" s="491" t="s">
        <v>919</v>
      </c>
      <c r="J112" s="496">
        <v>351</v>
      </c>
      <c r="K112" s="491" t="s">
        <v>919</v>
      </c>
      <c r="L112" s="505">
        <v>0.140876</v>
      </c>
      <c r="M112" s="419"/>
      <c r="N112" s="198">
        <v>0.5</v>
      </c>
      <c r="O112" s="419"/>
      <c r="P112" s="459">
        <f t="shared" si="0"/>
        <v>1.2734090513426686</v>
      </c>
      <c r="Q112" s="419"/>
      <c r="R112" s="541">
        <v>0.25</v>
      </c>
      <c r="S112" s="419"/>
      <c r="T112" s="445">
        <v>0.85499999999999998</v>
      </c>
      <c r="V112" s="363"/>
      <c r="X112" s="528"/>
    </row>
    <row r="113" spans="1:24" s="364" customFormat="1" ht="14.4" x14ac:dyDescent="0.3">
      <c r="A113" s="378"/>
      <c r="B113" s="135" t="s">
        <v>875</v>
      </c>
      <c r="C113" s="378" t="s">
        <v>869</v>
      </c>
      <c r="D113" s="378" t="s">
        <v>435</v>
      </c>
      <c r="E113" s="416"/>
      <c r="F113" s="197" t="s">
        <v>485</v>
      </c>
      <c r="G113" s="416"/>
      <c r="H113" s="197" t="s">
        <v>279</v>
      </c>
      <c r="I113" s="491" t="s">
        <v>919</v>
      </c>
      <c r="J113" s="496">
        <v>351.00599999999997</v>
      </c>
      <c r="K113" s="491" t="s">
        <v>919</v>
      </c>
      <c r="L113" s="505">
        <v>0.140878</v>
      </c>
      <c r="M113" s="419"/>
      <c r="N113" s="198">
        <v>0.5</v>
      </c>
      <c r="O113" s="419"/>
      <c r="P113" s="459">
        <f t="shared" si="0"/>
        <v>1.273405362168144</v>
      </c>
      <c r="Q113" s="419"/>
      <c r="R113" s="541">
        <v>0.25</v>
      </c>
      <c r="S113" s="419"/>
      <c r="T113" s="445">
        <v>0.85499999999999998</v>
      </c>
      <c r="V113" s="363"/>
      <c r="X113" s="528"/>
    </row>
    <row r="114" spans="1:24" s="364" customFormat="1" ht="14.4" x14ac:dyDescent="0.3">
      <c r="A114" s="378"/>
      <c r="B114" s="135" t="s">
        <v>875</v>
      </c>
      <c r="C114" s="378" t="s">
        <v>870</v>
      </c>
      <c r="D114" s="378" t="s">
        <v>435</v>
      </c>
      <c r="E114" s="416"/>
      <c r="F114" s="197" t="s">
        <v>485</v>
      </c>
      <c r="G114" s="416"/>
      <c r="H114" s="197" t="s">
        <v>279</v>
      </c>
      <c r="I114" s="491" t="s">
        <v>919</v>
      </c>
      <c r="J114" s="496">
        <v>351</v>
      </c>
      <c r="K114" s="491" t="s">
        <v>919</v>
      </c>
      <c r="L114" s="505">
        <v>0.140875</v>
      </c>
      <c r="M114" s="419"/>
      <c r="N114" s="198">
        <v>0.5</v>
      </c>
      <c r="O114" s="419"/>
      <c r="P114" s="459">
        <f t="shared" si="0"/>
        <v>1.2734000121234166</v>
      </c>
      <c r="Q114" s="419"/>
      <c r="R114" s="541">
        <v>0.25</v>
      </c>
      <c r="S114" s="419"/>
      <c r="T114" s="445">
        <v>0.85499999999999998</v>
      </c>
      <c r="V114" s="363"/>
      <c r="X114" s="528"/>
    </row>
    <row r="115" spans="1:24" s="364" customFormat="1" ht="14.4" x14ac:dyDescent="0.3">
      <c r="A115" s="378"/>
      <c r="B115" s="135" t="s">
        <v>875</v>
      </c>
      <c r="C115" s="378" t="s">
        <v>871</v>
      </c>
      <c r="D115" s="378" t="s">
        <v>435</v>
      </c>
      <c r="E115" s="416"/>
      <c r="F115" s="197" t="s">
        <v>485</v>
      </c>
      <c r="G115" s="416"/>
      <c r="H115" s="197" t="s">
        <v>279</v>
      </c>
      <c r="I115" s="491" t="s">
        <v>919</v>
      </c>
      <c r="J115" s="496">
        <v>351</v>
      </c>
      <c r="K115" s="491" t="s">
        <v>919</v>
      </c>
      <c r="L115" s="505">
        <v>0.140875</v>
      </c>
      <c r="M115" s="419"/>
      <c r="N115" s="198">
        <v>0.5</v>
      </c>
      <c r="O115" s="419"/>
      <c r="P115" s="459">
        <f t="shared" si="0"/>
        <v>1.2734000121234166</v>
      </c>
      <c r="Q115" s="419"/>
      <c r="R115" s="541">
        <v>0.25</v>
      </c>
      <c r="S115" s="419"/>
      <c r="T115" s="445">
        <v>0.85499999999999998</v>
      </c>
      <c r="V115" s="363"/>
      <c r="X115" s="528"/>
    </row>
    <row r="116" spans="1:24" s="364" customFormat="1" ht="14.4" x14ac:dyDescent="0.3">
      <c r="A116" s="378"/>
      <c r="B116" s="135" t="s">
        <v>875</v>
      </c>
      <c r="C116" s="378" t="s">
        <v>1197</v>
      </c>
      <c r="D116" s="378" t="s">
        <v>435</v>
      </c>
      <c r="E116" s="416"/>
      <c r="F116" s="197" t="s">
        <v>485</v>
      </c>
      <c r="G116" s="416"/>
      <c r="H116" s="197" t="s">
        <v>279</v>
      </c>
      <c r="I116" s="491" t="s">
        <v>919</v>
      </c>
      <c r="J116" s="496">
        <v>50</v>
      </c>
      <c r="K116" s="491" t="s">
        <v>919</v>
      </c>
      <c r="L116" s="505">
        <v>3.3255100000000003E-2</v>
      </c>
      <c r="M116" s="419"/>
      <c r="N116" s="198">
        <v>0.5</v>
      </c>
      <c r="O116" s="419"/>
      <c r="P116" s="459">
        <f t="shared" si="0"/>
        <v>2.1102129838297876</v>
      </c>
      <c r="Q116" s="419"/>
      <c r="R116" s="541">
        <v>8.3000000000000004E-2</v>
      </c>
      <c r="S116" s="419"/>
      <c r="T116" s="445">
        <v>0.85499999999999998</v>
      </c>
      <c r="V116" s="363"/>
      <c r="X116" s="528"/>
    </row>
    <row r="117" spans="1:24" s="364" customFormat="1" ht="14.4" x14ac:dyDescent="0.3">
      <c r="A117" s="378"/>
      <c r="B117" s="135" t="s">
        <v>875</v>
      </c>
      <c r="C117" s="378" t="s">
        <v>1198</v>
      </c>
      <c r="D117" s="378" t="s">
        <v>435</v>
      </c>
      <c r="E117" s="416"/>
      <c r="F117" s="197" t="s">
        <v>485</v>
      </c>
      <c r="G117" s="416"/>
      <c r="H117" s="197" t="s">
        <v>279</v>
      </c>
      <c r="I117" s="491" t="s">
        <v>919</v>
      </c>
      <c r="J117" s="496">
        <v>30</v>
      </c>
      <c r="K117" s="491" t="s">
        <v>919</v>
      </c>
      <c r="L117" s="505">
        <v>1.9953100000000001E-2</v>
      </c>
      <c r="M117" s="419"/>
      <c r="N117" s="198">
        <v>0.5</v>
      </c>
      <c r="O117" s="419"/>
      <c r="P117" s="459">
        <f t="shared" si="0"/>
        <v>2.1102172141843978</v>
      </c>
      <c r="Q117" s="419"/>
      <c r="R117" s="541">
        <v>8.3000000000000004E-2</v>
      </c>
      <c r="S117" s="419"/>
      <c r="T117" s="445">
        <v>0.85499999999999998</v>
      </c>
      <c r="V117" s="363"/>
      <c r="X117" s="528"/>
    </row>
    <row r="118" spans="1:24" s="364" customFormat="1" ht="14.4" x14ac:dyDescent="0.3">
      <c r="A118" s="378"/>
      <c r="B118" s="135" t="s">
        <v>875</v>
      </c>
      <c r="C118" s="378" t="s">
        <v>1199</v>
      </c>
      <c r="D118" s="378" t="s">
        <v>435</v>
      </c>
      <c r="E118" s="416"/>
      <c r="F118" s="197" t="s">
        <v>485</v>
      </c>
      <c r="G118" s="416"/>
      <c r="H118" s="197" t="s">
        <v>279</v>
      </c>
      <c r="I118" s="491" t="s">
        <v>919</v>
      </c>
      <c r="J118" s="496">
        <v>30</v>
      </c>
      <c r="K118" s="491" t="s">
        <v>919</v>
      </c>
      <c r="L118" s="505">
        <v>1.9953100000000001E-2</v>
      </c>
      <c r="M118" s="419"/>
      <c r="N118" s="198">
        <v>0.5</v>
      </c>
      <c r="O118" s="419"/>
      <c r="P118" s="459">
        <f t="shared" si="0"/>
        <v>2.1102172141843978</v>
      </c>
      <c r="Q118" s="419"/>
      <c r="R118" s="541">
        <v>8.3000000000000004E-2</v>
      </c>
      <c r="S118" s="419"/>
      <c r="T118" s="445">
        <v>0.85499999999999998</v>
      </c>
      <c r="V118" s="363"/>
      <c r="X118" s="528"/>
    </row>
    <row r="119" spans="1:24" s="364" customFormat="1" ht="14.4" x14ac:dyDescent="0.3">
      <c r="A119" s="378"/>
      <c r="B119" s="135" t="s">
        <v>875</v>
      </c>
      <c r="C119" s="378" t="s">
        <v>1200</v>
      </c>
      <c r="D119" s="378" t="s">
        <v>435</v>
      </c>
      <c r="E119" s="416"/>
      <c r="F119" s="197" t="s">
        <v>485</v>
      </c>
      <c r="G119" s="416"/>
      <c r="H119" s="197" t="s">
        <v>279</v>
      </c>
      <c r="I119" s="491" t="s">
        <v>919</v>
      </c>
      <c r="J119" s="496">
        <v>30</v>
      </c>
      <c r="K119" s="491" t="s">
        <v>919</v>
      </c>
      <c r="L119" s="505">
        <v>1.9953100000000001E-2</v>
      </c>
      <c r="M119" s="419"/>
      <c r="N119" s="198">
        <v>0.5</v>
      </c>
      <c r="O119" s="419"/>
      <c r="P119" s="459">
        <f t="shared" si="0"/>
        <v>2.1102172141843978</v>
      </c>
      <c r="Q119" s="419"/>
      <c r="R119" s="541">
        <v>8.3000000000000004E-2</v>
      </c>
      <c r="S119" s="419"/>
      <c r="T119" s="445">
        <v>0.85499999999999998</v>
      </c>
      <c r="V119" s="363"/>
      <c r="X119" s="528"/>
    </row>
    <row r="120" spans="1:24" s="364" customFormat="1" ht="14.4" x14ac:dyDescent="0.3">
      <c r="A120" s="378"/>
      <c r="B120" s="135" t="s">
        <v>875</v>
      </c>
      <c r="C120" s="378" t="s">
        <v>1201</v>
      </c>
      <c r="D120" s="378" t="s">
        <v>435</v>
      </c>
      <c r="E120" s="416"/>
      <c r="F120" s="197" t="s">
        <v>485</v>
      </c>
      <c r="G120" s="416"/>
      <c r="H120" s="197" t="s">
        <v>279</v>
      </c>
      <c r="I120" s="491" t="s">
        <v>919</v>
      </c>
      <c r="J120" s="496">
        <v>30</v>
      </c>
      <c r="K120" s="491" t="s">
        <v>919</v>
      </c>
      <c r="L120" s="505">
        <v>1.9953100000000001E-2</v>
      </c>
      <c r="M120" s="419"/>
      <c r="N120" s="198">
        <v>0.5</v>
      </c>
      <c r="O120" s="419"/>
      <c r="P120" s="459">
        <f t="shared" si="0"/>
        <v>2.1102172141843978</v>
      </c>
      <c r="Q120" s="419"/>
      <c r="R120" s="541">
        <v>8.3000000000000004E-2</v>
      </c>
      <c r="S120" s="419"/>
      <c r="T120" s="445">
        <v>0.85499999999999998</v>
      </c>
      <c r="V120" s="363"/>
      <c r="X120" s="528"/>
    </row>
    <row r="121" spans="1:24" s="364" customFormat="1" ht="14.4" x14ac:dyDescent="0.3">
      <c r="A121" s="378"/>
      <c r="B121" s="135" t="s">
        <v>875</v>
      </c>
      <c r="C121" s="378" t="s">
        <v>1202</v>
      </c>
      <c r="D121" s="378" t="s">
        <v>435</v>
      </c>
      <c r="E121" s="416"/>
      <c r="F121" s="197" t="s">
        <v>485</v>
      </c>
      <c r="G121" s="416"/>
      <c r="H121" s="197" t="s">
        <v>279</v>
      </c>
      <c r="I121" s="491" t="s">
        <v>919</v>
      </c>
      <c r="J121" s="496">
        <v>30</v>
      </c>
      <c r="K121" s="491" t="s">
        <v>919</v>
      </c>
      <c r="L121" s="505">
        <v>1.9953100000000001E-2</v>
      </c>
      <c r="M121" s="419"/>
      <c r="N121" s="198">
        <v>0.5</v>
      </c>
      <c r="O121" s="419"/>
      <c r="P121" s="459">
        <f t="shared" si="0"/>
        <v>2.1102172141843978</v>
      </c>
      <c r="Q121" s="419"/>
      <c r="R121" s="541">
        <v>8.3000000000000004E-2</v>
      </c>
      <c r="S121" s="419"/>
      <c r="T121" s="445">
        <v>0.85499999999999998</v>
      </c>
      <c r="V121" s="363"/>
      <c r="X121" s="528"/>
    </row>
    <row r="122" spans="1:24" s="364" customFormat="1" ht="14.4" x14ac:dyDescent="0.3">
      <c r="A122" s="378"/>
      <c r="B122" s="135" t="s">
        <v>875</v>
      </c>
      <c r="C122" s="378" t="s">
        <v>1203</v>
      </c>
      <c r="D122" s="378" t="s">
        <v>435</v>
      </c>
      <c r="E122" s="416"/>
      <c r="F122" s="197" t="s">
        <v>485</v>
      </c>
      <c r="G122" s="416"/>
      <c r="H122" s="197" t="s">
        <v>279</v>
      </c>
      <c r="I122" s="491" t="s">
        <v>919</v>
      </c>
      <c r="J122" s="496">
        <v>30</v>
      </c>
      <c r="K122" s="491" t="s">
        <v>919</v>
      </c>
      <c r="L122" s="505">
        <v>1.9953100000000001E-2</v>
      </c>
      <c r="M122" s="419"/>
      <c r="N122" s="198">
        <v>0.5</v>
      </c>
      <c r="O122" s="419"/>
      <c r="P122" s="459">
        <f t="shared" si="0"/>
        <v>2.1102172141843978</v>
      </c>
      <c r="Q122" s="419"/>
      <c r="R122" s="541">
        <v>8.3000000000000004E-2</v>
      </c>
      <c r="S122" s="419"/>
      <c r="T122" s="445">
        <v>0.85499999999999998</v>
      </c>
      <c r="V122" s="363"/>
      <c r="X122" s="528"/>
    </row>
    <row r="123" spans="1:24" s="364" customFormat="1" ht="14.4" x14ac:dyDescent="0.3">
      <c r="A123" s="378"/>
      <c r="B123" s="135" t="s">
        <v>875</v>
      </c>
      <c r="C123" s="378" t="s">
        <v>1204</v>
      </c>
      <c r="D123" s="378" t="s">
        <v>435</v>
      </c>
      <c r="E123" s="416"/>
      <c r="F123" s="197" t="s">
        <v>485</v>
      </c>
      <c r="G123" s="416"/>
      <c r="H123" s="197" t="s">
        <v>279</v>
      </c>
      <c r="I123" s="491" t="s">
        <v>919</v>
      </c>
      <c r="J123" s="496">
        <v>30</v>
      </c>
      <c r="K123" s="491" t="s">
        <v>919</v>
      </c>
      <c r="L123" s="505">
        <v>1.9953100000000001E-2</v>
      </c>
      <c r="M123" s="419"/>
      <c r="N123" s="198">
        <v>0.5</v>
      </c>
      <c r="O123" s="419"/>
      <c r="P123" s="459">
        <f t="shared" si="0"/>
        <v>2.1102172141843978</v>
      </c>
      <c r="Q123" s="419"/>
      <c r="R123" s="541">
        <v>8.3000000000000004E-2</v>
      </c>
      <c r="S123" s="419"/>
      <c r="T123" s="445">
        <v>0.85499999999999998</v>
      </c>
      <c r="V123" s="363"/>
      <c r="X123" s="528"/>
    </row>
    <row r="124" spans="1:24" s="364" customFormat="1" ht="14.4" x14ac:dyDescent="0.3">
      <c r="A124" s="378"/>
      <c r="B124" s="135" t="s">
        <v>875</v>
      </c>
      <c r="C124" s="378" t="s">
        <v>1205</v>
      </c>
      <c r="D124" s="378" t="s">
        <v>435</v>
      </c>
      <c r="E124" s="416"/>
      <c r="F124" s="197" t="s">
        <v>485</v>
      </c>
      <c r="G124" s="416"/>
      <c r="H124" s="197" t="s">
        <v>279</v>
      </c>
      <c r="I124" s="491" t="s">
        <v>919</v>
      </c>
      <c r="J124" s="496">
        <v>30</v>
      </c>
      <c r="K124" s="491" t="s">
        <v>919</v>
      </c>
      <c r="L124" s="505">
        <v>1.9953100000000001E-2</v>
      </c>
      <c r="M124" s="419"/>
      <c r="N124" s="198">
        <v>0.5</v>
      </c>
      <c r="O124" s="419"/>
      <c r="P124" s="459">
        <f t="shared" si="0"/>
        <v>2.1102172141843978</v>
      </c>
      <c r="Q124" s="419"/>
      <c r="R124" s="541">
        <v>8.3000000000000004E-2</v>
      </c>
      <c r="S124" s="419"/>
      <c r="T124" s="445">
        <v>0.85499999999999998</v>
      </c>
      <c r="V124" s="363"/>
      <c r="X124" s="528"/>
    </row>
    <row r="125" spans="1:24" s="364" customFormat="1" ht="14.4" x14ac:dyDescent="0.3">
      <c r="A125" s="378"/>
      <c r="B125" s="135" t="s">
        <v>875</v>
      </c>
      <c r="C125" s="378" t="s">
        <v>1206</v>
      </c>
      <c r="D125" s="378" t="s">
        <v>435</v>
      </c>
      <c r="E125" s="416"/>
      <c r="F125" s="197" t="s">
        <v>485</v>
      </c>
      <c r="G125" s="416"/>
      <c r="H125" s="197" t="s">
        <v>279</v>
      </c>
      <c r="I125" s="491" t="s">
        <v>919</v>
      </c>
      <c r="J125" s="496">
        <v>30</v>
      </c>
      <c r="K125" s="491" t="s">
        <v>919</v>
      </c>
      <c r="L125" s="505">
        <v>1.9953100000000001E-2</v>
      </c>
      <c r="M125" s="419"/>
      <c r="N125" s="198">
        <v>0.5</v>
      </c>
      <c r="O125" s="419"/>
      <c r="P125" s="797">
        <f t="shared" si="0"/>
        <v>2.1102172141843978</v>
      </c>
      <c r="Q125" s="419"/>
      <c r="R125" s="541">
        <v>8.3000000000000004E-2</v>
      </c>
      <c r="S125" s="419"/>
      <c r="T125" s="445">
        <v>0.85499999999999998</v>
      </c>
      <c r="V125" s="363"/>
      <c r="X125" s="528"/>
    </row>
    <row r="126" spans="1:24" s="364" customFormat="1" ht="14.4" x14ac:dyDescent="0.3">
      <c r="A126" s="378"/>
      <c r="B126" s="316" t="s">
        <v>873</v>
      </c>
      <c r="C126" s="158" t="s">
        <v>1207</v>
      </c>
      <c r="D126" s="158" t="s">
        <v>435</v>
      </c>
      <c r="E126" s="417"/>
      <c r="F126" s="199" t="s">
        <v>485</v>
      </c>
      <c r="G126" s="417"/>
      <c r="H126" s="199" t="s">
        <v>279</v>
      </c>
      <c r="I126" s="465" t="s">
        <v>919</v>
      </c>
      <c r="J126" s="511">
        <v>720</v>
      </c>
      <c r="K126" s="465" t="s">
        <v>919</v>
      </c>
      <c r="L126" s="507">
        <v>0.56732800000000005</v>
      </c>
      <c r="M126" s="417"/>
      <c r="N126" s="235">
        <v>0.5</v>
      </c>
      <c r="O126" s="417"/>
      <c r="P126" s="689">
        <f t="shared" si="0"/>
        <v>2.4999985626477548</v>
      </c>
      <c r="Q126" s="417"/>
      <c r="R126" s="798">
        <v>0.75</v>
      </c>
      <c r="S126" s="417"/>
      <c r="T126" s="638">
        <v>0.85499999999999998</v>
      </c>
      <c r="V126" s="363"/>
      <c r="X126" s="528"/>
    </row>
    <row r="127" spans="1:24" s="403" customFormat="1" ht="14.4" x14ac:dyDescent="0.3">
      <c r="C127" s="634"/>
      <c r="O127" s="639"/>
      <c r="U127" s="621"/>
      <c r="V127" s="621"/>
      <c r="W127" s="621"/>
      <c r="X127" s="621"/>
    </row>
    <row r="128" spans="1:24" s="403" customFormat="1" ht="14.4" x14ac:dyDescent="0.3">
      <c r="A128" s="621"/>
      <c r="B128" s="621"/>
      <c r="C128" s="621"/>
      <c r="D128" s="621"/>
      <c r="E128" s="627"/>
      <c r="F128" s="621"/>
      <c r="G128" s="627"/>
      <c r="H128" s="621"/>
      <c r="I128" s="627"/>
      <c r="J128" s="621"/>
      <c r="L128" s="621"/>
      <c r="M128" s="627"/>
      <c r="N128" s="621"/>
      <c r="O128" s="640"/>
      <c r="P128" s="641"/>
      <c r="U128" s="621"/>
      <c r="V128" s="621"/>
      <c r="W128" s="621"/>
      <c r="X128" s="621"/>
    </row>
    <row r="129" spans="1:42" s="378" customFormat="1" ht="14.4" x14ac:dyDescent="0.3">
      <c r="A129" s="363"/>
      <c r="B129" s="125" t="s">
        <v>501</v>
      </c>
      <c r="C129" s="113" t="s">
        <v>821</v>
      </c>
      <c r="D129" s="113" t="s">
        <v>433</v>
      </c>
      <c r="E129" s="298"/>
      <c r="F129" s="142" t="s">
        <v>538</v>
      </c>
      <c r="G129" s="125"/>
      <c r="H129" s="142" t="s">
        <v>295</v>
      </c>
      <c r="O129" s="640"/>
      <c r="P129" s="642"/>
      <c r="U129" s="363"/>
      <c r="V129" s="363"/>
      <c r="W129" s="363"/>
      <c r="X129" s="363"/>
    </row>
    <row r="130" spans="1:42" s="82" customFormat="1" ht="15" thickBot="1" x14ac:dyDescent="0.35">
      <c r="A130" s="635"/>
      <c r="B130" s="173" t="s">
        <v>258</v>
      </c>
      <c r="C130" s="171"/>
      <c r="D130" s="171"/>
      <c r="E130" s="643"/>
      <c r="F130" s="174" t="s">
        <v>289</v>
      </c>
      <c r="G130" s="643"/>
      <c r="H130" s="174" t="s">
        <v>290</v>
      </c>
      <c r="O130" s="640"/>
      <c r="P130" s="644"/>
      <c r="U130" s="635"/>
      <c r="V130" s="635"/>
      <c r="W130" s="635"/>
      <c r="X130" s="635"/>
    </row>
    <row r="131" spans="1:42" s="378" customFormat="1" ht="14.4" thickTop="1" x14ac:dyDescent="0.3">
      <c r="A131" s="364"/>
      <c r="B131" s="434" t="s">
        <v>554</v>
      </c>
      <c r="C131" s="264" t="s">
        <v>625</v>
      </c>
      <c r="D131" s="264" t="s">
        <v>435</v>
      </c>
      <c r="E131" s="416"/>
      <c r="F131" s="378" t="s">
        <v>539</v>
      </c>
      <c r="G131" s="420"/>
      <c r="H131" s="274" t="s">
        <v>480</v>
      </c>
      <c r="I131" s="364"/>
      <c r="J131" s="364"/>
      <c r="L131" s="364"/>
      <c r="M131" s="364"/>
      <c r="N131" s="364"/>
      <c r="O131" s="640"/>
      <c r="P131" s="645"/>
      <c r="U131" s="364"/>
      <c r="V131" s="364"/>
      <c r="W131" s="364"/>
      <c r="X131" s="364"/>
    </row>
    <row r="132" spans="1:42" s="378" customFormat="1" x14ac:dyDescent="0.3">
      <c r="A132" s="364"/>
      <c r="B132" s="135" t="s">
        <v>565</v>
      </c>
      <c r="C132" s="378" t="s">
        <v>626</v>
      </c>
      <c r="D132" s="378" t="s">
        <v>435</v>
      </c>
      <c r="E132" s="419"/>
      <c r="F132" s="378" t="s">
        <v>539</v>
      </c>
      <c r="G132" s="419"/>
      <c r="H132" s="274" t="s">
        <v>480</v>
      </c>
      <c r="I132" s="364"/>
      <c r="J132" s="364"/>
      <c r="K132" s="364"/>
      <c r="L132" s="364"/>
      <c r="M132" s="364"/>
      <c r="N132" s="364"/>
      <c r="O132" s="640"/>
      <c r="P132" s="645"/>
      <c r="U132" s="364"/>
      <c r="V132" s="364"/>
      <c r="W132" s="364"/>
      <c r="X132" s="364"/>
    </row>
    <row r="133" spans="1:42" s="378" customFormat="1" x14ac:dyDescent="0.3">
      <c r="A133" s="364"/>
      <c r="B133" s="135" t="s">
        <v>566</v>
      </c>
      <c r="C133" s="378" t="s">
        <v>627</v>
      </c>
      <c r="D133" s="378" t="s">
        <v>435</v>
      </c>
      <c r="E133" s="419"/>
      <c r="F133" s="378" t="s">
        <v>539</v>
      </c>
      <c r="G133" s="419"/>
      <c r="H133" s="274" t="s">
        <v>480</v>
      </c>
      <c r="I133" s="364"/>
      <c r="J133" s="364"/>
      <c r="K133" s="364"/>
      <c r="L133" s="364"/>
      <c r="M133" s="364"/>
      <c r="N133" s="364"/>
      <c r="O133" s="640"/>
      <c r="P133" s="645"/>
      <c r="U133" s="364"/>
      <c r="V133" s="364"/>
      <c r="W133" s="364"/>
      <c r="X133" s="364"/>
    </row>
    <row r="134" spans="1:42" s="378" customFormat="1" x14ac:dyDescent="0.3">
      <c r="A134" s="364"/>
      <c r="B134" s="135" t="s">
        <v>795</v>
      </c>
      <c r="C134" s="378" t="s">
        <v>819</v>
      </c>
      <c r="D134" s="378" t="s">
        <v>435</v>
      </c>
      <c r="E134" s="419"/>
      <c r="F134" s="378" t="s">
        <v>539</v>
      </c>
      <c r="G134" s="419"/>
      <c r="H134" s="274" t="s">
        <v>480</v>
      </c>
      <c r="I134" s="364"/>
      <c r="J134" s="364"/>
      <c r="K134" s="364"/>
      <c r="L134" s="364"/>
      <c r="M134" s="364"/>
      <c r="N134" s="364"/>
      <c r="O134" s="640"/>
      <c r="P134" s="645"/>
      <c r="U134" s="364"/>
      <c r="V134" s="364"/>
      <c r="W134" s="364"/>
      <c r="X134" s="364"/>
    </row>
    <row r="135" spans="1:42" s="378" customFormat="1" x14ac:dyDescent="0.3">
      <c r="A135" s="364"/>
      <c r="B135" s="316" t="s">
        <v>1188</v>
      </c>
      <c r="C135" s="158" t="s">
        <v>1208</v>
      </c>
      <c r="D135" s="158" t="s">
        <v>435</v>
      </c>
      <c r="E135" s="417"/>
      <c r="F135" s="158" t="s">
        <v>388</v>
      </c>
      <c r="G135" s="417"/>
      <c r="H135" s="252" t="s">
        <v>1209</v>
      </c>
      <c r="I135" s="364"/>
      <c r="J135" s="364"/>
      <c r="K135" s="364"/>
      <c r="L135" s="364"/>
      <c r="M135" s="364"/>
      <c r="N135" s="364"/>
      <c r="O135" s="640"/>
      <c r="P135" s="645"/>
      <c r="U135" s="364"/>
      <c r="V135" s="364"/>
      <c r="W135" s="364"/>
      <c r="X135" s="364"/>
    </row>
    <row r="136" spans="1:42" s="403" customFormat="1" ht="14.4" x14ac:dyDescent="0.3">
      <c r="A136" s="621"/>
      <c r="B136" s="407"/>
      <c r="C136" s="407"/>
      <c r="D136" s="407"/>
      <c r="E136" s="407"/>
      <c r="F136" s="407"/>
      <c r="G136" s="407"/>
      <c r="H136" s="407"/>
      <c r="I136" s="407"/>
      <c r="J136" s="621"/>
      <c r="K136" s="621"/>
      <c r="L136" s="621"/>
      <c r="M136" s="627"/>
      <c r="N136" s="621"/>
      <c r="O136" s="640"/>
      <c r="P136" s="641"/>
      <c r="U136" s="621"/>
      <c r="V136" s="621"/>
      <c r="W136" s="621"/>
      <c r="X136" s="621"/>
    </row>
    <row r="137" spans="1:42" s="403" customFormat="1" ht="14.4" x14ac:dyDescent="0.3">
      <c r="A137" s="621"/>
      <c r="B137" s="407"/>
      <c r="C137" s="407"/>
      <c r="D137" s="407"/>
      <c r="E137" s="407"/>
      <c r="F137" s="407"/>
      <c r="G137" s="407"/>
      <c r="H137" s="407"/>
      <c r="I137" s="407"/>
      <c r="J137" s="621"/>
      <c r="K137" s="621"/>
      <c r="L137" s="621"/>
      <c r="M137" s="627"/>
      <c r="N137" s="621"/>
      <c r="O137" s="640"/>
      <c r="P137" s="641"/>
      <c r="U137" s="621"/>
      <c r="V137" s="621"/>
      <c r="W137" s="621"/>
      <c r="X137" s="621"/>
    </row>
    <row r="138" spans="1:42" s="397" customFormat="1" ht="14.4" x14ac:dyDescent="0.3">
      <c r="A138" s="26"/>
      <c r="B138" s="28" t="s">
        <v>1344</v>
      </c>
      <c r="C138" s="28"/>
      <c r="E138" s="362"/>
      <c r="G138" s="362"/>
      <c r="I138" s="362"/>
      <c r="K138" s="362"/>
      <c r="M138" s="362"/>
      <c r="O138" s="121"/>
      <c r="P138" s="111"/>
      <c r="Q138" s="82"/>
      <c r="R138" s="82"/>
      <c r="S138" s="82"/>
      <c r="T138" s="82"/>
      <c r="U138" s="363"/>
      <c r="V138" s="363"/>
      <c r="W138" s="363"/>
      <c r="X138" s="363"/>
    </row>
    <row r="139" spans="1:42" s="378" customFormat="1" ht="41.4" x14ac:dyDescent="0.3">
      <c r="A139" s="363"/>
      <c r="B139" s="125" t="s">
        <v>505</v>
      </c>
      <c r="C139" s="113" t="s">
        <v>291</v>
      </c>
      <c r="D139" s="113" t="s">
        <v>433</v>
      </c>
      <c r="E139" s="108"/>
      <c r="F139" s="324" t="s">
        <v>601</v>
      </c>
      <c r="G139" s="108"/>
      <c r="H139" s="324" t="s">
        <v>1210</v>
      </c>
      <c r="I139" s="751"/>
      <c r="J139" s="538" t="s">
        <v>1347</v>
      </c>
      <c r="K139" s="751"/>
      <c r="L139" s="538" t="s">
        <v>988</v>
      </c>
      <c r="M139" s="280"/>
      <c r="N139" s="324" t="s">
        <v>591</v>
      </c>
      <c r="O139" s="538"/>
      <c r="P139" s="324" t="s">
        <v>977</v>
      </c>
      <c r="Q139" s="280"/>
      <c r="R139" s="110" t="s">
        <v>1029</v>
      </c>
      <c r="S139" s="280"/>
      <c r="T139" s="168" t="s">
        <v>1021</v>
      </c>
      <c r="U139" s="647"/>
      <c r="V139" s="168" t="s">
        <v>1345</v>
      </c>
      <c r="W139" s="298"/>
      <c r="X139" s="142" t="s">
        <v>292</v>
      </c>
      <c r="Y139" s="125"/>
      <c r="Z139" s="142" t="s">
        <v>293</v>
      </c>
      <c r="AA139" s="364"/>
      <c r="AB139" s="363"/>
      <c r="AD139" s="363"/>
      <c r="AE139" s="364"/>
      <c r="AF139" s="363"/>
      <c r="AG139" s="645"/>
      <c r="AH139" s="642"/>
      <c r="AM139" s="363"/>
      <c r="AN139" s="363"/>
      <c r="AO139" s="363"/>
      <c r="AP139" s="363"/>
    </row>
    <row r="140" spans="1:42" s="82" customFormat="1" ht="28.2" thickBot="1" x14ac:dyDescent="0.35">
      <c r="B140" s="173" t="s">
        <v>285</v>
      </c>
      <c r="C140" s="171" t="s">
        <v>286</v>
      </c>
      <c r="D140" s="648"/>
      <c r="E140" s="650"/>
      <c r="F140" s="171"/>
      <c r="G140" s="650"/>
      <c r="H140" s="171" t="s">
        <v>1212</v>
      </c>
      <c r="I140" s="173"/>
      <c r="J140" s="343" t="s">
        <v>1351</v>
      </c>
      <c r="K140" s="173"/>
      <c r="L140" s="343" t="s">
        <v>1352</v>
      </c>
      <c r="M140" s="320"/>
      <c r="N140" s="117" t="s">
        <v>145</v>
      </c>
      <c r="O140" s="126"/>
      <c r="P140" s="117"/>
      <c r="Q140" s="320"/>
      <c r="R140" s="117" t="s">
        <v>998</v>
      </c>
      <c r="S140" s="320"/>
      <c r="T140" s="117" t="s">
        <v>999</v>
      </c>
      <c r="U140" s="651"/>
      <c r="V140" s="117"/>
      <c r="W140" s="643"/>
      <c r="X140" s="344" t="s">
        <v>287</v>
      </c>
      <c r="Y140" s="643"/>
      <c r="Z140" s="344" t="s">
        <v>288</v>
      </c>
      <c r="AA140" s="635"/>
      <c r="AB140" s="635"/>
      <c r="AC140" s="635"/>
      <c r="AD140" s="635"/>
      <c r="AG140" s="635"/>
      <c r="AH140" s="635"/>
      <c r="AI140" s="635"/>
      <c r="AJ140" s="635"/>
      <c r="AK140" s="635"/>
      <c r="AL140" s="635"/>
      <c r="AM140" s="635"/>
      <c r="AN140" s="635"/>
      <c r="AO140" s="635"/>
      <c r="AP140" s="635"/>
    </row>
    <row r="141" spans="1:42" s="364" customFormat="1" ht="14.4" thickTop="1" x14ac:dyDescent="0.3">
      <c r="A141" s="378"/>
      <c r="B141" s="434" t="s">
        <v>1213</v>
      </c>
      <c r="C141" s="264" t="s">
        <v>297</v>
      </c>
      <c r="D141" s="652" t="s">
        <v>435</v>
      </c>
      <c r="E141" s="739"/>
      <c r="F141" s="740">
        <v>1620</v>
      </c>
      <c r="G141" s="741"/>
      <c r="H141" s="744" t="s">
        <v>1214</v>
      </c>
      <c r="I141" s="420"/>
      <c r="J141" s="264" t="s">
        <v>1356</v>
      </c>
      <c r="K141" s="420"/>
      <c r="L141" s="264" t="s">
        <v>1357</v>
      </c>
      <c r="M141" s="420"/>
      <c r="N141" s="264">
        <v>10</v>
      </c>
      <c r="O141" s="741"/>
      <c r="P141" s="742">
        <f t="shared" ref="P141:P168" si="1">ROUND(F141/1000*N141*0.5,2)</f>
        <v>8.1</v>
      </c>
      <c r="Q141" s="420"/>
      <c r="R141" s="197">
        <v>0</v>
      </c>
      <c r="S141" s="420"/>
      <c r="T141" s="197">
        <v>0.15</v>
      </c>
      <c r="U141" s="420"/>
      <c r="V141" s="653">
        <f t="shared" ref="V141:V168" si="2">ROUND(MAX(P141*R141,T141*F141),0)</f>
        <v>243</v>
      </c>
      <c r="W141" s="420"/>
      <c r="X141" s="264" t="s">
        <v>413</v>
      </c>
      <c r="Y141" s="420"/>
      <c r="Z141" s="263" t="s">
        <v>414</v>
      </c>
      <c r="AE141" s="378"/>
      <c r="AF141" s="378"/>
    </row>
    <row r="142" spans="1:42" s="364" customFormat="1" x14ac:dyDescent="0.3">
      <c r="A142" s="378"/>
      <c r="B142" s="135" t="s">
        <v>1215</v>
      </c>
      <c r="C142" s="378" t="s">
        <v>297</v>
      </c>
      <c r="D142" s="57" t="s">
        <v>435</v>
      </c>
      <c r="E142" s="743"/>
      <c r="F142" s="744">
        <v>1350</v>
      </c>
      <c r="G142" s="745"/>
      <c r="H142" s="744" t="s">
        <v>1214</v>
      </c>
      <c r="I142" s="419"/>
      <c r="J142" s="378" t="s">
        <v>1356</v>
      </c>
      <c r="K142" s="419"/>
      <c r="L142" s="378" t="s">
        <v>1357</v>
      </c>
      <c r="M142" s="419"/>
      <c r="N142" s="378">
        <v>10</v>
      </c>
      <c r="O142" s="745"/>
      <c r="P142" s="746">
        <f t="shared" si="1"/>
        <v>6.75</v>
      </c>
      <c r="Q142" s="419"/>
      <c r="R142" s="197">
        <v>0</v>
      </c>
      <c r="S142" s="419"/>
      <c r="T142" s="197">
        <v>0.15</v>
      </c>
      <c r="U142" s="419"/>
      <c r="V142" s="653">
        <f t="shared" si="2"/>
        <v>203</v>
      </c>
      <c r="W142" s="419"/>
      <c r="X142" s="378" t="s">
        <v>413</v>
      </c>
      <c r="Y142" s="419"/>
      <c r="Z142" s="274" t="s">
        <v>414</v>
      </c>
      <c r="AE142" s="378"/>
      <c r="AF142" s="378"/>
    </row>
    <row r="143" spans="1:42" s="364" customFormat="1" x14ac:dyDescent="0.3">
      <c r="A143" s="378"/>
      <c r="B143" s="135" t="s">
        <v>1216</v>
      </c>
      <c r="C143" s="378" t="s">
        <v>297</v>
      </c>
      <c r="D143" s="57" t="s">
        <v>435</v>
      </c>
      <c r="E143" s="743"/>
      <c r="F143" s="744">
        <v>1350</v>
      </c>
      <c r="G143" s="745"/>
      <c r="H143" s="744" t="s">
        <v>1214</v>
      </c>
      <c r="I143" s="419"/>
      <c r="J143" s="378" t="s">
        <v>1356</v>
      </c>
      <c r="K143" s="419"/>
      <c r="L143" s="378" t="s">
        <v>1357</v>
      </c>
      <c r="M143" s="419"/>
      <c r="N143" s="378">
        <v>10</v>
      </c>
      <c r="O143" s="745"/>
      <c r="P143" s="746">
        <f t="shared" si="1"/>
        <v>6.75</v>
      </c>
      <c r="Q143" s="419"/>
      <c r="R143" s="197">
        <v>0</v>
      </c>
      <c r="S143" s="419"/>
      <c r="T143" s="197">
        <v>0.15</v>
      </c>
      <c r="U143" s="419"/>
      <c r="V143" s="653">
        <f t="shared" si="2"/>
        <v>203</v>
      </c>
      <c r="W143" s="419"/>
      <c r="X143" s="378" t="s">
        <v>413</v>
      </c>
      <c r="Y143" s="419"/>
      <c r="Z143" s="274" t="s">
        <v>414</v>
      </c>
      <c r="AE143" s="378"/>
      <c r="AF143" s="378"/>
    </row>
    <row r="144" spans="1:42" s="364" customFormat="1" x14ac:dyDescent="0.3">
      <c r="A144" s="378"/>
      <c r="B144" s="135" t="s">
        <v>1217</v>
      </c>
      <c r="C144" s="378" t="s">
        <v>297</v>
      </c>
      <c r="D144" s="57" t="s">
        <v>435</v>
      </c>
      <c r="E144" s="743"/>
      <c r="F144" s="744">
        <v>1350</v>
      </c>
      <c r="G144" s="745"/>
      <c r="H144" s="744" t="s">
        <v>1214</v>
      </c>
      <c r="I144" s="419"/>
      <c r="J144" s="378" t="s">
        <v>1356</v>
      </c>
      <c r="K144" s="419"/>
      <c r="L144" s="378" t="s">
        <v>1357</v>
      </c>
      <c r="M144" s="419"/>
      <c r="N144" s="378">
        <v>10</v>
      </c>
      <c r="O144" s="745"/>
      <c r="P144" s="746">
        <f t="shared" si="1"/>
        <v>6.75</v>
      </c>
      <c r="Q144" s="419"/>
      <c r="R144" s="197">
        <v>0</v>
      </c>
      <c r="S144" s="419"/>
      <c r="T144" s="197">
        <v>0.15</v>
      </c>
      <c r="U144" s="419"/>
      <c r="V144" s="653">
        <f t="shared" si="2"/>
        <v>203</v>
      </c>
      <c r="W144" s="419"/>
      <c r="X144" s="378" t="s">
        <v>413</v>
      </c>
      <c r="Y144" s="419"/>
      <c r="Z144" s="274" t="s">
        <v>414</v>
      </c>
      <c r="AE144" s="378"/>
      <c r="AF144" s="378"/>
    </row>
    <row r="145" spans="1:32" s="364" customFormat="1" x14ac:dyDescent="0.3">
      <c r="A145" s="378"/>
      <c r="B145" s="135" t="s">
        <v>1218</v>
      </c>
      <c r="C145" s="378" t="s">
        <v>297</v>
      </c>
      <c r="D145" s="57" t="s">
        <v>435</v>
      </c>
      <c r="E145" s="743"/>
      <c r="F145" s="744">
        <v>351</v>
      </c>
      <c r="G145" s="745"/>
      <c r="H145" s="744" t="s">
        <v>1214</v>
      </c>
      <c r="I145" s="419"/>
      <c r="J145" s="378" t="s">
        <v>1356</v>
      </c>
      <c r="K145" s="419"/>
      <c r="L145" s="378" t="s">
        <v>1357</v>
      </c>
      <c r="M145" s="419"/>
      <c r="N145" s="378">
        <v>10</v>
      </c>
      <c r="O145" s="745"/>
      <c r="P145" s="746">
        <f t="shared" si="1"/>
        <v>1.76</v>
      </c>
      <c r="Q145" s="419"/>
      <c r="R145" s="197">
        <v>0</v>
      </c>
      <c r="S145" s="419"/>
      <c r="T145" s="197">
        <v>0.15</v>
      </c>
      <c r="U145" s="419"/>
      <c r="V145" s="653">
        <f t="shared" si="2"/>
        <v>53</v>
      </c>
      <c r="W145" s="419"/>
      <c r="X145" s="378" t="s">
        <v>413</v>
      </c>
      <c r="Y145" s="419"/>
      <c r="Z145" s="274" t="s">
        <v>414</v>
      </c>
      <c r="AE145" s="378"/>
      <c r="AF145" s="378"/>
    </row>
    <row r="146" spans="1:32" s="364" customFormat="1" x14ac:dyDescent="0.3">
      <c r="A146" s="378"/>
      <c r="B146" s="135" t="s">
        <v>1219</v>
      </c>
      <c r="C146" s="378" t="s">
        <v>297</v>
      </c>
      <c r="D146" s="57" t="s">
        <v>435</v>
      </c>
      <c r="E146" s="743"/>
      <c r="F146" s="744">
        <v>351</v>
      </c>
      <c r="G146" s="745"/>
      <c r="H146" s="744" t="s">
        <v>1214</v>
      </c>
      <c r="I146" s="419"/>
      <c r="J146" s="378" t="s">
        <v>1356</v>
      </c>
      <c r="K146" s="419"/>
      <c r="L146" s="378" t="s">
        <v>1357</v>
      </c>
      <c r="M146" s="419"/>
      <c r="N146" s="378">
        <v>10</v>
      </c>
      <c r="O146" s="745"/>
      <c r="P146" s="746">
        <f t="shared" si="1"/>
        <v>1.76</v>
      </c>
      <c r="Q146" s="419"/>
      <c r="R146" s="197">
        <v>0</v>
      </c>
      <c r="S146" s="419"/>
      <c r="T146" s="197">
        <v>0.15</v>
      </c>
      <c r="U146" s="419"/>
      <c r="V146" s="653">
        <f t="shared" si="2"/>
        <v>53</v>
      </c>
      <c r="W146" s="419"/>
      <c r="X146" s="378" t="s">
        <v>413</v>
      </c>
      <c r="Y146" s="419"/>
      <c r="Z146" s="274" t="s">
        <v>414</v>
      </c>
      <c r="AE146" s="378"/>
      <c r="AF146" s="378"/>
    </row>
    <row r="147" spans="1:32" s="364" customFormat="1" x14ac:dyDescent="0.3">
      <c r="A147" s="378"/>
      <c r="B147" s="135" t="s">
        <v>1220</v>
      </c>
      <c r="C147" s="378" t="s">
        <v>297</v>
      </c>
      <c r="D147" s="57" t="s">
        <v>435</v>
      </c>
      <c r="E147" s="743"/>
      <c r="F147" s="744">
        <v>1755.1</v>
      </c>
      <c r="G147" s="745"/>
      <c r="H147" s="744" t="s">
        <v>1214</v>
      </c>
      <c r="I147" s="419"/>
      <c r="J147" s="378" t="s">
        <v>1356</v>
      </c>
      <c r="K147" s="419"/>
      <c r="L147" s="378" t="s">
        <v>1382</v>
      </c>
      <c r="M147" s="419"/>
      <c r="N147" s="378">
        <v>142.9</v>
      </c>
      <c r="O147" s="745"/>
      <c r="P147" s="746">
        <f t="shared" si="1"/>
        <v>125.4</v>
      </c>
      <c r="Q147" s="419"/>
      <c r="R147" s="197">
        <v>15</v>
      </c>
      <c r="S147" s="419"/>
      <c r="T147" s="197">
        <v>0.15</v>
      </c>
      <c r="U147" s="419"/>
      <c r="V147" s="653">
        <f t="shared" si="2"/>
        <v>1881</v>
      </c>
      <c r="W147" s="419"/>
      <c r="X147" s="378" t="s">
        <v>413</v>
      </c>
      <c r="Y147" s="419"/>
      <c r="Z147" s="274" t="s">
        <v>414</v>
      </c>
      <c r="AE147" s="378"/>
      <c r="AF147" s="378"/>
    </row>
    <row r="148" spans="1:32" s="364" customFormat="1" x14ac:dyDescent="0.3">
      <c r="A148" s="378"/>
      <c r="B148" s="135" t="s">
        <v>1221</v>
      </c>
      <c r="C148" s="378" t="s">
        <v>297</v>
      </c>
      <c r="D148" s="57" t="s">
        <v>435</v>
      </c>
      <c r="E148" s="743"/>
      <c r="F148" s="744">
        <v>1404</v>
      </c>
      <c r="G148" s="745"/>
      <c r="H148" s="744" t="s">
        <v>1214</v>
      </c>
      <c r="I148" s="419"/>
      <c r="J148" s="378" t="s">
        <v>1356</v>
      </c>
      <c r="K148" s="419"/>
      <c r="L148" s="378" t="s">
        <v>1357</v>
      </c>
      <c r="M148" s="419"/>
      <c r="N148" s="378">
        <v>10</v>
      </c>
      <c r="O148" s="745"/>
      <c r="P148" s="746">
        <f t="shared" si="1"/>
        <v>7.02</v>
      </c>
      <c r="Q148" s="419"/>
      <c r="R148" s="197">
        <v>0</v>
      </c>
      <c r="S148" s="419"/>
      <c r="T148" s="197">
        <v>0.15</v>
      </c>
      <c r="U148" s="419"/>
      <c r="V148" s="653">
        <f t="shared" si="2"/>
        <v>211</v>
      </c>
      <c r="W148" s="419"/>
      <c r="X148" s="378" t="s">
        <v>413</v>
      </c>
      <c r="Y148" s="419"/>
      <c r="Z148" s="274" t="s">
        <v>414</v>
      </c>
      <c r="AE148" s="378"/>
      <c r="AF148" s="378"/>
    </row>
    <row r="149" spans="1:32" s="364" customFormat="1" x14ac:dyDescent="0.3">
      <c r="A149" s="378"/>
      <c r="B149" s="135" t="s">
        <v>1222</v>
      </c>
      <c r="C149" s="378" t="s">
        <v>297</v>
      </c>
      <c r="D149" s="57" t="s">
        <v>435</v>
      </c>
      <c r="E149" s="743"/>
      <c r="F149" s="744">
        <v>1053</v>
      </c>
      <c r="G149" s="745"/>
      <c r="H149" s="744" t="s">
        <v>1214</v>
      </c>
      <c r="I149" s="419"/>
      <c r="J149" s="378" t="s">
        <v>1356</v>
      </c>
      <c r="K149" s="419"/>
      <c r="L149" s="378" t="s">
        <v>1357</v>
      </c>
      <c r="M149" s="419"/>
      <c r="N149" s="378">
        <v>10</v>
      </c>
      <c r="O149" s="745"/>
      <c r="P149" s="746">
        <f t="shared" si="1"/>
        <v>5.27</v>
      </c>
      <c r="Q149" s="419"/>
      <c r="R149" s="197">
        <v>0</v>
      </c>
      <c r="S149" s="419"/>
      <c r="T149" s="197">
        <v>0.15</v>
      </c>
      <c r="U149" s="419"/>
      <c r="V149" s="653">
        <f t="shared" si="2"/>
        <v>158</v>
      </c>
      <c r="W149" s="419"/>
      <c r="X149" s="378" t="s">
        <v>413</v>
      </c>
      <c r="Y149" s="419"/>
      <c r="Z149" s="274" t="s">
        <v>414</v>
      </c>
      <c r="AE149" s="378"/>
      <c r="AF149" s="378"/>
    </row>
    <row r="150" spans="1:32" s="364" customFormat="1" x14ac:dyDescent="0.3">
      <c r="A150" s="378"/>
      <c r="B150" s="135" t="s">
        <v>1223</v>
      </c>
      <c r="C150" s="378" t="s">
        <v>297</v>
      </c>
      <c r="D150" s="57" t="s">
        <v>435</v>
      </c>
      <c r="E150" s="743"/>
      <c r="F150" s="744">
        <v>351</v>
      </c>
      <c r="G150" s="745"/>
      <c r="H150" s="744" t="s">
        <v>1214</v>
      </c>
      <c r="I150" s="419"/>
      <c r="J150" s="378" t="s">
        <v>1356</v>
      </c>
      <c r="K150" s="419"/>
      <c r="L150" s="378" t="s">
        <v>1357</v>
      </c>
      <c r="M150" s="419"/>
      <c r="N150" s="378">
        <v>3</v>
      </c>
      <c r="O150" s="745"/>
      <c r="P150" s="746">
        <f t="shared" si="1"/>
        <v>0.53</v>
      </c>
      <c r="Q150" s="419"/>
      <c r="R150" s="197">
        <v>0</v>
      </c>
      <c r="S150" s="419"/>
      <c r="T150" s="197">
        <v>0.15</v>
      </c>
      <c r="U150" s="419"/>
      <c r="V150" s="653">
        <f t="shared" si="2"/>
        <v>53</v>
      </c>
      <c r="W150" s="419"/>
      <c r="X150" s="378" t="s">
        <v>413</v>
      </c>
      <c r="Y150" s="419"/>
      <c r="Z150" s="274" t="s">
        <v>414</v>
      </c>
      <c r="AE150" s="378"/>
      <c r="AF150" s="378"/>
    </row>
    <row r="151" spans="1:32" s="364" customFormat="1" x14ac:dyDescent="0.3">
      <c r="A151" s="378"/>
      <c r="B151" s="135" t="s">
        <v>1224</v>
      </c>
      <c r="C151" s="378" t="s">
        <v>297</v>
      </c>
      <c r="D151" s="57" t="s">
        <v>435</v>
      </c>
      <c r="E151" s="743"/>
      <c r="F151" s="744">
        <v>864.1</v>
      </c>
      <c r="G151" s="745"/>
      <c r="H151" s="744" t="s">
        <v>1214</v>
      </c>
      <c r="I151" s="419"/>
      <c r="J151" s="378" t="s">
        <v>1356</v>
      </c>
      <c r="K151" s="419"/>
      <c r="L151" s="378" t="s">
        <v>1382</v>
      </c>
      <c r="M151" s="419"/>
      <c r="N151" s="378">
        <v>142.9</v>
      </c>
      <c r="O151" s="745"/>
      <c r="P151" s="746">
        <f t="shared" si="1"/>
        <v>61.74</v>
      </c>
      <c r="Q151" s="419"/>
      <c r="R151" s="197">
        <v>15</v>
      </c>
      <c r="S151" s="419"/>
      <c r="T151" s="197">
        <v>0.15</v>
      </c>
      <c r="U151" s="419"/>
      <c r="V151" s="653">
        <f t="shared" si="2"/>
        <v>926</v>
      </c>
      <c r="W151" s="419"/>
      <c r="X151" s="378" t="s">
        <v>413</v>
      </c>
      <c r="Y151" s="419"/>
      <c r="Z151" s="274" t="s">
        <v>414</v>
      </c>
      <c r="AE151" s="378"/>
      <c r="AF151" s="378"/>
    </row>
    <row r="152" spans="1:32" s="364" customFormat="1" x14ac:dyDescent="0.3">
      <c r="A152" s="378"/>
      <c r="B152" s="135" t="s">
        <v>1225</v>
      </c>
      <c r="C152" s="378" t="s">
        <v>297</v>
      </c>
      <c r="D152" s="57" t="s">
        <v>435</v>
      </c>
      <c r="E152" s="743"/>
      <c r="F152" s="744">
        <v>216</v>
      </c>
      <c r="G152" s="745"/>
      <c r="H152" s="744" t="s">
        <v>1214</v>
      </c>
      <c r="I152" s="419"/>
      <c r="J152" s="378" t="s">
        <v>1356</v>
      </c>
      <c r="K152" s="419"/>
      <c r="L152" s="378" t="s">
        <v>1357</v>
      </c>
      <c r="M152" s="419"/>
      <c r="N152" s="378">
        <v>10</v>
      </c>
      <c r="O152" s="745"/>
      <c r="P152" s="746">
        <f t="shared" si="1"/>
        <v>1.08</v>
      </c>
      <c r="Q152" s="419"/>
      <c r="R152" s="197">
        <v>0</v>
      </c>
      <c r="S152" s="419"/>
      <c r="T152" s="197">
        <v>0.15</v>
      </c>
      <c r="U152" s="419"/>
      <c r="V152" s="653">
        <f t="shared" si="2"/>
        <v>32</v>
      </c>
      <c r="W152" s="419"/>
      <c r="X152" s="378" t="s">
        <v>413</v>
      </c>
      <c r="Y152" s="419"/>
      <c r="Z152" s="274" t="s">
        <v>414</v>
      </c>
      <c r="AE152" s="378"/>
      <c r="AF152" s="378"/>
    </row>
    <row r="153" spans="1:32" s="364" customFormat="1" x14ac:dyDescent="0.3">
      <c r="A153" s="378"/>
      <c r="B153" s="135" t="s">
        <v>1226</v>
      </c>
      <c r="C153" s="378" t="s">
        <v>297</v>
      </c>
      <c r="D153" s="57" t="s">
        <v>435</v>
      </c>
      <c r="E153" s="743"/>
      <c r="F153" s="744">
        <v>216</v>
      </c>
      <c r="G153" s="745"/>
      <c r="H153" s="744" t="s">
        <v>1214</v>
      </c>
      <c r="I153" s="419"/>
      <c r="J153" s="378" t="s">
        <v>1356</v>
      </c>
      <c r="K153" s="419"/>
      <c r="L153" s="378" t="s">
        <v>1357</v>
      </c>
      <c r="M153" s="419"/>
      <c r="N153" s="378">
        <v>10</v>
      </c>
      <c r="O153" s="745"/>
      <c r="P153" s="746">
        <f t="shared" si="1"/>
        <v>1.08</v>
      </c>
      <c r="Q153" s="419"/>
      <c r="R153" s="197">
        <v>0</v>
      </c>
      <c r="S153" s="419"/>
      <c r="T153" s="197">
        <v>0.15</v>
      </c>
      <c r="U153" s="419"/>
      <c r="V153" s="653">
        <f t="shared" si="2"/>
        <v>32</v>
      </c>
      <c r="W153" s="419"/>
      <c r="X153" s="378" t="s">
        <v>413</v>
      </c>
      <c r="Y153" s="419"/>
      <c r="Z153" s="274" t="s">
        <v>414</v>
      </c>
      <c r="AE153" s="378"/>
      <c r="AF153" s="378"/>
    </row>
    <row r="154" spans="1:32" s="364" customFormat="1" x14ac:dyDescent="0.3">
      <c r="A154" s="378"/>
      <c r="B154" s="135" t="s">
        <v>1227</v>
      </c>
      <c r="C154" s="378" t="s">
        <v>297</v>
      </c>
      <c r="D154" s="57" t="s">
        <v>435</v>
      </c>
      <c r="E154" s="743"/>
      <c r="F154" s="744">
        <v>216</v>
      </c>
      <c r="G154" s="745"/>
      <c r="H154" s="744" t="s">
        <v>1214</v>
      </c>
      <c r="I154" s="419"/>
      <c r="J154" s="378" t="s">
        <v>1356</v>
      </c>
      <c r="K154" s="419"/>
      <c r="L154" s="378" t="s">
        <v>1357</v>
      </c>
      <c r="M154" s="419"/>
      <c r="N154" s="378">
        <v>10</v>
      </c>
      <c r="O154" s="745"/>
      <c r="P154" s="746">
        <f t="shared" si="1"/>
        <v>1.08</v>
      </c>
      <c r="Q154" s="419"/>
      <c r="R154" s="197">
        <v>0</v>
      </c>
      <c r="S154" s="419"/>
      <c r="T154" s="197">
        <v>0.15</v>
      </c>
      <c r="U154" s="419"/>
      <c r="V154" s="653">
        <f t="shared" si="2"/>
        <v>32</v>
      </c>
      <c r="W154" s="419"/>
      <c r="X154" s="378" t="s">
        <v>413</v>
      </c>
      <c r="Y154" s="419"/>
      <c r="Z154" s="274" t="s">
        <v>414</v>
      </c>
      <c r="AE154" s="378"/>
      <c r="AF154" s="378"/>
    </row>
    <row r="155" spans="1:32" s="364" customFormat="1" x14ac:dyDescent="0.3">
      <c r="A155" s="378"/>
      <c r="B155" s="135" t="s">
        <v>1228</v>
      </c>
      <c r="C155" s="378" t="s">
        <v>297</v>
      </c>
      <c r="D155" s="57" t="s">
        <v>435</v>
      </c>
      <c r="E155" s="743"/>
      <c r="F155" s="744">
        <v>216</v>
      </c>
      <c r="G155" s="745"/>
      <c r="H155" s="744" t="s">
        <v>1214</v>
      </c>
      <c r="I155" s="419"/>
      <c r="J155" s="378" t="s">
        <v>1356</v>
      </c>
      <c r="K155" s="419"/>
      <c r="L155" s="378" t="s">
        <v>1357</v>
      </c>
      <c r="M155" s="419"/>
      <c r="N155" s="378">
        <v>10</v>
      </c>
      <c r="O155" s="745"/>
      <c r="P155" s="746">
        <f t="shared" si="1"/>
        <v>1.08</v>
      </c>
      <c r="Q155" s="419"/>
      <c r="R155" s="197">
        <v>0</v>
      </c>
      <c r="S155" s="419"/>
      <c r="T155" s="197">
        <v>0.15</v>
      </c>
      <c r="U155" s="419"/>
      <c r="V155" s="653">
        <f t="shared" si="2"/>
        <v>32</v>
      </c>
      <c r="W155" s="419"/>
      <c r="X155" s="378" t="s">
        <v>413</v>
      </c>
      <c r="Y155" s="419"/>
      <c r="Z155" s="274" t="s">
        <v>414</v>
      </c>
      <c r="AE155" s="378"/>
      <c r="AF155" s="378"/>
    </row>
    <row r="156" spans="1:32" s="364" customFormat="1" x14ac:dyDescent="0.3">
      <c r="A156" s="378"/>
      <c r="B156" s="135" t="s">
        <v>1229</v>
      </c>
      <c r="C156" s="378" t="s">
        <v>297</v>
      </c>
      <c r="D156" s="57" t="s">
        <v>435</v>
      </c>
      <c r="E156" s="743"/>
      <c r="F156" s="744">
        <v>135</v>
      </c>
      <c r="G156" s="745"/>
      <c r="H156" s="744" t="s">
        <v>1214</v>
      </c>
      <c r="I156" s="419"/>
      <c r="J156" s="378" t="s">
        <v>1356</v>
      </c>
      <c r="K156" s="419"/>
      <c r="L156" s="378" t="s">
        <v>1357</v>
      </c>
      <c r="M156" s="419"/>
      <c r="N156" s="378">
        <v>10</v>
      </c>
      <c r="O156" s="745"/>
      <c r="P156" s="746">
        <f t="shared" si="1"/>
        <v>0.68</v>
      </c>
      <c r="Q156" s="419"/>
      <c r="R156" s="197">
        <v>0</v>
      </c>
      <c r="S156" s="419"/>
      <c r="T156" s="197">
        <v>0.15</v>
      </c>
      <c r="U156" s="419"/>
      <c r="V156" s="653">
        <f t="shared" si="2"/>
        <v>20</v>
      </c>
      <c r="W156" s="419"/>
      <c r="X156" s="378" t="s">
        <v>413</v>
      </c>
      <c r="Y156" s="419"/>
      <c r="Z156" s="274" t="s">
        <v>414</v>
      </c>
      <c r="AE156" s="378"/>
      <c r="AF156" s="378"/>
    </row>
    <row r="157" spans="1:32" s="364" customFormat="1" x14ac:dyDescent="0.3">
      <c r="A157" s="378"/>
      <c r="B157" s="135" t="s">
        <v>1230</v>
      </c>
      <c r="C157" s="378" t="s">
        <v>297</v>
      </c>
      <c r="D157" s="57" t="s">
        <v>435</v>
      </c>
      <c r="E157" s="743"/>
      <c r="F157" s="744">
        <v>135</v>
      </c>
      <c r="G157" s="745"/>
      <c r="H157" s="744" t="s">
        <v>1214</v>
      </c>
      <c r="I157" s="419"/>
      <c r="J157" s="378" t="s">
        <v>1356</v>
      </c>
      <c r="K157" s="419"/>
      <c r="L157" s="378" t="s">
        <v>1357</v>
      </c>
      <c r="M157" s="419"/>
      <c r="N157" s="378">
        <v>10</v>
      </c>
      <c r="O157" s="745"/>
      <c r="P157" s="746">
        <f t="shared" si="1"/>
        <v>0.68</v>
      </c>
      <c r="Q157" s="419"/>
      <c r="R157" s="197">
        <v>0</v>
      </c>
      <c r="S157" s="419"/>
      <c r="T157" s="197">
        <v>0.15</v>
      </c>
      <c r="U157" s="419"/>
      <c r="V157" s="653">
        <f t="shared" si="2"/>
        <v>20</v>
      </c>
      <c r="W157" s="419"/>
      <c r="X157" s="378" t="s">
        <v>413</v>
      </c>
      <c r="Y157" s="419"/>
      <c r="Z157" s="274" t="s">
        <v>414</v>
      </c>
      <c r="AE157" s="378"/>
      <c r="AF157" s="378"/>
    </row>
    <row r="158" spans="1:32" s="364" customFormat="1" x14ac:dyDescent="0.3">
      <c r="A158" s="378"/>
      <c r="B158" s="135" t="s">
        <v>1231</v>
      </c>
      <c r="C158" s="378" t="s">
        <v>297</v>
      </c>
      <c r="D158" s="57" t="s">
        <v>435</v>
      </c>
      <c r="E158" s="743"/>
      <c r="F158" s="744">
        <v>135</v>
      </c>
      <c r="G158" s="745"/>
      <c r="H158" s="744" t="s">
        <v>1214</v>
      </c>
      <c r="I158" s="419"/>
      <c r="J158" s="378" t="s">
        <v>1356</v>
      </c>
      <c r="K158" s="419"/>
      <c r="L158" s="378" t="s">
        <v>1357</v>
      </c>
      <c r="M158" s="419"/>
      <c r="N158" s="378">
        <v>10</v>
      </c>
      <c r="O158" s="745"/>
      <c r="P158" s="746">
        <f t="shared" si="1"/>
        <v>0.68</v>
      </c>
      <c r="Q158" s="419"/>
      <c r="R158" s="197">
        <v>0</v>
      </c>
      <c r="S158" s="419"/>
      <c r="T158" s="197">
        <v>0.15</v>
      </c>
      <c r="U158" s="419"/>
      <c r="V158" s="653">
        <f t="shared" si="2"/>
        <v>20</v>
      </c>
      <c r="W158" s="419"/>
      <c r="X158" s="378" t="s">
        <v>413</v>
      </c>
      <c r="Y158" s="419"/>
      <c r="Z158" s="274" t="s">
        <v>414</v>
      </c>
      <c r="AE158" s="378"/>
      <c r="AF158" s="378"/>
    </row>
    <row r="159" spans="1:32" s="364" customFormat="1" x14ac:dyDescent="0.3">
      <c r="A159" s="378"/>
      <c r="B159" s="135" t="s">
        <v>1232</v>
      </c>
      <c r="C159" s="378" t="s">
        <v>297</v>
      </c>
      <c r="D159" s="57" t="s">
        <v>435</v>
      </c>
      <c r="E159" s="743"/>
      <c r="F159" s="744">
        <v>135</v>
      </c>
      <c r="G159" s="745"/>
      <c r="H159" s="744" t="s">
        <v>1214</v>
      </c>
      <c r="I159" s="419"/>
      <c r="J159" s="378" t="s">
        <v>1356</v>
      </c>
      <c r="K159" s="419"/>
      <c r="L159" s="378" t="s">
        <v>1357</v>
      </c>
      <c r="M159" s="419"/>
      <c r="N159" s="378">
        <v>10</v>
      </c>
      <c r="O159" s="745"/>
      <c r="P159" s="746">
        <f t="shared" si="1"/>
        <v>0.68</v>
      </c>
      <c r="Q159" s="419"/>
      <c r="R159" s="197">
        <v>0</v>
      </c>
      <c r="S159" s="419"/>
      <c r="T159" s="197">
        <v>0.15</v>
      </c>
      <c r="U159" s="419"/>
      <c r="V159" s="653">
        <f t="shared" si="2"/>
        <v>20</v>
      </c>
      <c r="W159" s="419"/>
      <c r="X159" s="378" t="s">
        <v>413</v>
      </c>
      <c r="Y159" s="419"/>
      <c r="Z159" s="274" t="s">
        <v>414</v>
      </c>
      <c r="AE159" s="378"/>
      <c r="AF159" s="378"/>
    </row>
    <row r="160" spans="1:32" s="364" customFormat="1" x14ac:dyDescent="0.3">
      <c r="A160" s="378"/>
      <c r="B160" s="135" t="s">
        <v>1233</v>
      </c>
      <c r="C160" s="378" t="s">
        <v>297</v>
      </c>
      <c r="D160" s="57" t="s">
        <v>435</v>
      </c>
      <c r="E160" s="743"/>
      <c r="F160" s="744">
        <v>216.1</v>
      </c>
      <c r="G160" s="745"/>
      <c r="H160" s="744" t="s">
        <v>1214</v>
      </c>
      <c r="I160" s="419"/>
      <c r="J160" s="378" t="s">
        <v>1356</v>
      </c>
      <c r="K160" s="419"/>
      <c r="L160" s="378" t="s">
        <v>1357</v>
      </c>
      <c r="M160" s="419"/>
      <c r="N160" s="378">
        <v>10</v>
      </c>
      <c r="O160" s="745"/>
      <c r="P160" s="746">
        <f t="shared" si="1"/>
        <v>1.08</v>
      </c>
      <c r="Q160" s="419"/>
      <c r="R160" s="197">
        <v>0</v>
      </c>
      <c r="S160" s="419"/>
      <c r="T160" s="197">
        <v>0.15</v>
      </c>
      <c r="U160" s="419"/>
      <c r="V160" s="653">
        <f t="shared" si="2"/>
        <v>32</v>
      </c>
      <c r="W160" s="419"/>
      <c r="X160" s="378" t="s">
        <v>413</v>
      </c>
      <c r="Y160" s="419"/>
      <c r="Z160" s="274" t="s">
        <v>414</v>
      </c>
      <c r="AE160" s="378"/>
      <c r="AF160" s="378"/>
    </row>
    <row r="161" spans="1:56" s="364" customFormat="1" x14ac:dyDescent="0.3">
      <c r="A161" s="378"/>
      <c r="B161" s="135" t="s">
        <v>1234</v>
      </c>
      <c r="C161" s="378" t="s">
        <v>297</v>
      </c>
      <c r="D161" s="57" t="s">
        <v>435</v>
      </c>
      <c r="E161" s="743"/>
      <c r="F161" s="744">
        <v>216.1</v>
      </c>
      <c r="G161" s="745"/>
      <c r="H161" s="744" t="s">
        <v>1214</v>
      </c>
      <c r="I161" s="419"/>
      <c r="J161" s="378" t="s">
        <v>1356</v>
      </c>
      <c r="K161" s="419"/>
      <c r="L161" s="378" t="s">
        <v>1357</v>
      </c>
      <c r="M161" s="419"/>
      <c r="N161" s="378">
        <v>10</v>
      </c>
      <c r="O161" s="745"/>
      <c r="P161" s="746">
        <f t="shared" si="1"/>
        <v>1.08</v>
      </c>
      <c r="Q161" s="419"/>
      <c r="R161" s="197">
        <v>0</v>
      </c>
      <c r="S161" s="419"/>
      <c r="T161" s="197">
        <v>0.15</v>
      </c>
      <c r="U161" s="419"/>
      <c r="V161" s="653">
        <f t="shared" si="2"/>
        <v>32</v>
      </c>
      <c r="W161" s="419"/>
      <c r="X161" s="378" t="s">
        <v>413</v>
      </c>
      <c r="Y161" s="419"/>
      <c r="Z161" s="274" t="s">
        <v>414</v>
      </c>
      <c r="AE161" s="378"/>
      <c r="AF161" s="378"/>
    </row>
    <row r="162" spans="1:56" s="364" customFormat="1" x14ac:dyDescent="0.3">
      <c r="A162" s="378"/>
      <c r="B162" s="135" t="s">
        <v>1235</v>
      </c>
      <c r="C162" s="378" t="s">
        <v>297</v>
      </c>
      <c r="D162" s="57" t="s">
        <v>435</v>
      </c>
      <c r="E162" s="743"/>
      <c r="F162" s="744">
        <v>216.1</v>
      </c>
      <c r="G162" s="745"/>
      <c r="H162" s="744" t="s">
        <v>1214</v>
      </c>
      <c r="I162" s="419"/>
      <c r="J162" s="378" t="s">
        <v>1356</v>
      </c>
      <c r="K162" s="419"/>
      <c r="L162" s="378" t="s">
        <v>1357</v>
      </c>
      <c r="M162" s="419"/>
      <c r="N162" s="378">
        <v>10</v>
      </c>
      <c r="O162" s="745"/>
      <c r="P162" s="746">
        <f t="shared" si="1"/>
        <v>1.08</v>
      </c>
      <c r="Q162" s="419"/>
      <c r="R162" s="197">
        <v>0</v>
      </c>
      <c r="S162" s="419"/>
      <c r="T162" s="197">
        <v>0.15</v>
      </c>
      <c r="U162" s="419"/>
      <c r="V162" s="653">
        <f t="shared" si="2"/>
        <v>32</v>
      </c>
      <c r="W162" s="419"/>
      <c r="X162" s="378" t="s">
        <v>413</v>
      </c>
      <c r="Y162" s="419"/>
      <c r="Z162" s="274" t="s">
        <v>414</v>
      </c>
      <c r="AE162" s="378"/>
      <c r="AF162" s="378"/>
    </row>
    <row r="163" spans="1:56" s="364" customFormat="1" x14ac:dyDescent="0.3">
      <c r="A163" s="378"/>
      <c r="B163" s="135" t="s">
        <v>1236</v>
      </c>
      <c r="C163" s="378" t="s">
        <v>297</v>
      </c>
      <c r="D163" s="57" t="s">
        <v>435</v>
      </c>
      <c r="E163" s="743"/>
      <c r="F163" s="744">
        <v>216.1</v>
      </c>
      <c r="G163" s="745"/>
      <c r="H163" s="744" t="s">
        <v>1214</v>
      </c>
      <c r="I163" s="419"/>
      <c r="J163" s="378" t="s">
        <v>1356</v>
      </c>
      <c r="K163" s="419"/>
      <c r="L163" s="378" t="s">
        <v>1357</v>
      </c>
      <c r="M163" s="419"/>
      <c r="N163" s="378">
        <v>10</v>
      </c>
      <c r="O163" s="745"/>
      <c r="P163" s="746">
        <f t="shared" si="1"/>
        <v>1.08</v>
      </c>
      <c r="Q163" s="419"/>
      <c r="R163" s="197">
        <v>0</v>
      </c>
      <c r="S163" s="419"/>
      <c r="T163" s="197">
        <v>0.15</v>
      </c>
      <c r="U163" s="419"/>
      <c r="V163" s="653">
        <f t="shared" si="2"/>
        <v>32</v>
      </c>
      <c r="W163" s="419"/>
      <c r="X163" s="378" t="s">
        <v>413</v>
      </c>
      <c r="Y163" s="419"/>
      <c r="Z163" s="274" t="s">
        <v>414</v>
      </c>
      <c r="AE163" s="378"/>
      <c r="AF163" s="378"/>
    </row>
    <row r="164" spans="1:56" s="364" customFormat="1" x14ac:dyDescent="0.3">
      <c r="A164" s="378"/>
      <c r="B164" s="135" t="s">
        <v>1237</v>
      </c>
      <c r="C164" s="378" t="s">
        <v>297</v>
      </c>
      <c r="D164" s="57" t="s">
        <v>435</v>
      </c>
      <c r="E164" s="743"/>
      <c r="F164" s="744">
        <v>216.1</v>
      </c>
      <c r="G164" s="745"/>
      <c r="H164" s="744" t="s">
        <v>1214</v>
      </c>
      <c r="I164" s="419"/>
      <c r="J164" s="378" t="s">
        <v>1356</v>
      </c>
      <c r="K164" s="419"/>
      <c r="L164" s="378" t="s">
        <v>1357</v>
      </c>
      <c r="M164" s="419"/>
      <c r="N164" s="378">
        <v>10</v>
      </c>
      <c r="O164" s="745"/>
      <c r="P164" s="746">
        <f t="shared" si="1"/>
        <v>1.08</v>
      </c>
      <c r="Q164" s="419"/>
      <c r="R164" s="197">
        <v>0</v>
      </c>
      <c r="S164" s="419"/>
      <c r="T164" s="197">
        <v>0.15</v>
      </c>
      <c r="U164" s="419"/>
      <c r="V164" s="653">
        <f t="shared" si="2"/>
        <v>32</v>
      </c>
      <c r="W164" s="419"/>
      <c r="X164" s="378" t="s">
        <v>413</v>
      </c>
      <c r="Y164" s="419"/>
      <c r="Z164" s="274" t="s">
        <v>414</v>
      </c>
      <c r="AE164" s="378"/>
      <c r="AF164" s="378"/>
    </row>
    <row r="165" spans="1:56" s="364" customFormat="1" x14ac:dyDescent="0.3">
      <c r="A165" s="378"/>
      <c r="B165" s="135" t="s">
        <v>1238</v>
      </c>
      <c r="C165" s="378" t="s">
        <v>297</v>
      </c>
      <c r="D165" s="57" t="s">
        <v>435</v>
      </c>
      <c r="E165" s="743"/>
      <c r="F165" s="744">
        <v>216.1</v>
      </c>
      <c r="G165" s="745"/>
      <c r="H165" s="744" t="s">
        <v>1214</v>
      </c>
      <c r="I165" s="419"/>
      <c r="J165" s="378" t="s">
        <v>1356</v>
      </c>
      <c r="K165" s="419"/>
      <c r="L165" s="378" t="s">
        <v>1357</v>
      </c>
      <c r="M165" s="419"/>
      <c r="N165" s="378">
        <v>10</v>
      </c>
      <c r="O165" s="745"/>
      <c r="P165" s="746">
        <f t="shared" si="1"/>
        <v>1.08</v>
      </c>
      <c r="Q165" s="419"/>
      <c r="R165" s="197">
        <v>0</v>
      </c>
      <c r="S165" s="419"/>
      <c r="T165" s="197">
        <v>0.15</v>
      </c>
      <c r="U165" s="419"/>
      <c r="V165" s="653">
        <f t="shared" si="2"/>
        <v>32</v>
      </c>
      <c r="W165" s="419"/>
      <c r="X165" s="378" t="s">
        <v>413</v>
      </c>
      <c r="Y165" s="419"/>
      <c r="Z165" s="274" t="s">
        <v>414</v>
      </c>
      <c r="AE165" s="378"/>
      <c r="AF165" s="378"/>
    </row>
    <row r="166" spans="1:56" s="364" customFormat="1" x14ac:dyDescent="0.3">
      <c r="A166" s="378"/>
      <c r="B166" s="135" t="s">
        <v>1239</v>
      </c>
      <c r="C166" s="378" t="s">
        <v>297</v>
      </c>
      <c r="D166" s="57" t="s">
        <v>435</v>
      </c>
      <c r="E166" s="743"/>
      <c r="F166" s="744">
        <v>216.1</v>
      </c>
      <c r="G166" s="745"/>
      <c r="H166" s="744" t="s">
        <v>1214</v>
      </c>
      <c r="I166" s="419"/>
      <c r="J166" s="378" t="s">
        <v>1356</v>
      </c>
      <c r="K166" s="419"/>
      <c r="L166" s="378" t="s">
        <v>1357</v>
      </c>
      <c r="M166" s="419"/>
      <c r="N166" s="378">
        <v>10</v>
      </c>
      <c r="O166" s="745"/>
      <c r="P166" s="746">
        <f t="shared" si="1"/>
        <v>1.08</v>
      </c>
      <c r="Q166" s="419"/>
      <c r="R166" s="197">
        <v>0</v>
      </c>
      <c r="S166" s="419"/>
      <c r="T166" s="197">
        <v>0.15</v>
      </c>
      <c r="U166" s="419"/>
      <c r="V166" s="653">
        <f t="shared" si="2"/>
        <v>32</v>
      </c>
      <c r="W166" s="419"/>
      <c r="X166" s="378" t="s">
        <v>413</v>
      </c>
      <c r="Y166" s="419"/>
      <c r="Z166" s="274" t="s">
        <v>414</v>
      </c>
      <c r="AE166" s="378"/>
      <c r="AF166" s="378"/>
    </row>
    <row r="167" spans="1:56" s="364" customFormat="1" x14ac:dyDescent="0.3">
      <c r="A167" s="378"/>
      <c r="B167" s="135" t="s">
        <v>1240</v>
      </c>
      <c r="C167" s="378" t="s">
        <v>297</v>
      </c>
      <c r="D167" s="57" t="s">
        <v>435</v>
      </c>
      <c r="E167" s="743"/>
      <c r="F167" s="744">
        <v>216.1</v>
      </c>
      <c r="G167" s="745"/>
      <c r="H167" s="744" t="s">
        <v>1214</v>
      </c>
      <c r="I167" s="419"/>
      <c r="J167" s="378" t="s">
        <v>1356</v>
      </c>
      <c r="K167" s="419"/>
      <c r="L167" s="378" t="s">
        <v>1357</v>
      </c>
      <c r="M167" s="419"/>
      <c r="N167" s="378">
        <v>10</v>
      </c>
      <c r="O167" s="745"/>
      <c r="P167" s="746">
        <f t="shared" si="1"/>
        <v>1.08</v>
      </c>
      <c r="Q167" s="419"/>
      <c r="R167" s="197">
        <v>0</v>
      </c>
      <c r="S167" s="419"/>
      <c r="T167" s="197">
        <v>0.15</v>
      </c>
      <c r="U167" s="419"/>
      <c r="V167" s="653">
        <f t="shared" si="2"/>
        <v>32</v>
      </c>
      <c r="W167" s="419"/>
      <c r="X167" s="378" t="s">
        <v>413</v>
      </c>
      <c r="Y167" s="419"/>
      <c r="Z167" s="274" t="s">
        <v>414</v>
      </c>
      <c r="AE167" s="378"/>
      <c r="AF167" s="378"/>
    </row>
    <row r="168" spans="1:56" s="364" customFormat="1" x14ac:dyDescent="0.3">
      <c r="A168" s="378"/>
      <c r="B168" s="316" t="s">
        <v>1241</v>
      </c>
      <c r="C168" s="158" t="s">
        <v>297</v>
      </c>
      <c r="D168" s="476" t="s">
        <v>435</v>
      </c>
      <c r="E168" s="747"/>
      <c r="F168" s="748">
        <v>351</v>
      </c>
      <c r="G168" s="749"/>
      <c r="H168" s="748" t="s">
        <v>1214</v>
      </c>
      <c r="I168" s="417"/>
      <c r="J168" s="158" t="s">
        <v>1356</v>
      </c>
      <c r="K168" s="417"/>
      <c r="L168" s="158" t="s">
        <v>1357</v>
      </c>
      <c r="M168" s="417"/>
      <c r="N168" s="158">
        <v>10</v>
      </c>
      <c r="O168" s="749"/>
      <c r="P168" s="750">
        <f t="shared" si="1"/>
        <v>1.76</v>
      </c>
      <c r="Q168" s="417"/>
      <c r="R168" s="199">
        <v>0</v>
      </c>
      <c r="S168" s="417"/>
      <c r="T168" s="199">
        <v>0.15</v>
      </c>
      <c r="U168" s="417"/>
      <c r="V168" s="675">
        <f t="shared" si="2"/>
        <v>53</v>
      </c>
      <c r="W168" s="417"/>
      <c r="X168" s="158" t="s">
        <v>413</v>
      </c>
      <c r="Y168" s="417"/>
      <c r="Z168" s="252" t="s">
        <v>414</v>
      </c>
      <c r="AE168" s="378"/>
      <c r="AF168" s="378"/>
    </row>
    <row r="169" spans="1:56" s="86" customFormat="1" ht="14.4" x14ac:dyDescent="0.3">
      <c r="A169" s="82"/>
      <c r="B169" s="85"/>
      <c r="C169" s="83"/>
      <c r="E169" s="362"/>
      <c r="G169" s="25"/>
      <c r="I169" s="87"/>
      <c r="K169" s="87"/>
      <c r="M169" s="87"/>
      <c r="O169" s="87"/>
      <c r="Q169" s="82"/>
      <c r="R169" s="82"/>
      <c r="S169" s="82"/>
      <c r="T169" s="82"/>
      <c r="U169" s="363"/>
      <c r="V169" s="363"/>
      <c r="W169" s="363"/>
      <c r="X169" s="363"/>
    </row>
    <row r="170" spans="1:56" s="18" customFormat="1" ht="14.4" x14ac:dyDescent="0.3">
      <c r="A170" s="403"/>
      <c r="B170" s="407"/>
      <c r="C170" s="67"/>
      <c r="E170" s="627"/>
      <c r="G170" s="655"/>
      <c r="I170" s="655"/>
      <c r="K170" s="655"/>
      <c r="M170" s="655"/>
      <c r="O170" s="655"/>
      <c r="Q170" s="403"/>
      <c r="R170" s="403"/>
      <c r="S170" s="403"/>
      <c r="T170" s="403"/>
      <c r="U170" s="621"/>
      <c r="V170" s="621"/>
      <c r="W170" s="621"/>
      <c r="X170" s="621"/>
    </row>
    <row r="171" spans="1:56" s="378" customFormat="1" ht="41.4" x14ac:dyDescent="0.3">
      <c r="A171" s="363"/>
      <c r="B171" s="108" t="s">
        <v>138</v>
      </c>
      <c r="C171" s="113" t="s">
        <v>291</v>
      </c>
      <c r="D171" s="113" t="s">
        <v>433</v>
      </c>
      <c r="E171" s="751"/>
      <c r="F171" s="456" t="s">
        <v>190</v>
      </c>
      <c r="G171" s="125"/>
      <c r="H171" s="538" t="s">
        <v>505</v>
      </c>
      <c r="I171" s="113"/>
      <c r="J171" s="646" t="s">
        <v>601</v>
      </c>
      <c r="K171" s="751"/>
      <c r="L171" s="538" t="s">
        <v>1346</v>
      </c>
      <c r="M171" s="108"/>
      <c r="N171" s="324" t="s">
        <v>1210</v>
      </c>
      <c r="O171" s="751"/>
      <c r="P171" s="538" t="s">
        <v>1347</v>
      </c>
      <c r="Q171" s="751"/>
      <c r="R171" s="538" t="s">
        <v>988</v>
      </c>
      <c r="S171" s="280"/>
      <c r="T171" s="324" t="s">
        <v>591</v>
      </c>
      <c r="U171" s="538"/>
      <c r="V171" s="324" t="s">
        <v>977</v>
      </c>
      <c r="W171" s="189"/>
      <c r="X171" s="168" t="s">
        <v>1021</v>
      </c>
      <c r="Y171" s="189"/>
      <c r="Z171" s="168" t="s">
        <v>1021</v>
      </c>
      <c r="AA171" s="280"/>
      <c r="AB171" s="168" t="s">
        <v>1266</v>
      </c>
      <c r="AC171" s="168"/>
      <c r="AD171" s="168" t="s">
        <v>1295</v>
      </c>
      <c r="AE171" s="647"/>
      <c r="AF171" s="110" t="s">
        <v>1267</v>
      </c>
      <c r="AG171" s="189"/>
      <c r="AH171" s="168" t="s">
        <v>1211</v>
      </c>
      <c r="AI171" s="298"/>
      <c r="AJ171" s="142" t="s">
        <v>292</v>
      </c>
      <c r="AK171" s="125"/>
      <c r="AL171" s="142" t="s">
        <v>293</v>
      </c>
      <c r="AM171" s="18"/>
      <c r="AN171" s="18"/>
      <c r="AO171" s="18"/>
      <c r="AP171" s="18"/>
      <c r="AR171" s="363"/>
      <c r="AS171" s="364"/>
      <c r="AT171" s="363"/>
      <c r="AU171" s="645"/>
      <c r="AV171" s="642"/>
      <c r="BA171" s="363"/>
      <c r="BB171" s="363"/>
      <c r="BC171" s="363"/>
      <c r="BD171" s="363"/>
    </row>
    <row r="172" spans="1:56" s="82" customFormat="1" ht="28.2" thickBot="1" x14ac:dyDescent="0.35">
      <c r="B172" s="320" t="s">
        <v>1348</v>
      </c>
      <c r="C172" s="171" t="s">
        <v>286</v>
      </c>
      <c r="D172" s="648"/>
      <c r="E172" s="173"/>
      <c r="F172" s="215" t="s">
        <v>247</v>
      </c>
      <c r="G172" s="650"/>
      <c r="H172" s="171" t="s">
        <v>1349</v>
      </c>
      <c r="I172" s="648"/>
      <c r="J172" s="649"/>
      <c r="K172" s="173"/>
      <c r="L172" s="171" t="s">
        <v>1350</v>
      </c>
      <c r="M172" s="650"/>
      <c r="N172" s="171" t="s">
        <v>1212</v>
      </c>
      <c r="O172" s="173"/>
      <c r="P172" s="343" t="s">
        <v>1351</v>
      </c>
      <c r="Q172" s="173"/>
      <c r="R172" s="343" t="s">
        <v>1352</v>
      </c>
      <c r="S172" s="320"/>
      <c r="T172" s="117" t="s">
        <v>145</v>
      </c>
      <c r="U172" s="126"/>
      <c r="V172" s="117"/>
      <c r="W172" s="126"/>
      <c r="X172" s="117" t="s">
        <v>999</v>
      </c>
      <c r="Y172" s="126"/>
      <c r="Z172" s="117" t="s">
        <v>999</v>
      </c>
      <c r="AA172" s="320"/>
      <c r="AB172" s="117" t="s">
        <v>1353</v>
      </c>
      <c r="AC172" s="117"/>
      <c r="AD172" s="117" t="s">
        <v>1268</v>
      </c>
      <c r="AE172" s="651"/>
      <c r="AF172" s="143" t="s">
        <v>1354</v>
      </c>
      <c r="AG172" s="126"/>
      <c r="AH172" s="117" t="s">
        <v>999</v>
      </c>
      <c r="AI172" s="643"/>
      <c r="AJ172" s="344" t="s">
        <v>287</v>
      </c>
      <c r="AK172" s="643"/>
      <c r="AL172" s="344" t="s">
        <v>288</v>
      </c>
      <c r="AM172" s="18"/>
      <c r="AN172" s="18"/>
      <c r="AO172" s="18"/>
      <c r="AP172" s="18"/>
      <c r="AQ172" s="635"/>
      <c r="AR172" s="635"/>
      <c r="AU172" s="635"/>
      <c r="AV172" s="635"/>
      <c r="AW172" s="635"/>
      <c r="AX172" s="635"/>
      <c r="AY172" s="635"/>
      <c r="AZ172" s="635"/>
      <c r="BA172" s="635"/>
      <c r="BB172" s="635"/>
      <c r="BC172" s="635"/>
      <c r="BD172" s="635"/>
    </row>
    <row r="173" spans="1:56" s="82" customFormat="1" ht="15" thickTop="1" x14ac:dyDescent="0.3">
      <c r="B173" s="122" t="s">
        <v>1307</v>
      </c>
      <c r="C173" s="378" t="s">
        <v>297</v>
      </c>
      <c r="D173" s="57" t="s">
        <v>435</v>
      </c>
      <c r="E173" s="752"/>
      <c r="F173" s="652" t="s">
        <v>1355</v>
      </c>
      <c r="G173" s="753"/>
      <c r="H173" s="57" t="s">
        <v>1242</v>
      </c>
      <c r="I173" s="754"/>
      <c r="J173" s="744">
        <v>351</v>
      </c>
      <c r="K173" s="754"/>
      <c r="L173" s="799">
        <v>1</v>
      </c>
      <c r="M173" s="754"/>
      <c r="N173" s="744" t="s">
        <v>1214</v>
      </c>
      <c r="O173" s="754"/>
      <c r="P173" s="755" t="s">
        <v>1356</v>
      </c>
      <c r="Q173" s="754"/>
      <c r="R173" s="755" t="s">
        <v>1357</v>
      </c>
      <c r="S173" s="419"/>
      <c r="T173" s="378">
        <v>5</v>
      </c>
      <c r="U173" s="745"/>
      <c r="V173" s="746">
        <f t="shared" ref="V173:V207" si="3">ROUND(J173/1000*T173*0.5,2)</f>
        <v>0.88</v>
      </c>
      <c r="W173" s="419"/>
      <c r="X173" s="459">
        <f>IF(AND(LEFT(B173,9)="GuestRoom",F173="Hotel/Motel Guest Room",J173/L173&lt;500),L173*30/J173)</f>
        <v>8.5470085470085472E-2</v>
      </c>
      <c r="Y173" s="419"/>
      <c r="Z173" s="791">
        <f>X173*J173</f>
        <v>30</v>
      </c>
      <c r="AA173" s="332" t="s">
        <v>14</v>
      </c>
      <c r="AB173" s="266" t="s">
        <v>14</v>
      </c>
      <c r="AC173" s="332" t="s">
        <v>14</v>
      </c>
      <c r="AD173" s="266" t="s">
        <v>14</v>
      </c>
      <c r="AE173" s="332" t="s">
        <v>14</v>
      </c>
      <c r="AF173" s="266" t="s">
        <v>14</v>
      </c>
      <c r="AG173" s="332" t="s">
        <v>14</v>
      </c>
      <c r="AH173" s="266" t="s">
        <v>14</v>
      </c>
      <c r="AI173" s="419"/>
      <c r="AJ173" s="371" t="s">
        <v>822</v>
      </c>
      <c r="AK173" s="419"/>
      <c r="AL173" s="360" t="s">
        <v>823</v>
      </c>
      <c r="AM173" s="18"/>
      <c r="AN173" s="18"/>
      <c r="AO173" s="18"/>
      <c r="AP173" s="18"/>
      <c r="AQ173" s="635"/>
      <c r="AR173" s="635"/>
      <c r="AU173" s="635"/>
      <c r="AV173" s="635"/>
      <c r="AW173" s="635"/>
      <c r="AX173" s="635"/>
      <c r="AY173" s="635"/>
      <c r="AZ173" s="635"/>
      <c r="BA173" s="635"/>
      <c r="BB173" s="635"/>
      <c r="BC173" s="635"/>
      <c r="BD173" s="635"/>
    </row>
    <row r="174" spans="1:56" s="82" customFormat="1" ht="14.4" x14ac:dyDescent="0.3">
      <c r="B174" s="122" t="s">
        <v>1308</v>
      </c>
      <c r="C174" s="378" t="s">
        <v>297</v>
      </c>
      <c r="D174" s="57" t="s">
        <v>435</v>
      </c>
      <c r="E174" s="753"/>
      <c r="F174" s="57" t="s">
        <v>1355</v>
      </c>
      <c r="G174" s="753"/>
      <c r="H174" s="57" t="s">
        <v>1243</v>
      </c>
      <c r="I174" s="743"/>
      <c r="J174" s="744">
        <v>351</v>
      </c>
      <c r="K174" s="743"/>
      <c r="L174" s="799">
        <v>1</v>
      </c>
      <c r="M174" s="743"/>
      <c r="N174" s="744" t="s">
        <v>1214</v>
      </c>
      <c r="O174" s="743"/>
      <c r="P174" s="755" t="s">
        <v>1356</v>
      </c>
      <c r="Q174" s="743"/>
      <c r="R174" s="755" t="s">
        <v>1357</v>
      </c>
      <c r="S174" s="419"/>
      <c r="T174" s="378">
        <v>5</v>
      </c>
      <c r="U174" s="745"/>
      <c r="V174" s="746">
        <f t="shared" si="3"/>
        <v>0.88</v>
      </c>
      <c r="W174" s="419"/>
      <c r="X174" s="459">
        <f t="shared" ref="X174:X187" si="4">IF(AND(LEFT(B174,9)="GuestRoom",F174="Hotel/Motel Guest Room",J174/L174&lt;500),L174*30/J174)</f>
        <v>8.5470085470085472E-2</v>
      </c>
      <c r="Y174" s="419"/>
      <c r="Z174" s="791">
        <f t="shared" ref="Z174:Z187" si="5">X174*J174</f>
        <v>30</v>
      </c>
      <c r="AA174" s="332" t="s">
        <v>14</v>
      </c>
      <c r="AB174" s="266" t="s">
        <v>14</v>
      </c>
      <c r="AC174" s="332" t="s">
        <v>14</v>
      </c>
      <c r="AD174" s="266" t="s">
        <v>14</v>
      </c>
      <c r="AE174" s="332" t="s">
        <v>14</v>
      </c>
      <c r="AF174" s="266" t="s">
        <v>14</v>
      </c>
      <c r="AG174" s="332" t="s">
        <v>14</v>
      </c>
      <c r="AH174" s="266" t="s">
        <v>14</v>
      </c>
      <c r="AI174" s="419"/>
      <c r="AJ174" s="371" t="s">
        <v>822</v>
      </c>
      <c r="AK174" s="419"/>
      <c r="AL174" s="360" t="s">
        <v>823</v>
      </c>
      <c r="AM174" s="18"/>
      <c r="AN174" s="18"/>
      <c r="AO174" s="18"/>
      <c r="AP174" s="18"/>
      <c r="AQ174" s="635"/>
      <c r="AR174" s="635"/>
      <c r="AU174" s="635"/>
      <c r="AV174" s="635"/>
      <c r="AW174" s="635"/>
      <c r="AX174" s="635"/>
      <c r="AY174" s="635"/>
      <c r="AZ174" s="635"/>
      <c r="BA174" s="635"/>
      <c r="BB174" s="635"/>
      <c r="BC174" s="635"/>
      <c r="BD174" s="635"/>
    </row>
    <row r="175" spans="1:56" s="82" customFormat="1" ht="14.4" x14ac:dyDescent="0.3">
      <c r="B175" s="122" t="s">
        <v>1309</v>
      </c>
      <c r="C175" s="378" t="s">
        <v>297</v>
      </c>
      <c r="D175" s="57" t="s">
        <v>435</v>
      </c>
      <c r="E175" s="753"/>
      <c r="F175" s="57" t="s">
        <v>1355</v>
      </c>
      <c r="G175" s="753"/>
      <c r="H175" s="57" t="s">
        <v>1244</v>
      </c>
      <c r="I175" s="743"/>
      <c r="J175" s="744">
        <v>351</v>
      </c>
      <c r="K175" s="743"/>
      <c r="L175" s="799">
        <v>1</v>
      </c>
      <c r="M175" s="743"/>
      <c r="N175" s="744" t="s">
        <v>1214</v>
      </c>
      <c r="O175" s="743"/>
      <c r="P175" s="755" t="s">
        <v>1356</v>
      </c>
      <c r="Q175" s="743"/>
      <c r="R175" s="755" t="s">
        <v>1357</v>
      </c>
      <c r="S175" s="419"/>
      <c r="T175" s="378">
        <v>5</v>
      </c>
      <c r="U175" s="745"/>
      <c r="V175" s="746">
        <f t="shared" si="3"/>
        <v>0.88</v>
      </c>
      <c r="W175" s="419"/>
      <c r="X175" s="459">
        <f t="shared" si="4"/>
        <v>8.5470085470085472E-2</v>
      </c>
      <c r="Y175" s="419"/>
      <c r="Z175" s="791">
        <f t="shared" si="5"/>
        <v>30</v>
      </c>
      <c r="AA175" s="332" t="s">
        <v>14</v>
      </c>
      <c r="AB175" s="266" t="s">
        <v>14</v>
      </c>
      <c r="AC175" s="332" t="s">
        <v>14</v>
      </c>
      <c r="AD175" s="266" t="s">
        <v>14</v>
      </c>
      <c r="AE175" s="332" t="s">
        <v>14</v>
      </c>
      <c r="AF175" s="266" t="s">
        <v>14</v>
      </c>
      <c r="AG175" s="332" t="s">
        <v>14</v>
      </c>
      <c r="AH175" s="266" t="s">
        <v>14</v>
      </c>
      <c r="AI175" s="419"/>
      <c r="AJ175" s="371" t="s">
        <v>822</v>
      </c>
      <c r="AK175" s="419"/>
      <c r="AL175" s="360" t="s">
        <v>823</v>
      </c>
      <c r="AM175" s="18"/>
      <c r="AN175" s="18"/>
      <c r="AO175" s="18"/>
      <c r="AP175" s="18"/>
      <c r="AQ175" s="635"/>
      <c r="AR175" s="635"/>
      <c r="AU175" s="635"/>
      <c r="AV175" s="635"/>
      <c r="AW175" s="635"/>
      <c r="AX175" s="635"/>
      <c r="AY175" s="635"/>
      <c r="AZ175" s="635"/>
      <c r="BA175" s="635"/>
      <c r="BB175" s="635"/>
      <c r="BC175" s="635"/>
      <c r="BD175" s="635"/>
    </row>
    <row r="176" spans="1:56" s="82" customFormat="1" ht="14.4" x14ac:dyDescent="0.3">
      <c r="B176" s="122" t="s">
        <v>1310</v>
      </c>
      <c r="C176" s="378" t="s">
        <v>297</v>
      </c>
      <c r="D176" s="57" t="s">
        <v>435</v>
      </c>
      <c r="E176" s="753"/>
      <c r="F176" s="57" t="s">
        <v>1355</v>
      </c>
      <c r="G176" s="753"/>
      <c r="H176" s="57" t="s">
        <v>1245</v>
      </c>
      <c r="I176" s="743"/>
      <c r="J176" s="744">
        <v>351</v>
      </c>
      <c r="K176" s="743"/>
      <c r="L176" s="799">
        <v>1</v>
      </c>
      <c r="M176" s="743"/>
      <c r="N176" s="744" t="s">
        <v>1214</v>
      </c>
      <c r="O176" s="743"/>
      <c r="P176" s="755" t="s">
        <v>1356</v>
      </c>
      <c r="Q176" s="743"/>
      <c r="R176" s="755" t="s">
        <v>1357</v>
      </c>
      <c r="S176" s="419"/>
      <c r="T176" s="378">
        <v>5</v>
      </c>
      <c r="U176" s="745"/>
      <c r="V176" s="746">
        <f t="shared" si="3"/>
        <v>0.88</v>
      </c>
      <c r="W176" s="419"/>
      <c r="X176" s="459">
        <f t="shared" si="4"/>
        <v>8.5470085470085472E-2</v>
      </c>
      <c r="Y176" s="419"/>
      <c r="Z176" s="791">
        <f t="shared" si="5"/>
        <v>30</v>
      </c>
      <c r="AA176" s="332" t="s">
        <v>14</v>
      </c>
      <c r="AB176" s="266" t="s">
        <v>14</v>
      </c>
      <c r="AC176" s="332" t="s">
        <v>14</v>
      </c>
      <c r="AD176" s="266" t="s">
        <v>14</v>
      </c>
      <c r="AE176" s="332" t="s">
        <v>14</v>
      </c>
      <c r="AF176" s="266" t="s">
        <v>14</v>
      </c>
      <c r="AG176" s="332" t="s">
        <v>14</v>
      </c>
      <c r="AH176" s="266" t="s">
        <v>14</v>
      </c>
      <c r="AI176" s="419"/>
      <c r="AJ176" s="371" t="s">
        <v>822</v>
      </c>
      <c r="AK176" s="419"/>
      <c r="AL176" s="360" t="s">
        <v>823</v>
      </c>
      <c r="AM176" s="18"/>
      <c r="AN176" s="18"/>
      <c r="AO176" s="18"/>
      <c r="AP176" s="18"/>
      <c r="AQ176" s="635"/>
      <c r="AR176" s="635"/>
      <c r="AU176" s="635"/>
      <c r="AV176" s="635"/>
      <c r="AW176" s="635"/>
      <c r="AX176" s="635"/>
      <c r="AY176" s="635"/>
      <c r="AZ176" s="635"/>
      <c r="BA176" s="635"/>
      <c r="BB176" s="635"/>
      <c r="BC176" s="635"/>
      <c r="BD176" s="635"/>
    </row>
    <row r="177" spans="1:56" s="82" customFormat="1" ht="14.4" x14ac:dyDescent="0.3">
      <c r="B177" s="122" t="s">
        <v>1311</v>
      </c>
      <c r="C177" s="378" t="s">
        <v>297</v>
      </c>
      <c r="D177" s="57" t="s">
        <v>435</v>
      </c>
      <c r="E177" s="753"/>
      <c r="F177" s="57" t="s">
        <v>1355</v>
      </c>
      <c r="G177" s="753"/>
      <c r="H177" s="57" t="s">
        <v>1246</v>
      </c>
      <c r="I177" s="743"/>
      <c r="J177" s="744">
        <v>351</v>
      </c>
      <c r="K177" s="743"/>
      <c r="L177" s="799">
        <v>1</v>
      </c>
      <c r="M177" s="743"/>
      <c r="N177" s="744" t="s">
        <v>1214</v>
      </c>
      <c r="O177" s="743"/>
      <c r="P177" s="755" t="s">
        <v>1356</v>
      </c>
      <c r="Q177" s="743"/>
      <c r="R177" s="755" t="s">
        <v>1357</v>
      </c>
      <c r="S177" s="419"/>
      <c r="T177" s="378">
        <v>5</v>
      </c>
      <c r="U177" s="745"/>
      <c r="V177" s="746">
        <f t="shared" si="3"/>
        <v>0.88</v>
      </c>
      <c r="W177" s="419"/>
      <c r="X177" s="459">
        <f t="shared" si="4"/>
        <v>8.5470085470085472E-2</v>
      </c>
      <c r="Y177" s="419"/>
      <c r="Z177" s="791">
        <f t="shared" si="5"/>
        <v>30</v>
      </c>
      <c r="AA177" s="332" t="s">
        <v>14</v>
      </c>
      <c r="AB177" s="266" t="s">
        <v>14</v>
      </c>
      <c r="AC177" s="332" t="s">
        <v>14</v>
      </c>
      <c r="AD177" s="266" t="s">
        <v>14</v>
      </c>
      <c r="AE177" s="332" t="s">
        <v>14</v>
      </c>
      <c r="AF177" s="266" t="s">
        <v>14</v>
      </c>
      <c r="AG177" s="332" t="s">
        <v>14</v>
      </c>
      <c r="AH177" s="266" t="s">
        <v>14</v>
      </c>
      <c r="AI177" s="419"/>
      <c r="AJ177" s="371" t="s">
        <v>822</v>
      </c>
      <c r="AK177" s="419"/>
      <c r="AL177" s="360" t="s">
        <v>823</v>
      </c>
      <c r="AM177" s="18"/>
      <c r="AN177" s="18"/>
      <c r="AO177" s="18"/>
      <c r="AP177" s="18"/>
      <c r="AQ177" s="635"/>
      <c r="AR177" s="635"/>
      <c r="AU177" s="635"/>
      <c r="AV177" s="635"/>
      <c r="AW177" s="635"/>
      <c r="AX177" s="635"/>
      <c r="AY177" s="635"/>
      <c r="AZ177" s="635"/>
      <c r="BA177" s="635"/>
      <c r="BB177" s="635"/>
      <c r="BC177" s="635"/>
      <c r="BD177" s="635"/>
    </row>
    <row r="178" spans="1:56" s="82" customFormat="1" ht="14.4" x14ac:dyDescent="0.3">
      <c r="B178" s="122" t="s">
        <v>1312</v>
      </c>
      <c r="C178" s="378" t="s">
        <v>297</v>
      </c>
      <c r="D178" s="57" t="s">
        <v>435</v>
      </c>
      <c r="E178" s="753"/>
      <c r="F178" s="57" t="s">
        <v>1355</v>
      </c>
      <c r="G178" s="753"/>
      <c r="H178" s="57" t="s">
        <v>1247</v>
      </c>
      <c r="I178" s="743"/>
      <c r="J178" s="744">
        <v>351</v>
      </c>
      <c r="K178" s="743"/>
      <c r="L178" s="799">
        <v>1</v>
      </c>
      <c r="M178" s="743"/>
      <c r="N178" s="744" t="s">
        <v>1214</v>
      </c>
      <c r="O178" s="743"/>
      <c r="P178" s="755" t="s">
        <v>1356</v>
      </c>
      <c r="Q178" s="743"/>
      <c r="R178" s="755" t="s">
        <v>1357</v>
      </c>
      <c r="S178" s="419"/>
      <c r="T178" s="378">
        <v>5</v>
      </c>
      <c r="U178" s="745"/>
      <c r="V178" s="746">
        <f t="shared" si="3"/>
        <v>0.88</v>
      </c>
      <c r="W178" s="419"/>
      <c r="X178" s="459">
        <f t="shared" si="4"/>
        <v>8.5470085470085472E-2</v>
      </c>
      <c r="Y178" s="419"/>
      <c r="Z178" s="791">
        <f t="shared" si="5"/>
        <v>30</v>
      </c>
      <c r="AA178" s="332" t="s">
        <v>14</v>
      </c>
      <c r="AB178" s="266" t="s">
        <v>14</v>
      </c>
      <c r="AC178" s="332" t="s">
        <v>14</v>
      </c>
      <c r="AD178" s="266" t="s">
        <v>14</v>
      </c>
      <c r="AE178" s="332" t="s">
        <v>14</v>
      </c>
      <c r="AF178" s="266" t="s">
        <v>14</v>
      </c>
      <c r="AG178" s="332" t="s">
        <v>14</v>
      </c>
      <c r="AH178" s="266" t="s">
        <v>14</v>
      </c>
      <c r="AI178" s="419"/>
      <c r="AJ178" s="371" t="s">
        <v>822</v>
      </c>
      <c r="AK178" s="419"/>
      <c r="AL178" s="360" t="s">
        <v>823</v>
      </c>
      <c r="AM178" s="18"/>
      <c r="AN178" s="18"/>
      <c r="AO178" s="18"/>
      <c r="AP178" s="18"/>
      <c r="AQ178" s="635"/>
      <c r="AR178" s="635"/>
      <c r="AU178" s="635"/>
      <c r="AV178" s="635"/>
      <c r="AW178" s="635"/>
      <c r="AX178" s="635"/>
      <c r="AY178" s="635"/>
      <c r="AZ178" s="635"/>
      <c r="BA178" s="635"/>
      <c r="BB178" s="635"/>
      <c r="BC178" s="635"/>
      <c r="BD178" s="635"/>
    </row>
    <row r="179" spans="1:56" s="82" customFormat="1" ht="14.4" x14ac:dyDescent="0.3">
      <c r="B179" s="122" t="s">
        <v>1313</v>
      </c>
      <c r="C179" s="378" t="s">
        <v>297</v>
      </c>
      <c r="D179" s="57" t="s">
        <v>435</v>
      </c>
      <c r="E179" s="753"/>
      <c r="F179" s="57" t="s">
        <v>1355</v>
      </c>
      <c r="G179" s="753"/>
      <c r="H179" s="57" t="s">
        <v>1187</v>
      </c>
      <c r="I179" s="743"/>
      <c r="J179" s="744">
        <v>1404.1</v>
      </c>
      <c r="K179" s="743"/>
      <c r="L179" s="799">
        <v>4</v>
      </c>
      <c r="M179" s="743"/>
      <c r="N179" s="744" t="s">
        <v>1214</v>
      </c>
      <c r="O179" s="743"/>
      <c r="P179" s="755" t="s">
        <v>1356</v>
      </c>
      <c r="Q179" s="743"/>
      <c r="R179" s="755" t="s">
        <v>1357</v>
      </c>
      <c r="S179" s="419"/>
      <c r="T179" s="378">
        <v>5</v>
      </c>
      <c r="U179" s="745"/>
      <c r="V179" s="746">
        <f t="shared" si="3"/>
        <v>3.51</v>
      </c>
      <c r="W179" s="419"/>
      <c r="X179" s="459">
        <f t="shared" si="4"/>
        <v>8.5463998290720045E-2</v>
      </c>
      <c r="Y179" s="419"/>
      <c r="Z179" s="791">
        <f t="shared" si="5"/>
        <v>120</v>
      </c>
      <c r="AA179" s="332" t="s">
        <v>14</v>
      </c>
      <c r="AB179" s="266" t="s">
        <v>14</v>
      </c>
      <c r="AC179" s="332" t="s">
        <v>14</v>
      </c>
      <c r="AD179" s="266" t="s">
        <v>14</v>
      </c>
      <c r="AE179" s="332" t="s">
        <v>14</v>
      </c>
      <c r="AF179" s="266" t="s">
        <v>14</v>
      </c>
      <c r="AG179" s="332" t="s">
        <v>14</v>
      </c>
      <c r="AH179" s="266" t="s">
        <v>14</v>
      </c>
      <c r="AI179" s="419"/>
      <c r="AJ179" s="371" t="s">
        <v>822</v>
      </c>
      <c r="AK179" s="419"/>
      <c r="AL179" s="360" t="s">
        <v>823</v>
      </c>
      <c r="AM179" s="18"/>
      <c r="AN179" s="18"/>
      <c r="AO179" s="18"/>
      <c r="AP179" s="18"/>
      <c r="AQ179" s="635"/>
      <c r="AR179" s="635"/>
      <c r="AU179" s="635"/>
      <c r="AV179" s="635"/>
      <c r="AW179" s="635"/>
      <c r="AX179" s="635"/>
      <c r="AY179" s="635"/>
      <c r="AZ179" s="635"/>
      <c r="BA179" s="635"/>
      <c r="BB179" s="635"/>
      <c r="BC179" s="635"/>
      <c r="BD179" s="635"/>
    </row>
    <row r="180" spans="1:56" s="82" customFormat="1" ht="14.4" x14ac:dyDescent="0.3">
      <c r="B180" s="122" t="s">
        <v>1314</v>
      </c>
      <c r="C180" s="378" t="s">
        <v>297</v>
      </c>
      <c r="D180" s="57" t="s">
        <v>435</v>
      </c>
      <c r="E180" s="753"/>
      <c r="F180" s="57" t="s">
        <v>1355</v>
      </c>
      <c r="G180" s="753"/>
      <c r="H180" s="57" t="s">
        <v>1248</v>
      </c>
      <c r="I180" s="743"/>
      <c r="J180" s="744">
        <v>1134.0999999999999</v>
      </c>
      <c r="K180" s="743"/>
      <c r="L180" s="799">
        <v>3</v>
      </c>
      <c r="M180" s="743"/>
      <c r="N180" s="744" t="s">
        <v>1214</v>
      </c>
      <c r="O180" s="743"/>
      <c r="P180" s="755" t="s">
        <v>1356</v>
      </c>
      <c r="Q180" s="743"/>
      <c r="R180" s="755" t="s">
        <v>1357</v>
      </c>
      <c r="S180" s="419"/>
      <c r="T180" s="378">
        <v>5</v>
      </c>
      <c r="U180" s="745"/>
      <c r="V180" s="746">
        <f t="shared" si="3"/>
        <v>2.84</v>
      </c>
      <c r="W180" s="419"/>
      <c r="X180" s="459">
        <f t="shared" si="4"/>
        <v>7.9358081297945512E-2</v>
      </c>
      <c r="Y180" s="419"/>
      <c r="Z180" s="791">
        <f t="shared" si="5"/>
        <v>90</v>
      </c>
      <c r="AA180" s="332" t="s">
        <v>14</v>
      </c>
      <c r="AB180" s="266" t="s">
        <v>14</v>
      </c>
      <c r="AC180" s="332" t="s">
        <v>14</v>
      </c>
      <c r="AD180" s="266" t="s">
        <v>14</v>
      </c>
      <c r="AE180" s="332" t="s">
        <v>14</v>
      </c>
      <c r="AF180" s="266" t="s">
        <v>14</v>
      </c>
      <c r="AG180" s="332" t="s">
        <v>14</v>
      </c>
      <c r="AH180" s="266" t="s">
        <v>14</v>
      </c>
      <c r="AI180" s="419"/>
      <c r="AJ180" s="371" t="s">
        <v>822</v>
      </c>
      <c r="AK180" s="419"/>
      <c r="AL180" s="360" t="s">
        <v>823</v>
      </c>
      <c r="AM180" s="18"/>
      <c r="AN180" s="18"/>
      <c r="AO180" s="18"/>
      <c r="AP180" s="18"/>
      <c r="AQ180" s="635"/>
      <c r="AR180" s="635"/>
      <c r="AU180" s="635"/>
      <c r="AV180" s="635"/>
      <c r="AW180" s="635"/>
      <c r="AX180" s="635"/>
      <c r="AY180" s="635"/>
      <c r="AZ180" s="635"/>
      <c r="BA180" s="635"/>
      <c r="BB180" s="635"/>
      <c r="BC180" s="635"/>
      <c r="BD180" s="635"/>
    </row>
    <row r="181" spans="1:56" s="82" customFormat="1" ht="14.4" x14ac:dyDescent="0.3">
      <c r="B181" s="122" t="s">
        <v>1315</v>
      </c>
      <c r="C181" s="378" t="s">
        <v>297</v>
      </c>
      <c r="D181" s="57" t="s">
        <v>435</v>
      </c>
      <c r="E181" s="753"/>
      <c r="F181" s="57" t="s">
        <v>1355</v>
      </c>
      <c r="G181" s="753"/>
      <c r="H181" s="57" t="s">
        <v>1249</v>
      </c>
      <c r="I181" s="743"/>
      <c r="J181" s="744">
        <v>1404.1</v>
      </c>
      <c r="K181" s="743"/>
      <c r="L181" s="799">
        <v>4</v>
      </c>
      <c r="M181" s="743"/>
      <c r="N181" s="744" t="s">
        <v>1214</v>
      </c>
      <c r="O181" s="743"/>
      <c r="P181" s="755" t="s">
        <v>1356</v>
      </c>
      <c r="Q181" s="743"/>
      <c r="R181" s="755" t="s">
        <v>1357</v>
      </c>
      <c r="S181" s="419"/>
      <c r="T181" s="378">
        <v>5</v>
      </c>
      <c r="U181" s="745"/>
      <c r="V181" s="746">
        <f t="shared" si="3"/>
        <v>3.51</v>
      </c>
      <c r="W181" s="419"/>
      <c r="X181" s="459">
        <f t="shared" si="4"/>
        <v>8.5463998290720045E-2</v>
      </c>
      <c r="Y181" s="419"/>
      <c r="Z181" s="791">
        <f t="shared" si="5"/>
        <v>120</v>
      </c>
      <c r="AA181" s="332" t="s">
        <v>14</v>
      </c>
      <c r="AB181" s="266" t="s">
        <v>14</v>
      </c>
      <c r="AC181" s="332" t="s">
        <v>14</v>
      </c>
      <c r="AD181" s="266" t="s">
        <v>14</v>
      </c>
      <c r="AE181" s="332" t="s">
        <v>14</v>
      </c>
      <c r="AF181" s="266" t="s">
        <v>14</v>
      </c>
      <c r="AG181" s="332" t="s">
        <v>14</v>
      </c>
      <c r="AH181" s="266" t="s">
        <v>14</v>
      </c>
      <c r="AI181" s="419"/>
      <c r="AJ181" s="371" t="s">
        <v>822</v>
      </c>
      <c r="AK181" s="419"/>
      <c r="AL181" s="360" t="s">
        <v>823</v>
      </c>
      <c r="AM181" s="18"/>
      <c r="AN181" s="18"/>
      <c r="AO181" s="18"/>
      <c r="AP181" s="18"/>
      <c r="AQ181" s="635"/>
      <c r="AR181" s="635"/>
      <c r="AU181" s="635"/>
      <c r="AV181" s="635"/>
      <c r="AW181" s="635"/>
      <c r="AX181" s="635"/>
      <c r="AY181" s="635"/>
      <c r="AZ181" s="635"/>
      <c r="BA181" s="635"/>
      <c r="BB181" s="635"/>
      <c r="BC181" s="635"/>
      <c r="BD181" s="635"/>
    </row>
    <row r="182" spans="1:56" s="82" customFormat="1" ht="14.4" x14ac:dyDescent="0.3">
      <c r="B182" s="122" t="s">
        <v>1316</v>
      </c>
      <c r="C182" s="378" t="s">
        <v>297</v>
      </c>
      <c r="D182" s="57" t="s">
        <v>435</v>
      </c>
      <c r="E182" s="753"/>
      <c r="F182" s="57" t="s">
        <v>1355</v>
      </c>
      <c r="G182" s="753"/>
      <c r="H182" s="57" t="s">
        <v>1250</v>
      </c>
      <c r="I182" s="743"/>
      <c r="J182" s="744">
        <v>351</v>
      </c>
      <c r="K182" s="743"/>
      <c r="L182" s="799">
        <v>1</v>
      </c>
      <c r="M182" s="743"/>
      <c r="N182" s="744" t="s">
        <v>1214</v>
      </c>
      <c r="O182" s="743"/>
      <c r="P182" s="755" t="s">
        <v>1356</v>
      </c>
      <c r="Q182" s="743"/>
      <c r="R182" s="755" t="s">
        <v>1357</v>
      </c>
      <c r="S182" s="419"/>
      <c r="T182" s="378">
        <v>5</v>
      </c>
      <c r="U182" s="745"/>
      <c r="V182" s="746">
        <f t="shared" si="3"/>
        <v>0.88</v>
      </c>
      <c r="W182" s="419"/>
      <c r="X182" s="459">
        <f t="shared" si="4"/>
        <v>8.5470085470085472E-2</v>
      </c>
      <c r="Y182" s="419"/>
      <c r="Z182" s="791">
        <f t="shared" si="5"/>
        <v>30</v>
      </c>
      <c r="AA182" s="332" t="s">
        <v>14</v>
      </c>
      <c r="AB182" s="266" t="s">
        <v>14</v>
      </c>
      <c r="AC182" s="332" t="s">
        <v>14</v>
      </c>
      <c r="AD182" s="266" t="s">
        <v>14</v>
      </c>
      <c r="AE182" s="332" t="s">
        <v>14</v>
      </c>
      <c r="AF182" s="266" t="s">
        <v>14</v>
      </c>
      <c r="AG182" s="332" t="s">
        <v>14</v>
      </c>
      <c r="AH182" s="266" t="s">
        <v>14</v>
      </c>
      <c r="AI182" s="419"/>
      <c r="AJ182" s="371" t="s">
        <v>822</v>
      </c>
      <c r="AK182" s="419"/>
      <c r="AL182" s="360" t="s">
        <v>823</v>
      </c>
      <c r="AM182" s="18"/>
      <c r="AN182" s="18"/>
      <c r="AO182" s="18"/>
      <c r="AP182" s="18"/>
      <c r="AQ182" s="635"/>
      <c r="AR182" s="635"/>
      <c r="AU182" s="635"/>
      <c r="AV182" s="635"/>
      <c r="AW182" s="635"/>
      <c r="AX182" s="635"/>
      <c r="AY182" s="635"/>
      <c r="AZ182" s="635"/>
      <c r="BA182" s="635"/>
      <c r="BB182" s="635"/>
      <c r="BC182" s="635"/>
      <c r="BD182" s="635"/>
    </row>
    <row r="183" spans="1:56" s="82" customFormat="1" ht="14.4" x14ac:dyDescent="0.3">
      <c r="B183" s="122" t="s">
        <v>1317</v>
      </c>
      <c r="C183" s="378" t="s">
        <v>297</v>
      </c>
      <c r="D183" s="57" t="s">
        <v>435</v>
      </c>
      <c r="E183" s="753"/>
      <c r="F183" s="57" t="s">
        <v>1355</v>
      </c>
      <c r="G183" s="753"/>
      <c r="H183" s="57" t="s">
        <v>1251</v>
      </c>
      <c r="I183" s="743"/>
      <c r="J183" s="744">
        <v>351</v>
      </c>
      <c r="K183" s="743"/>
      <c r="L183" s="799">
        <v>1</v>
      </c>
      <c r="M183" s="743"/>
      <c r="N183" s="744" t="s">
        <v>1214</v>
      </c>
      <c r="O183" s="743"/>
      <c r="P183" s="755" t="s">
        <v>1356</v>
      </c>
      <c r="Q183" s="743"/>
      <c r="R183" s="755" t="s">
        <v>1357</v>
      </c>
      <c r="S183" s="419"/>
      <c r="T183" s="378">
        <v>5</v>
      </c>
      <c r="U183" s="745"/>
      <c r="V183" s="746">
        <f t="shared" si="3"/>
        <v>0.88</v>
      </c>
      <c r="W183" s="419"/>
      <c r="X183" s="459">
        <f t="shared" si="4"/>
        <v>8.5470085470085472E-2</v>
      </c>
      <c r="Y183" s="419"/>
      <c r="Z183" s="791">
        <f t="shared" si="5"/>
        <v>30</v>
      </c>
      <c r="AA183" s="332" t="s">
        <v>14</v>
      </c>
      <c r="AB183" s="266" t="s">
        <v>14</v>
      </c>
      <c r="AC183" s="332" t="s">
        <v>14</v>
      </c>
      <c r="AD183" s="266" t="s">
        <v>14</v>
      </c>
      <c r="AE183" s="332" t="s">
        <v>14</v>
      </c>
      <c r="AF183" s="266" t="s">
        <v>14</v>
      </c>
      <c r="AG183" s="332" t="s">
        <v>14</v>
      </c>
      <c r="AH183" s="266" t="s">
        <v>14</v>
      </c>
      <c r="AI183" s="419"/>
      <c r="AJ183" s="371" t="s">
        <v>822</v>
      </c>
      <c r="AK183" s="419"/>
      <c r="AL183" s="360" t="s">
        <v>823</v>
      </c>
      <c r="AM183" s="18"/>
      <c r="AN183" s="18"/>
      <c r="AO183" s="18"/>
      <c r="AP183" s="18"/>
      <c r="AQ183" s="635"/>
      <c r="AR183" s="635"/>
      <c r="AU183" s="635"/>
      <c r="AV183" s="635"/>
      <c r="AW183" s="635"/>
      <c r="AX183" s="635"/>
      <c r="AY183" s="635"/>
      <c r="AZ183" s="635"/>
      <c r="BA183" s="635"/>
      <c r="BB183" s="635"/>
      <c r="BC183" s="635"/>
      <c r="BD183" s="635"/>
    </row>
    <row r="184" spans="1:56" s="82" customFormat="1" ht="14.4" x14ac:dyDescent="0.3">
      <c r="B184" s="122" t="s">
        <v>1318</v>
      </c>
      <c r="C184" s="378" t="s">
        <v>297</v>
      </c>
      <c r="D184" s="57" t="s">
        <v>435</v>
      </c>
      <c r="E184" s="753"/>
      <c r="F184" s="57" t="s">
        <v>1355</v>
      </c>
      <c r="G184" s="753"/>
      <c r="H184" s="57" t="s">
        <v>1252</v>
      </c>
      <c r="I184" s="743"/>
      <c r="J184" s="744">
        <v>1404</v>
      </c>
      <c r="K184" s="743"/>
      <c r="L184" s="799">
        <v>4</v>
      </c>
      <c r="M184" s="743"/>
      <c r="N184" s="744" t="s">
        <v>1214</v>
      </c>
      <c r="O184" s="743"/>
      <c r="P184" s="755" t="s">
        <v>1356</v>
      </c>
      <c r="Q184" s="743"/>
      <c r="R184" s="755" t="s">
        <v>1357</v>
      </c>
      <c r="S184" s="419"/>
      <c r="T184" s="378">
        <v>5</v>
      </c>
      <c r="U184" s="745"/>
      <c r="V184" s="746">
        <f t="shared" si="3"/>
        <v>3.51</v>
      </c>
      <c r="W184" s="419"/>
      <c r="X184" s="459">
        <f t="shared" si="4"/>
        <v>8.5470085470085472E-2</v>
      </c>
      <c r="Y184" s="419"/>
      <c r="Z184" s="791">
        <f t="shared" si="5"/>
        <v>120</v>
      </c>
      <c r="AA184" s="332" t="s">
        <v>14</v>
      </c>
      <c r="AB184" s="266" t="s">
        <v>14</v>
      </c>
      <c r="AC184" s="332" t="s">
        <v>14</v>
      </c>
      <c r="AD184" s="266" t="s">
        <v>14</v>
      </c>
      <c r="AE184" s="332" t="s">
        <v>14</v>
      </c>
      <c r="AF184" s="266" t="s">
        <v>14</v>
      </c>
      <c r="AG184" s="332" t="s">
        <v>14</v>
      </c>
      <c r="AH184" s="266" t="s">
        <v>14</v>
      </c>
      <c r="AI184" s="419"/>
      <c r="AJ184" s="371" t="s">
        <v>822</v>
      </c>
      <c r="AK184" s="419"/>
      <c r="AL184" s="360" t="s">
        <v>823</v>
      </c>
      <c r="AM184" s="18"/>
      <c r="AN184" s="18"/>
      <c r="AO184" s="18"/>
      <c r="AP184" s="18"/>
      <c r="AQ184" s="635"/>
      <c r="AR184" s="635"/>
      <c r="AU184" s="635"/>
      <c r="AV184" s="635"/>
      <c r="AW184" s="635"/>
      <c r="AX184" s="635"/>
      <c r="AY184" s="635"/>
      <c r="AZ184" s="635"/>
      <c r="BA184" s="635"/>
      <c r="BB184" s="635"/>
      <c r="BC184" s="635"/>
      <c r="BD184" s="635"/>
    </row>
    <row r="185" spans="1:56" s="82" customFormat="1" ht="14.4" x14ac:dyDescent="0.3">
      <c r="B185" s="122" t="s">
        <v>1319</v>
      </c>
      <c r="C185" s="378" t="s">
        <v>297</v>
      </c>
      <c r="D185" s="57" t="s">
        <v>435</v>
      </c>
      <c r="E185" s="753"/>
      <c r="F185" s="57" t="s">
        <v>1355</v>
      </c>
      <c r="G185" s="753"/>
      <c r="H185" s="57" t="s">
        <v>1253</v>
      </c>
      <c r="I185" s="743"/>
      <c r="J185" s="744">
        <v>351</v>
      </c>
      <c r="K185" s="743"/>
      <c r="L185" s="799">
        <v>1</v>
      </c>
      <c r="M185" s="743"/>
      <c r="N185" s="744" t="s">
        <v>1214</v>
      </c>
      <c r="O185" s="743"/>
      <c r="P185" s="755" t="s">
        <v>1356</v>
      </c>
      <c r="Q185" s="743"/>
      <c r="R185" s="755" t="s">
        <v>1357</v>
      </c>
      <c r="S185" s="419"/>
      <c r="T185" s="378">
        <v>5</v>
      </c>
      <c r="U185" s="745"/>
      <c r="V185" s="746">
        <f t="shared" si="3"/>
        <v>0.88</v>
      </c>
      <c r="W185" s="419"/>
      <c r="X185" s="459">
        <f t="shared" si="4"/>
        <v>8.5470085470085472E-2</v>
      </c>
      <c r="Y185" s="419"/>
      <c r="Z185" s="791">
        <f t="shared" si="5"/>
        <v>30</v>
      </c>
      <c r="AA185" s="332" t="s">
        <v>14</v>
      </c>
      <c r="AB185" s="266" t="s">
        <v>14</v>
      </c>
      <c r="AC185" s="332" t="s">
        <v>14</v>
      </c>
      <c r="AD185" s="266" t="s">
        <v>14</v>
      </c>
      <c r="AE185" s="332" t="s">
        <v>14</v>
      </c>
      <c r="AF185" s="266" t="s">
        <v>14</v>
      </c>
      <c r="AG185" s="332" t="s">
        <v>14</v>
      </c>
      <c r="AH185" s="266" t="s">
        <v>14</v>
      </c>
      <c r="AI185" s="419"/>
      <c r="AJ185" s="371" t="s">
        <v>822</v>
      </c>
      <c r="AK185" s="419"/>
      <c r="AL185" s="360" t="s">
        <v>823</v>
      </c>
      <c r="AM185" s="18"/>
      <c r="AN185" s="18"/>
      <c r="AO185" s="18"/>
      <c r="AP185" s="18"/>
      <c r="AQ185" s="635"/>
      <c r="AR185" s="635"/>
      <c r="AU185" s="635"/>
      <c r="AV185" s="635"/>
      <c r="AW185" s="635"/>
      <c r="AX185" s="635"/>
      <c r="AY185" s="635"/>
      <c r="AZ185" s="635"/>
      <c r="BA185" s="635"/>
      <c r="BB185" s="635"/>
      <c r="BC185" s="635"/>
      <c r="BD185" s="635"/>
    </row>
    <row r="186" spans="1:56" s="82" customFormat="1" ht="14.4" x14ac:dyDescent="0.3">
      <c r="B186" s="122" t="s">
        <v>1320</v>
      </c>
      <c r="C186" s="378" t="s">
        <v>297</v>
      </c>
      <c r="D186" s="57" t="s">
        <v>435</v>
      </c>
      <c r="E186" s="753"/>
      <c r="F186" s="57" t="s">
        <v>1355</v>
      </c>
      <c r="G186" s="753"/>
      <c r="H186" s="57" t="s">
        <v>1254</v>
      </c>
      <c r="I186" s="743"/>
      <c r="J186" s="744">
        <v>1404</v>
      </c>
      <c r="K186" s="743"/>
      <c r="L186" s="799">
        <v>4</v>
      </c>
      <c r="M186" s="743"/>
      <c r="N186" s="744" t="s">
        <v>1214</v>
      </c>
      <c r="O186" s="743"/>
      <c r="P186" s="755" t="s">
        <v>1356</v>
      </c>
      <c r="Q186" s="743"/>
      <c r="R186" s="755" t="s">
        <v>1357</v>
      </c>
      <c r="S186" s="419"/>
      <c r="T186" s="378">
        <v>5</v>
      </c>
      <c r="U186" s="745"/>
      <c r="V186" s="746">
        <f t="shared" si="3"/>
        <v>3.51</v>
      </c>
      <c r="W186" s="419"/>
      <c r="X186" s="459">
        <f t="shared" si="4"/>
        <v>8.5470085470085472E-2</v>
      </c>
      <c r="Y186" s="419"/>
      <c r="Z186" s="791">
        <f t="shared" si="5"/>
        <v>120</v>
      </c>
      <c r="AA186" s="332" t="s">
        <v>14</v>
      </c>
      <c r="AB186" s="266" t="s">
        <v>14</v>
      </c>
      <c r="AC186" s="332" t="s">
        <v>14</v>
      </c>
      <c r="AD186" s="266" t="s">
        <v>14</v>
      </c>
      <c r="AE186" s="332" t="s">
        <v>14</v>
      </c>
      <c r="AF186" s="266" t="s">
        <v>14</v>
      </c>
      <c r="AG186" s="332" t="s">
        <v>14</v>
      </c>
      <c r="AH186" s="266" t="s">
        <v>14</v>
      </c>
      <c r="AI186" s="419"/>
      <c r="AJ186" s="371" t="s">
        <v>822</v>
      </c>
      <c r="AK186" s="419"/>
      <c r="AL186" s="360" t="s">
        <v>823</v>
      </c>
      <c r="AM186" s="18"/>
      <c r="AN186" s="18"/>
      <c r="AO186" s="18"/>
      <c r="AP186" s="18"/>
      <c r="AQ186" s="635"/>
      <c r="AR186" s="635"/>
      <c r="AU186" s="635"/>
      <c r="AV186" s="635"/>
      <c r="AW186" s="635"/>
      <c r="AX186" s="635"/>
      <c r="AY186" s="635"/>
      <c r="AZ186" s="635"/>
      <c r="BA186" s="635"/>
      <c r="BB186" s="635"/>
      <c r="BC186" s="635"/>
      <c r="BD186" s="635"/>
    </row>
    <row r="187" spans="1:56" s="82" customFormat="1" ht="14.4" x14ac:dyDescent="0.3">
      <c r="B187" s="122" t="s">
        <v>1321</v>
      </c>
      <c r="C187" s="378" t="s">
        <v>297</v>
      </c>
      <c r="D187" s="57" t="s">
        <v>435</v>
      </c>
      <c r="E187" s="753"/>
      <c r="F187" s="57" t="s">
        <v>1355</v>
      </c>
      <c r="G187" s="753"/>
      <c r="H187" s="57" t="s">
        <v>1255</v>
      </c>
      <c r="I187" s="743"/>
      <c r="J187" s="744">
        <v>351</v>
      </c>
      <c r="K187" s="743"/>
      <c r="L187" s="799">
        <v>1</v>
      </c>
      <c r="M187" s="743"/>
      <c r="N187" s="744" t="s">
        <v>1214</v>
      </c>
      <c r="O187" s="743"/>
      <c r="P187" s="755" t="s">
        <v>1356</v>
      </c>
      <c r="Q187" s="743"/>
      <c r="R187" s="755" t="s">
        <v>1357</v>
      </c>
      <c r="S187" s="419"/>
      <c r="T187" s="378">
        <v>5</v>
      </c>
      <c r="U187" s="745"/>
      <c r="V187" s="746">
        <f t="shared" si="3"/>
        <v>0.88</v>
      </c>
      <c r="W187" s="136"/>
      <c r="X187" s="459">
        <f t="shared" si="4"/>
        <v>8.5470085470085472E-2</v>
      </c>
      <c r="Y187" s="136"/>
      <c r="Z187" s="791">
        <f t="shared" si="5"/>
        <v>30</v>
      </c>
      <c r="AA187" s="332" t="s">
        <v>14</v>
      </c>
      <c r="AB187" s="266" t="s">
        <v>14</v>
      </c>
      <c r="AC187" s="332" t="s">
        <v>14</v>
      </c>
      <c r="AD187" s="266" t="s">
        <v>14</v>
      </c>
      <c r="AE187" s="332" t="s">
        <v>14</v>
      </c>
      <c r="AF187" s="266" t="s">
        <v>14</v>
      </c>
      <c r="AG187" s="332" t="s">
        <v>14</v>
      </c>
      <c r="AH187" s="266" t="s">
        <v>14</v>
      </c>
      <c r="AI187" s="419"/>
      <c r="AJ187" s="371" t="s">
        <v>822</v>
      </c>
      <c r="AK187" s="419"/>
      <c r="AL187" s="360" t="s">
        <v>823</v>
      </c>
      <c r="AM187" s="18"/>
      <c r="AN187" s="18"/>
      <c r="AO187" s="18"/>
      <c r="AP187" s="18"/>
      <c r="AQ187" s="635"/>
      <c r="AR187" s="635"/>
      <c r="AU187" s="635"/>
      <c r="AV187" s="635"/>
      <c r="AW187" s="635"/>
      <c r="AX187" s="635"/>
      <c r="AY187" s="635"/>
      <c r="AZ187" s="635"/>
      <c r="BA187" s="635"/>
      <c r="BB187" s="635"/>
      <c r="BC187" s="635"/>
      <c r="BD187" s="635"/>
    </row>
    <row r="188" spans="1:56" s="18" customFormat="1" x14ac:dyDescent="0.3">
      <c r="A188" s="403"/>
      <c r="B188" s="135" t="s">
        <v>1271</v>
      </c>
      <c r="C188" s="378" t="s">
        <v>297</v>
      </c>
      <c r="D188" s="57" t="s">
        <v>435</v>
      </c>
      <c r="E188" s="753"/>
      <c r="F188" s="57" t="s">
        <v>1355</v>
      </c>
      <c r="G188" s="753"/>
      <c r="H188" s="57" t="s">
        <v>1269</v>
      </c>
      <c r="I188" s="743"/>
      <c r="J188" s="744">
        <v>351</v>
      </c>
      <c r="K188" s="743"/>
      <c r="L188" s="799">
        <v>1</v>
      </c>
      <c r="M188" s="743"/>
      <c r="N188" s="744" t="s">
        <v>1270</v>
      </c>
      <c r="O188" s="743"/>
      <c r="P188" s="755" t="s">
        <v>1356</v>
      </c>
      <c r="Q188" s="743"/>
      <c r="R188" s="755" t="s">
        <v>713</v>
      </c>
      <c r="S188" s="419"/>
      <c r="T188" s="378">
        <v>5</v>
      </c>
      <c r="U188" s="745"/>
      <c r="V188" s="746">
        <f t="shared" si="3"/>
        <v>0.88</v>
      </c>
      <c r="W188" s="332" t="s">
        <v>14</v>
      </c>
      <c r="X188" s="266" t="s">
        <v>14</v>
      </c>
      <c r="Y188" s="332" t="s">
        <v>14</v>
      </c>
      <c r="Z188" s="266" t="s">
        <v>14</v>
      </c>
      <c r="AA188" s="419"/>
      <c r="AB188" s="378" t="s">
        <v>1272</v>
      </c>
      <c r="AC188" s="419"/>
      <c r="AD188" s="677">
        <f>IF(AND(LEFT(B188,9)="GuestRoom",F188="Hotel/Motel Guest Room",J188/L188&lt;500),L188*30)</f>
        <v>30</v>
      </c>
      <c r="AE188" s="419"/>
      <c r="AF188" s="197" t="s">
        <v>342</v>
      </c>
      <c r="AG188" s="332" t="s">
        <v>14</v>
      </c>
      <c r="AH188" s="266" t="s">
        <v>14</v>
      </c>
      <c r="AI188" s="419"/>
      <c r="AJ188" s="371" t="s">
        <v>822</v>
      </c>
      <c r="AK188" s="419"/>
      <c r="AL188" s="360" t="s">
        <v>823</v>
      </c>
    </row>
    <row r="189" spans="1:56" s="18" customFormat="1" x14ac:dyDescent="0.3">
      <c r="A189" s="403"/>
      <c r="B189" s="135" t="s">
        <v>1274</v>
      </c>
      <c r="C189" s="378" t="s">
        <v>297</v>
      </c>
      <c r="D189" s="57" t="s">
        <v>435</v>
      </c>
      <c r="E189" s="753"/>
      <c r="F189" s="57" t="s">
        <v>1355</v>
      </c>
      <c r="G189" s="753"/>
      <c r="H189" s="57" t="s">
        <v>1273</v>
      </c>
      <c r="I189" s="743"/>
      <c r="J189" s="744">
        <v>1404.1</v>
      </c>
      <c r="K189" s="743"/>
      <c r="L189" s="799">
        <v>4</v>
      </c>
      <c r="M189" s="743"/>
      <c r="N189" s="744" t="s">
        <v>1270</v>
      </c>
      <c r="O189" s="743"/>
      <c r="P189" s="755" t="s">
        <v>1356</v>
      </c>
      <c r="Q189" s="743"/>
      <c r="R189" s="755" t="s">
        <v>713</v>
      </c>
      <c r="S189" s="419"/>
      <c r="T189" s="378">
        <v>5</v>
      </c>
      <c r="U189" s="745"/>
      <c r="V189" s="746">
        <f t="shared" si="3"/>
        <v>3.51</v>
      </c>
      <c r="W189" s="332" t="s">
        <v>14</v>
      </c>
      <c r="X189" s="266" t="s">
        <v>14</v>
      </c>
      <c r="Y189" s="332" t="s">
        <v>14</v>
      </c>
      <c r="Z189" s="266" t="s">
        <v>14</v>
      </c>
      <c r="AA189" s="419"/>
      <c r="AB189" s="378" t="s">
        <v>1272</v>
      </c>
      <c r="AC189" s="419"/>
      <c r="AD189" s="677">
        <f t="shared" ref="AD189:AD197" si="6">IF(AND(LEFT(B189,9)="GuestRoom",F189="Hotel/Motel Guest Room",J189/L189&lt;500),L189*30)</f>
        <v>120</v>
      </c>
      <c r="AE189" s="419"/>
      <c r="AF189" s="197" t="s">
        <v>342</v>
      </c>
      <c r="AG189" s="332" t="s">
        <v>14</v>
      </c>
      <c r="AH189" s="266" t="s">
        <v>14</v>
      </c>
      <c r="AI189" s="419"/>
      <c r="AJ189" s="371" t="s">
        <v>822</v>
      </c>
      <c r="AK189" s="419"/>
      <c r="AL189" s="360" t="s">
        <v>823</v>
      </c>
    </row>
    <row r="190" spans="1:56" s="18" customFormat="1" x14ac:dyDescent="0.3">
      <c r="A190" s="403"/>
      <c r="B190" s="135" t="s">
        <v>1276</v>
      </c>
      <c r="C190" s="378" t="s">
        <v>297</v>
      </c>
      <c r="D190" s="57" t="s">
        <v>435</v>
      </c>
      <c r="E190" s="753"/>
      <c r="F190" s="57" t="s">
        <v>1355</v>
      </c>
      <c r="G190" s="753"/>
      <c r="H190" s="57" t="s">
        <v>1275</v>
      </c>
      <c r="I190" s="743"/>
      <c r="J190" s="744">
        <v>1134.0999999999999</v>
      </c>
      <c r="K190" s="743"/>
      <c r="L190" s="799">
        <v>3</v>
      </c>
      <c r="M190" s="743"/>
      <c r="N190" s="744" t="s">
        <v>1270</v>
      </c>
      <c r="O190" s="743"/>
      <c r="P190" s="755" t="s">
        <v>1356</v>
      </c>
      <c r="Q190" s="743"/>
      <c r="R190" s="755" t="s">
        <v>713</v>
      </c>
      <c r="S190" s="419"/>
      <c r="T190" s="378">
        <v>5</v>
      </c>
      <c r="U190" s="745"/>
      <c r="V190" s="746">
        <f t="shared" si="3"/>
        <v>2.84</v>
      </c>
      <c r="W190" s="332" t="s">
        <v>14</v>
      </c>
      <c r="X190" s="266" t="s">
        <v>14</v>
      </c>
      <c r="Y190" s="332" t="s">
        <v>14</v>
      </c>
      <c r="Z190" s="266" t="s">
        <v>14</v>
      </c>
      <c r="AA190" s="419"/>
      <c r="AB190" s="378" t="s">
        <v>1272</v>
      </c>
      <c r="AC190" s="419"/>
      <c r="AD190" s="677">
        <f t="shared" si="6"/>
        <v>90</v>
      </c>
      <c r="AE190" s="419"/>
      <c r="AF190" s="197" t="s">
        <v>342</v>
      </c>
      <c r="AG190" s="332" t="s">
        <v>14</v>
      </c>
      <c r="AH190" s="266" t="s">
        <v>14</v>
      </c>
      <c r="AI190" s="419"/>
      <c r="AJ190" s="371" t="s">
        <v>822</v>
      </c>
      <c r="AK190" s="419"/>
      <c r="AL190" s="360" t="s">
        <v>823</v>
      </c>
    </row>
    <row r="191" spans="1:56" s="18" customFormat="1" x14ac:dyDescent="0.3">
      <c r="A191" s="403"/>
      <c r="B191" s="135" t="s">
        <v>1278</v>
      </c>
      <c r="C191" s="378" t="s">
        <v>297</v>
      </c>
      <c r="D191" s="57" t="s">
        <v>435</v>
      </c>
      <c r="E191" s="753"/>
      <c r="F191" s="57" t="s">
        <v>1355</v>
      </c>
      <c r="G191" s="753"/>
      <c r="H191" s="57" t="s">
        <v>1277</v>
      </c>
      <c r="I191" s="743"/>
      <c r="J191" s="744">
        <v>1404.1</v>
      </c>
      <c r="K191" s="743"/>
      <c r="L191" s="799">
        <v>4</v>
      </c>
      <c r="M191" s="743"/>
      <c r="N191" s="744" t="s">
        <v>1270</v>
      </c>
      <c r="O191" s="743"/>
      <c r="P191" s="755" t="s">
        <v>1356</v>
      </c>
      <c r="Q191" s="743"/>
      <c r="R191" s="755" t="s">
        <v>713</v>
      </c>
      <c r="S191" s="419"/>
      <c r="T191" s="378">
        <v>5</v>
      </c>
      <c r="U191" s="745"/>
      <c r="V191" s="746">
        <f t="shared" si="3"/>
        <v>3.51</v>
      </c>
      <c r="W191" s="332" t="s">
        <v>14</v>
      </c>
      <c r="X191" s="266" t="s">
        <v>14</v>
      </c>
      <c r="Y191" s="332" t="s">
        <v>14</v>
      </c>
      <c r="Z191" s="266" t="s">
        <v>14</v>
      </c>
      <c r="AA191" s="419"/>
      <c r="AB191" s="378" t="s">
        <v>1272</v>
      </c>
      <c r="AC191" s="419"/>
      <c r="AD191" s="677">
        <f t="shared" si="6"/>
        <v>120</v>
      </c>
      <c r="AE191" s="419"/>
      <c r="AF191" s="197" t="s">
        <v>342</v>
      </c>
      <c r="AG191" s="332" t="s">
        <v>14</v>
      </c>
      <c r="AH191" s="266" t="s">
        <v>14</v>
      </c>
      <c r="AI191" s="419"/>
      <c r="AJ191" s="371" t="s">
        <v>822</v>
      </c>
      <c r="AK191" s="419"/>
      <c r="AL191" s="360" t="s">
        <v>823</v>
      </c>
    </row>
    <row r="192" spans="1:56" s="18" customFormat="1" x14ac:dyDescent="0.3">
      <c r="A192" s="403"/>
      <c r="B192" s="135" t="s">
        <v>1280</v>
      </c>
      <c r="C192" s="378" t="s">
        <v>297</v>
      </c>
      <c r="D192" s="57" t="s">
        <v>435</v>
      </c>
      <c r="E192" s="753"/>
      <c r="F192" s="57" t="s">
        <v>1355</v>
      </c>
      <c r="G192" s="753"/>
      <c r="H192" s="57" t="s">
        <v>1279</v>
      </c>
      <c r="I192" s="743"/>
      <c r="J192" s="744">
        <v>351</v>
      </c>
      <c r="K192" s="743"/>
      <c r="L192" s="799">
        <v>1</v>
      </c>
      <c r="M192" s="743"/>
      <c r="N192" s="744" t="s">
        <v>1270</v>
      </c>
      <c r="O192" s="743"/>
      <c r="P192" s="755" t="s">
        <v>1356</v>
      </c>
      <c r="Q192" s="743"/>
      <c r="R192" s="755" t="s">
        <v>713</v>
      </c>
      <c r="S192" s="419"/>
      <c r="T192" s="378">
        <v>5</v>
      </c>
      <c r="U192" s="745"/>
      <c r="V192" s="746">
        <f t="shared" si="3"/>
        <v>0.88</v>
      </c>
      <c r="W192" s="332" t="s">
        <v>14</v>
      </c>
      <c r="X192" s="266" t="s">
        <v>14</v>
      </c>
      <c r="Y192" s="332" t="s">
        <v>14</v>
      </c>
      <c r="Z192" s="266" t="s">
        <v>14</v>
      </c>
      <c r="AA192" s="419"/>
      <c r="AB192" s="378" t="s">
        <v>1272</v>
      </c>
      <c r="AC192" s="419"/>
      <c r="AD192" s="677">
        <f t="shared" si="6"/>
        <v>30</v>
      </c>
      <c r="AE192" s="419"/>
      <c r="AF192" s="197" t="s">
        <v>342</v>
      </c>
      <c r="AG192" s="332" t="s">
        <v>14</v>
      </c>
      <c r="AH192" s="266" t="s">
        <v>14</v>
      </c>
      <c r="AI192" s="419"/>
      <c r="AJ192" s="371" t="s">
        <v>822</v>
      </c>
      <c r="AK192" s="419"/>
      <c r="AL192" s="360" t="s">
        <v>823</v>
      </c>
    </row>
    <row r="193" spans="1:38" s="18" customFormat="1" x14ac:dyDescent="0.3">
      <c r="A193" s="403"/>
      <c r="B193" s="135" t="s">
        <v>1282</v>
      </c>
      <c r="C193" s="378" t="s">
        <v>297</v>
      </c>
      <c r="D193" s="57" t="s">
        <v>435</v>
      </c>
      <c r="E193" s="753"/>
      <c r="F193" s="57" t="s">
        <v>1355</v>
      </c>
      <c r="G193" s="753"/>
      <c r="H193" s="57" t="s">
        <v>1281</v>
      </c>
      <c r="I193" s="743"/>
      <c r="J193" s="744">
        <v>351</v>
      </c>
      <c r="K193" s="743"/>
      <c r="L193" s="799">
        <v>1</v>
      </c>
      <c r="M193" s="743"/>
      <c r="N193" s="744" t="s">
        <v>1270</v>
      </c>
      <c r="O193" s="743"/>
      <c r="P193" s="755" t="s">
        <v>1356</v>
      </c>
      <c r="Q193" s="743"/>
      <c r="R193" s="755" t="s">
        <v>713</v>
      </c>
      <c r="S193" s="419"/>
      <c r="T193" s="378">
        <v>5</v>
      </c>
      <c r="U193" s="745"/>
      <c r="V193" s="746">
        <f t="shared" si="3"/>
        <v>0.88</v>
      </c>
      <c r="W193" s="332" t="s">
        <v>14</v>
      </c>
      <c r="X193" s="266" t="s">
        <v>14</v>
      </c>
      <c r="Y193" s="332" t="s">
        <v>14</v>
      </c>
      <c r="Z193" s="266" t="s">
        <v>14</v>
      </c>
      <c r="AA193" s="419"/>
      <c r="AB193" s="378" t="s">
        <v>1272</v>
      </c>
      <c r="AC193" s="419"/>
      <c r="AD193" s="677">
        <f t="shared" si="6"/>
        <v>30</v>
      </c>
      <c r="AE193" s="419"/>
      <c r="AF193" s="197" t="s">
        <v>342</v>
      </c>
      <c r="AG193" s="332" t="s">
        <v>14</v>
      </c>
      <c r="AH193" s="266" t="s">
        <v>14</v>
      </c>
      <c r="AI193" s="419"/>
      <c r="AJ193" s="371" t="s">
        <v>822</v>
      </c>
      <c r="AK193" s="419"/>
      <c r="AL193" s="360" t="s">
        <v>823</v>
      </c>
    </row>
    <row r="194" spans="1:38" s="18" customFormat="1" x14ac:dyDescent="0.3">
      <c r="A194" s="403"/>
      <c r="B194" s="135" t="s">
        <v>1284</v>
      </c>
      <c r="C194" s="378" t="s">
        <v>297</v>
      </c>
      <c r="D194" s="57" t="s">
        <v>435</v>
      </c>
      <c r="E194" s="753"/>
      <c r="F194" s="57" t="s">
        <v>1355</v>
      </c>
      <c r="G194" s="753"/>
      <c r="H194" s="57" t="s">
        <v>1283</v>
      </c>
      <c r="I194" s="743"/>
      <c r="J194" s="744">
        <v>1404</v>
      </c>
      <c r="K194" s="743"/>
      <c r="L194" s="799">
        <v>4</v>
      </c>
      <c r="M194" s="743"/>
      <c r="N194" s="744" t="s">
        <v>1270</v>
      </c>
      <c r="O194" s="743"/>
      <c r="P194" s="755" t="s">
        <v>1356</v>
      </c>
      <c r="Q194" s="743"/>
      <c r="R194" s="755" t="s">
        <v>713</v>
      </c>
      <c r="S194" s="419"/>
      <c r="T194" s="378">
        <v>5</v>
      </c>
      <c r="U194" s="745"/>
      <c r="V194" s="746">
        <f t="shared" si="3"/>
        <v>3.51</v>
      </c>
      <c r="W194" s="332" t="s">
        <v>14</v>
      </c>
      <c r="X194" s="266" t="s">
        <v>14</v>
      </c>
      <c r="Y194" s="332" t="s">
        <v>14</v>
      </c>
      <c r="Z194" s="266" t="s">
        <v>14</v>
      </c>
      <c r="AA194" s="419"/>
      <c r="AB194" s="378" t="s">
        <v>1272</v>
      </c>
      <c r="AC194" s="419"/>
      <c r="AD194" s="677">
        <f t="shared" si="6"/>
        <v>120</v>
      </c>
      <c r="AE194" s="419"/>
      <c r="AF194" s="197" t="s">
        <v>342</v>
      </c>
      <c r="AG194" s="332" t="s">
        <v>14</v>
      </c>
      <c r="AH194" s="266" t="s">
        <v>14</v>
      </c>
      <c r="AI194" s="419"/>
      <c r="AJ194" s="371" t="s">
        <v>822</v>
      </c>
      <c r="AK194" s="419"/>
      <c r="AL194" s="360" t="s">
        <v>823</v>
      </c>
    </row>
    <row r="195" spans="1:38" s="18" customFormat="1" x14ac:dyDescent="0.3">
      <c r="A195" s="403"/>
      <c r="B195" s="135" t="s">
        <v>1286</v>
      </c>
      <c r="C195" s="378" t="s">
        <v>297</v>
      </c>
      <c r="D195" s="57" t="s">
        <v>435</v>
      </c>
      <c r="E195" s="753"/>
      <c r="F195" s="57" t="s">
        <v>1355</v>
      </c>
      <c r="G195" s="753"/>
      <c r="H195" s="57" t="s">
        <v>1285</v>
      </c>
      <c r="I195" s="743"/>
      <c r="J195" s="744">
        <v>351</v>
      </c>
      <c r="K195" s="743"/>
      <c r="L195" s="799">
        <v>1</v>
      </c>
      <c r="M195" s="743"/>
      <c r="N195" s="744" t="s">
        <v>1270</v>
      </c>
      <c r="O195" s="743"/>
      <c r="P195" s="755" t="s">
        <v>1356</v>
      </c>
      <c r="Q195" s="743"/>
      <c r="R195" s="755" t="s">
        <v>713</v>
      </c>
      <c r="S195" s="419"/>
      <c r="T195" s="378">
        <v>5</v>
      </c>
      <c r="U195" s="745"/>
      <c r="V195" s="746">
        <f t="shared" si="3"/>
        <v>0.88</v>
      </c>
      <c r="W195" s="332" t="s">
        <v>14</v>
      </c>
      <c r="X195" s="266" t="s">
        <v>14</v>
      </c>
      <c r="Y195" s="332" t="s">
        <v>14</v>
      </c>
      <c r="Z195" s="266" t="s">
        <v>14</v>
      </c>
      <c r="AA195" s="419"/>
      <c r="AB195" s="378" t="s">
        <v>1272</v>
      </c>
      <c r="AC195" s="419"/>
      <c r="AD195" s="677">
        <f t="shared" si="6"/>
        <v>30</v>
      </c>
      <c r="AE195" s="419"/>
      <c r="AF195" s="197" t="s">
        <v>342</v>
      </c>
      <c r="AG195" s="332" t="s">
        <v>14</v>
      </c>
      <c r="AH195" s="266" t="s">
        <v>14</v>
      </c>
      <c r="AI195" s="419"/>
      <c r="AJ195" s="371" t="s">
        <v>822</v>
      </c>
      <c r="AK195" s="419"/>
      <c r="AL195" s="360" t="s">
        <v>823</v>
      </c>
    </row>
    <row r="196" spans="1:38" s="18" customFormat="1" x14ac:dyDescent="0.3">
      <c r="A196" s="403"/>
      <c r="B196" s="135" t="s">
        <v>1288</v>
      </c>
      <c r="C196" s="378" t="s">
        <v>297</v>
      </c>
      <c r="D196" s="57" t="s">
        <v>435</v>
      </c>
      <c r="E196" s="753"/>
      <c r="F196" s="57" t="s">
        <v>1355</v>
      </c>
      <c r="G196" s="753"/>
      <c r="H196" s="57" t="s">
        <v>1287</v>
      </c>
      <c r="I196" s="743"/>
      <c r="J196" s="744">
        <v>1404</v>
      </c>
      <c r="K196" s="743"/>
      <c r="L196" s="799">
        <v>4</v>
      </c>
      <c r="M196" s="743"/>
      <c r="N196" s="744" t="s">
        <v>1270</v>
      </c>
      <c r="O196" s="743"/>
      <c r="P196" s="755" t="s">
        <v>1356</v>
      </c>
      <c r="Q196" s="743"/>
      <c r="R196" s="755" t="s">
        <v>713</v>
      </c>
      <c r="S196" s="419"/>
      <c r="T196" s="378">
        <v>5</v>
      </c>
      <c r="U196" s="745"/>
      <c r="V196" s="746">
        <f t="shared" si="3"/>
        <v>3.51</v>
      </c>
      <c r="W196" s="332" t="s">
        <v>14</v>
      </c>
      <c r="X196" s="266" t="s">
        <v>14</v>
      </c>
      <c r="Y196" s="332" t="s">
        <v>14</v>
      </c>
      <c r="Z196" s="266" t="s">
        <v>14</v>
      </c>
      <c r="AA196" s="419"/>
      <c r="AB196" s="378" t="s">
        <v>1272</v>
      </c>
      <c r="AC196" s="419"/>
      <c r="AD196" s="677">
        <f t="shared" si="6"/>
        <v>120</v>
      </c>
      <c r="AE196" s="419"/>
      <c r="AF196" s="197" t="s">
        <v>342</v>
      </c>
      <c r="AG196" s="332" t="s">
        <v>14</v>
      </c>
      <c r="AH196" s="266" t="s">
        <v>14</v>
      </c>
      <c r="AI196" s="419"/>
      <c r="AJ196" s="371" t="s">
        <v>822</v>
      </c>
      <c r="AK196" s="419"/>
      <c r="AL196" s="360" t="s">
        <v>823</v>
      </c>
    </row>
    <row r="197" spans="1:38" s="18" customFormat="1" x14ac:dyDescent="0.3">
      <c r="A197" s="403"/>
      <c r="B197" s="135" t="s">
        <v>1290</v>
      </c>
      <c r="C197" s="378" t="s">
        <v>297</v>
      </c>
      <c r="D197" s="57" t="s">
        <v>435</v>
      </c>
      <c r="E197" s="753"/>
      <c r="F197" s="57" t="s">
        <v>1355</v>
      </c>
      <c r="G197" s="753"/>
      <c r="H197" s="57" t="s">
        <v>1289</v>
      </c>
      <c r="I197" s="743"/>
      <c r="J197" s="744">
        <v>351</v>
      </c>
      <c r="K197" s="743"/>
      <c r="L197" s="799">
        <v>1</v>
      </c>
      <c r="M197" s="743"/>
      <c r="N197" s="744" t="s">
        <v>1270</v>
      </c>
      <c r="O197" s="743"/>
      <c r="P197" s="755" t="s">
        <v>1356</v>
      </c>
      <c r="Q197" s="743"/>
      <c r="R197" s="755" t="s">
        <v>713</v>
      </c>
      <c r="S197" s="419"/>
      <c r="T197" s="378">
        <v>5</v>
      </c>
      <c r="U197" s="745"/>
      <c r="V197" s="746">
        <f t="shared" si="3"/>
        <v>0.88</v>
      </c>
      <c r="W197" s="332" t="s">
        <v>14</v>
      </c>
      <c r="X197" s="266" t="s">
        <v>14</v>
      </c>
      <c r="Y197" s="332" t="s">
        <v>14</v>
      </c>
      <c r="Z197" s="266" t="s">
        <v>14</v>
      </c>
      <c r="AA197" s="419"/>
      <c r="AB197" s="378" t="s">
        <v>1272</v>
      </c>
      <c r="AC197" s="419"/>
      <c r="AD197" s="677">
        <f t="shared" si="6"/>
        <v>30</v>
      </c>
      <c r="AE197" s="419"/>
      <c r="AF197" s="197" t="s">
        <v>342</v>
      </c>
      <c r="AG197" s="332" t="s">
        <v>14</v>
      </c>
      <c r="AH197" s="266" t="s">
        <v>14</v>
      </c>
      <c r="AI197" s="419"/>
      <c r="AJ197" s="371" t="s">
        <v>822</v>
      </c>
      <c r="AK197" s="419"/>
      <c r="AL197" s="360" t="s">
        <v>823</v>
      </c>
    </row>
    <row r="198" spans="1:38" s="18" customFormat="1" x14ac:dyDescent="0.3">
      <c r="A198" s="403"/>
      <c r="B198" s="135" t="s">
        <v>1296</v>
      </c>
      <c r="C198" s="378" t="s">
        <v>297</v>
      </c>
      <c r="D198" s="57" t="s">
        <v>435</v>
      </c>
      <c r="E198" s="753"/>
      <c r="F198" s="57" t="s">
        <v>1355</v>
      </c>
      <c r="G198" s="753"/>
      <c r="H198" s="57" t="s">
        <v>1256</v>
      </c>
      <c r="I198" s="743"/>
      <c r="J198" s="744">
        <v>351</v>
      </c>
      <c r="K198" s="743"/>
      <c r="L198" s="799">
        <v>1</v>
      </c>
      <c r="M198" s="743"/>
      <c r="N198" s="744" t="s">
        <v>1214</v>
      </c>
      <c r="O198" s="743"/>
      <c r="P198" s="755" t="s">
        <v>1356</v>
      </c>
      <c r="Q198" s="743"/>
      <c r="R198" s="755" t="s">
        <v>1357</v>
      </c>
      <c r="S198" s="419"/>
      <c r="T198" s="378">
        <v>5</v>
      </c>
      <c r="U198" s="745"/>
      <c r="V198" s="746">
        <f t="shared" si="3"/>
        <v>0.88</v>
      </c>
      <c r="W198" s="332" t="s">
        <v>14</v>
      </c>
      <c r="X198" s="266" t="s">
        <v>14</v>
      </c>
      <c r="Y198" s="332" t="s">
        <v>14</v>
      </c>
      <c r="Z198" s="266" t="s">
        <v>14</v>
      </c>
      <c r="AA198" s="419"/>
      <c r="AB198" s="378" t="s">
        <v>1272</v>
      </c>
      <c r="AC198" s="419"/>
      <c r="AD198" s="369">
        <v>50</v>
      </c>
      <c r="AE198" s="419"/>
      <c r="AF198" s="197" t="s">
        <v>342</v>
      </c>
      <c r="AG198" s="419"/>
      <c r="AH198" s="378">
        <v>50</v>
      </c>
      <c r="AI198" s="419"/>
      <c r="AJ198" s="371" t="s">
        <v>822</v>
      </c>
      <c r="AK198" s="419"/>
      <c r="AL198" s="360" t="s">
        <v>823</v>
      </c>
    </row>
    <row r="199" spans="1:38" s="18" customFormat="1" x14ac:dyDescent="0.3">
      <c r="A199" s="403"/>
      <c r="B199" s="135" t="s">
        <v>1297</v>
      </c>
      <c r="C199" s="378" t="s">
        <v>297</v>
      </c>
      <c r="D199" s="57" t="s">
        <v>435</v>
      </c>
      <c r="E199" s="753"/>
      <c r="F199" s="57" t="s">
        <v>1355</v>
      </c>
      <c r="G199" s="753"/>
      <c r="H199" s="57" t="s">
        <v>1257</v>
      </c>
      <c r="I199" s="743"/>
      <c r="J199" s="744">
        <v>1404.1</v>
      </c>
      <c r="K199" s="743"/>
      <c r="L199" s="799">
        <v>4</v>
      </c>
      <c r="M199" s="743"/>
      <c r="N199" s="744" t="s">
        <v>1214</v>
      </c>
      <c r="O199" s="743"/>
      <c r="P199" s="755" t="s">
        <v>1356</v>
      </c>
      <c r="Q199" s="743"/>
      <c r="R199" s="755" t="s">
        <v>1357</v>
      </c>
      <c r="S199" s="419"/>
      <c r="T199" s="378">
        <v>5</v>
      </c>
      <c r="U199" s="745"/>
      <c r="V199" s="746">
        <f t="shared" si="3"/>
        <v>3.51</v>
      </c>
      <c r="W199" s="332" t="s">
        <v>14</v>
      </c>
      <c r="X199" s="266" t="s">
        <v>14</v>
      </c>
      <c r="Y199" s="332" t="s">
        <v>14</v>
      </c>
      <c r="Z199" s="266" t="s">
        <v>14</v>
      </c>
      <c r="AA199" s="419"/>
      <c r="AB199" s="378" t="s">
        <v>1272</v>
      </c>
      <c r="AC199" s="419"/>
      <c r="AD199" s="677">
        <f>IF(AND(LEFT(B199,9)="GuestRoom",F199="Hotel/Motel Guest Room",J199/L199&lt;500),L199*30)</f>
        <v>120</v>
      </c>
      <c r="AE199" s="419"/>
      <c r="AF199" s="197" t="s">
        <v>342</v>
      </c>
      <c r="AG199" s="419"/>
      <c r="AH199" s="378">
        <v>120</v>
      </c>
      <c r="AI199" s="419"/>
      <c r="AJ199" s="371" t="s">
        <v>822</v>
      </c>
      <c r="AK199" s="419"/>
      <c r="AL199" s="360" t="s">
        <v>823</v>
      </c>
    </row>
    <row r="200" spans="1:38" s="18" customFormat="1" x14ac:dyDescent="0.3">
      <c r="A200" s="403"/>
      <c r="B200" s="135" t="s">
        <v>1298</v>
      </c>
      <c r="C200" s="378" t="s">
        <v>297</v>
      </c>
      <c r="D200" s="57" t="s">
        <v>435</v>
      </c>
      <c r="E200" s="753"/>
      <c r="F200" s="57" t="s">
        <v>1355</v>
      </c>
      <c r="G200" s="753"/>
      <c r="H200" s="57" t="s">
        <v>1258</v>
      </c>
      <c r="I200" s="743"/>
      <c r="J200" s="744">
        <v>1134.0999999999999</v>
      </c>
      <c r="K200" s="743"/>
      <c r="L200" s="799">
        <v>3</v>
      </c>
      <c r="M200" s="743"/>
      <c r="N200" s="744" t="s">
        <v>1214</v>
      </c>
      <c r="O200" s="743"/>
      <c r="P200" s="755" t="s">
        <v>1356</v>
      </c>
      <c r="Q200" s="743"/>
      <c r="R200" s="755" t="s">
        <v>1357</v>
      </c>
      <c r="S200" s="419"/>
      <c r="T200" s="378">
        <v>5</v>
      </c>
      <c r="U200" s="745"/>
      <c r="V200" s="746">
        <f t="shared" si="3"/>
        <v>2.84</v>
      </c>
      <c r="W200" s="332" t="s">
        <v>14</v>
      </c>
      <c r="X200" s="266" t="s">
        <v>14</v>
      </c>
      <c r="Y200" s="332" t="s">
        <v>14</v>
      </c>
      <c r="Z200" s="266" t="s">
        <v>14</v>
      </c>
      <c r="AA200" s="419"/>
      <c r="AB200" s="378" t="s">
        <v>1272</v>
      </c>
      <c r="AC200" s="419"/>
      <c r="AD200" s="677">
        <f t="shared" ref="AD200:AD207" si="7">IF(AND(LEFT(B200,9)="GuestRoom",F200="Hotel/Motel Guest Room",J200/L200&lt;500),L200*30)</f>
        <v>90</v>
      </c>
      <c r="AE200" s="419"/>
      <c r="AF200" s="197" t="s">
        <v>342</v>
      </c>
      <c r="AG200" s="419"/>
      <c r="AH200" s="378">
        <v>90</v>
      </c>
      <c r="AI200" s="419"/>
      <c r="AJ200" s="371" t="s">
        <v>822</v>
      </c>
      <c r="AK200" s="419"/>
      <c r="AL200" s="360" t="s">
        <v>823</v>
      </c>
    </row>
    <row r="201" spans="1:38" s="18" customFormat="1" x14ac:dyDescent="0.3">
      <c r="A201" s="403"/>
      <c r="B201" s="135" t="s">
        <v>1299</v>
      </c>
      <c r="C201" s="378" t="s">
        <v>297</v>
      </c>
      <c r="D201" s="57" t="s">
        <v>435</v>
      </c>
      <c r="E201" s="753"/>
      <c r="F201" s="57" t="s">
        <v>1355</v>
      </c>
      <c r="G201" s="753"/>
      <c r="H201" s="57" t="s">
        <v>1259</v>
      </c>
      <c r="I201" s="743"/>
      <c r="J201" s="744">
        <v>1404.1</v>
      </c>
      <c r="K201" s="743"/>
      <c r="L201" s="799">
        <v>4</v>
      </c>
      <c r="M201" s="743"/>
      <c r="N201" s="744" t="s">
        <v>1214</v>
      </c>
      <c r="O201" s="743"/>
      <c r="P201" s="755" t="s">
        <v>1356</v>
      </c>
      <c r="Q201" s="743"/>
      <c r="R201" s="755" t="s">
        <v>1357</v>
      </c>
      <c r="S201" s="419"/>
      <c r="T201" s="378">
        <v>5</v>
      </c>
      <c r="U201" s="745"/>
      <c r="V201" s="746">
        <f t="shared" si="3"/>
        <v>3.51</v>
      </c>
      <c r="W201" s="332" t="s">
        <v>14</v>
      </c>
      <c r="X201" s="266" t="s">
        <v>14</v>
      </c>
      <c r="Y201" s="332" t="s">
        <v>14</v>
      </c>
      <c r="Z201" s="266" t="s">
        <v>14</v>
      </c>
      <c r="AA201" s="419"/>
      <c r="AB201" s="378" t="s">
        <v>1272</v>
      </c>
      <c r="AC201" s="419"/>
      <c r="AD201" s="677">
        <f t="shared" si="7"/>
        <v>120</v>
      </c>
      <c r="AE201" s="419"/>
      <c r="AF201" s="197" t="s">
        <v>342</v>
      </c>
      <c r="AG201" s="419"/>
      <c r="AH201" s="378">
        <v>120</v>
      </c>
      <c r="AI201" s="419"/>
      <c r="AJ201" s="371" t="s">
        <v>822</v>
      </c>
      <c r="AK201" s="419"/>
      <c r="AL201" s="360" t="s">
        <v>823</v>
      </c>
    </row>
    <row r="202" spans="1:38" s="18" customFormat="1" x14ac:dyDescent="0.3">
      <c r="A202" s="403"/>
      <c r="B202" s="135" t="s">
        <v>1300</v>
      </c>
      <c r="C202" s="378" t="s">
        <v>297</v>
      </c>
      <c r="D202" s="57" t="s">
        <v>435</v>
      </c>
      <c r="E202" s="753"/>
      <c r="F202" s="57" t="s">
        <v>1355</v>
      </c>
      <c r="G202" s="753"/>
      <c r="H202" s="57" t="s">
        <v>1260</v>
      </c>
      <c r="I202" s="743"/>
      <c r="J202" s="744">
        <v>351</v>
      </c>
      <c r="K202" s="743"/>
      <c r="L202" s="799">
        <v>1</v>
      </c>
      <c r="M202" s="743"/>
      <c r="N202" s="744" t="s">
        <v>1214</v>
      </c>
      <c r="O202" s="743"/>
      <c r="P202" s="755" t="s">
        <v>1356</v>
      </c>
      <c r="Q202" s="743"/>
      <c r="R202" s="755" t="s">
        <v>1357</v>
      </c>
      <c r="S202" s="419"/>
      <c r="T202" s="378">
        <v>5</v>
      </c>
      <c r="U202" s="745"/>
      <c r="V202" s="746">
        <f t="shared" si="3"/>
        <v>0.88</v>
      </c>
      <c r="W202" s="332" t="s">
        <v>14</v>
      </c>
      <c r="X202" s="266" t="s">
        <v>14</v>
      </c>
      <c r="Y202" s="332" t="s">
        <v>14</v>
      </c>
      <c r="Z202" s="266" t="s">
        <v>14</v>
      </c>
      <c r="AA202" s="419"/>
      <c r="AB202" s="378" t="s">
        <v>1272</v>
      </c>
      <c r="AC202" s="419"/>
      <c r="AD202" s="677">
        <f t="shared" si="7"/>
        <v>30</v>
      </c>
      <c r="AE202" s="419"/>
      <c r="AF202" s="197" t="s">
        <v>342</v>
      </c>
      <c r="AG202" s="419"/>
      <c r="AH202" s="378">
        <v>30</v>
      </c>
      <c r="AI202" s="419"/>
      <c r="AJ202" s="371" t="s">
        <v>822</v>
      </c>
      <c r="AK202" s="419"/>
      <c r="AL202" s="360" t="s">
        <v>823</v>
      </c>
    </row>
    <row r="203" spans="1:38" s="18" customFormat="1" x14ac:dyDescent="0.3">
      <c r="A203" s="403"/>
      <c r="B203" s="135" t="s">
        <v>1301</v>
      </c>
      <c r="C203" s="378" t="s">
        <v>297</v>
      </c>
      <c r="D203" s="57" t="s">
        <v>435</v>
      </c>
      <c r="E203" s="753"/>
      <c r="F203" s="57" t="s">
        <v>1355</v>
      </c>
      <c r="G203" s="753"/>
      <c r="H203" s="57" t="s">
        <v>1261</v>
      </c>
      <c r="I203" s="743"/>
      <c r="J203" s="744">
        <v>351</v>
      </c>
      <c r="K203" s="743"/>
      <c r="L203" s="799">
        <v>1</v>
      </c>
      <c r="M203" s="743"/>
      <c r="N203" s="744" t="s">
        <v>1214</v>
      </c>
      <c r="O203" s="743"/>
      <c r="P203" s="755" t="s">
        <v>1356</v>
      </c>
      <c r="Q203" s="743"/>
      <c r="R203" s="755" t="s">
        <v>1357</v>
      </c>
      <c r="S203" s="419"/>
      <c r="T203" s="378">
        <v>5</v>
      </c>
      <c r="U203" s="745"/>
      <c r="V203" s="746">
        <f t="shared" si="3"/>
        <v>0.88</v>
      </c>
      <c r="W203" s="332" t="s">
        <v>14</v>
      </c>
      <c r="X203" s="266" t="s">
        <v>14</v>
      </c>
      <c r="Y203" s="332" t="s">
        <v>14</v>
      </c>
      <c r="Z203" s="266" t="s">
        <v>14</v>
      </c>
      <c r="AA203" s="419"/>
      <c r="AB203" s="378" t="s">
        <v>1272</v>
      </c>
      <c r="AC203" s="419"/>
      <c r="AD203" s="677">
        <f t="shared" si="7"/>
        <v>30</v>
      </c>
      <c r="AE203" s="419"/>
      <c r="AF203" s="197" t="s">
        <v>342</v>
      </c>
      <c r="AG203" s="419"/>
      <c r="AH203" s="378">
        <v>30</v>
      </c>
      <c r="AI203" s="419"/>
      <c r="AJ203" s="371" t="s">
        <v>822</v>
      </c>
      <c r="AK203" s="419"/>
      <c r="AL203" s="360" t="s">
        <v>823</v>
      </c>
    </row>
    <row r="204" spans="1:38" s="18" customFormat="1" x14ac:dyDescent="0.3">
      <c r="A204" s="403"/>
      <c r="B204" s="135" t="s">
        <v>1302</v>
      </c>
      <c r="C204" s="378" t="s">
        <v>297</v>
      </c>
      <c r="D204" s="57" t="s">
        <v>435</v>
      </c>
      <c r="E204" s="753"/>
      <c r="F204" s="57" t="s">
        <v>1355</v>
      </c>
      <c r="G204" s="753"/>
      <c r="H204" s="57" t="s">
        <v>1262</v>
      </c>
      <c r="I204" s="743"/>
      <c r="J204" s="744">
        <v>1404</v>
      </c>
      <c r="K204" s="743"/>
      <c r="L204" s="799">
        <v>4</v>
      </c>
      <c r="M204" s="743"/>
      <c r="N204" s="744" t="s">
        <v>1214</v>
      </c>
      <c r="O204" s="743"/>
      <c r="P204" s="755" t="s">
        <v>1356</v>
      </c>
      <c r="Q204" s="743"/>
      <c r="R204" s="755" t="s">
        <v>1357</v>
      </c>
      <c r="S204" s="419"/>
      <c r="T204" s="378">
        <v>5</v>
      </c>
      <c r="U204" s="745"/>
      <c r="V204" s="746">
        <f t="shared" si="3"/>
        <v>3.51</v>
      </c>
      <c r="W204" s="332" t="s">
        <v>14</v>
      </c>
      <c r="X204" s="266" t="s">
        <v>14</v>
      </c>
      <c r="Y204" s="332" t="s">
        <v>14</v>
      </c>
      <c r="Z204" s="266" t="s">
        <v>14</v>
      </c>
      <c r="AA204" s="419"/>
      <c r="AB204" s="378" t="s">
        <v>1272</v>
      </c>
      <c r="AC204" s="419"/>
      <c r="AD204" s="677">
        <f t="shared" si="7"/>
        <v>120</v>
      </c>
      <c r="AE204" s="419"/>
      <c r="AF204" s="197" t="s">
        <v>342</v>
      </c>
      <c r="AG204" s="419"/>
      <c r="AH204" s="378">
        <v>120</v>
      </c>
      <c r="AI204" s="419"/>
      <c r="AJ204" s="371" t="s">
        <v>822</v>
      </c>
      <c r="AK204" s="419"/>
      <c r="AL204" s="360" t="s">
        <v>823</v>
      </c>
    </row>
    <row r="205" spans="1:38" s="18" customFormat="1" x14ac:dyDescent="0.3">
      <c r="A205" s="403"/>
      <c r="B205" s="135" t="s">
        <v>1303</v>
      </c>
      <c r="C205" s="378" t="s">
        <v>297</v>
      </c>
      <c r="D205" s="57" t="s">
        <v>435</v>
      </c>
      <c r="E205" s="753"/>
      <c r="F205" s="57" t="s">
        <v>1355</v>
      </c>
      <c r="G205" s="753"/>
      <c r="H205" s="57" t="s">
        <v>1263</v>
      </c>
      <c r="I205" s="743"/>
      <c r="J205" s="744">
        <v>351</v>
      </c>
      <c r="K205" s="743"/>
      <c r="L205" s="799">
        <v>1</v>
      </c>
      <c r="M205" s="743"/>
      <c r="N205" s="744" t="s">
        <v>1214</v>
      </c>
      <c r="O205" s="743"/>
      <c r="P205" s="755" t="s">
        <v>1356</v>
      </c>
      <c r="Q205" s="743"/>
      <c r="R205" s="755" t="s">
        <v>1357</v>
      </c>
      <c r="S205" s="419"/>
      <c r="T205" s="378">
        <v>5</v>
      </c>
      <c r="U205" s="745"/>
      <c r="V205" s="746">
        <f t="shared" si="3"/>
        <v>0.88</v>
      </c>
      <c r="W205" s="332" t="s">
        <v>14</v>
      </c>
      <c r="X205" s="266" t="s">
        <v>14</v>
      </c>
      <c r="Y205" s="332" t="s">
        <v>14</v>
      </c>
      <c r="Z205" s="266" t="s">
        <v>14</v>
      </c>
      <c r="AA205" s="419"/>
      <c r="AB205" s="378" t="s">
        <v>1272</v>
      </c>
      <c r="AC205" s="419"/>
      <c r="AD205" s="677">
        <f t="shared" si="7"/>
        <v>30</v>
      </c>
      <c r="AE205" s="419"/>
      <c r="AF205" s="197" t="s">
        <v>342</v>
      </c>
      <c r="AG205" s="419"/>
      <c r="AH205" s="378">
        <v>30</v>
      </c>
      <c r="AI205" s="419"/>
      <c r="AJ205" s="371" t="s">
        <v>822</v>
      </c>
      <c r="AK205" s="419"/>
      <c r="AL205" s="360" t="s">
        <v>823</v>
      </c>
    </row>
    <row r="206" spans="1:38" s="18" customFormat="1" x14ac:dyDescent="0.3">
      <c r="A206" s="403"/>
      <c r="B206" s="135" t="s">
        <v>1304</v>
      </c>
      <c r="C206" s="378" t="s">
        <v>297</v>
      </c>
      <c r="D206" s="57" t="s">
        <v>435</v>
      </c>
      <c r="E206" s="753"/>
      <c r="F206" s="57" t="s">
        <v>1355</v>
      </c>
      <c r="G206" s="753"/>
      <c r="H206" s="57" t="s">
        <v>1264</v>
      </c>
      <c r="I206" s="743"/>
      <c r="J206" s="744">
        <v>1404</v>
      </c>
      <c r="K206" s="743"/>
      <c r="L206" s="799">
        <v>4</v>
      </c>
      <c r="M206" s="743"/>
      <c r="N206" s="744" t="s">
        <v>1214</v>
      </c>
      <c r="O206" s="743"/>
      <c r="P206" s="755" t="s">
        <v>1356</v>
      </c>
      <c r="Q206" s="743"/>
      <c r="R206" s="755" t="s">
        <v>1357</v>
      </c>
      <c r="S206" s="419"/>
      <c r="T206" s="378">
        <v>5</v>
      </c>
      <c r="U206" s="745"/>
      <c r="V206" s="746">
        <f t="shared" si="3"/>
        <v>3.51</v>
      </c>
      <c r="W206" s="332" t="s">
        <v>14</v>
      </c>
      <c r="X206" s="266" t="s">
        <v>14</v>
      </c>
      <c r="Y206" s="332" t="s">
        <v>14</v>
      </c>
      <c r="Z206" s="266" t="s">
        <v>14</v>
      </c>
      <c r="AA206" s="419"/>
      <c r="AB206" s="378" t="s">
        <v>1272</v>
      </c>
      <c r="AC206" s="419"/>
      <c r="AD206" s="677">
        <f t="shared" si="7"/>
        <v>120</v>
      </c>
      <c r="AE206" s="419"/>
      <c r="AF206" s="197" t="s">
        <v>342</v>
      </c>
      <c r="AG206" s="419"/>
      <c r="AH206" s="378">
        <v>120</v>
      </c>
      <c r="AI206" s="419"/>
      <c r="AJ206" s="371" t="s">
        <v>822</v>
      </c>
      <c r="AK206" s="419"/>
      <c r="AL206" s="360" t="s">
        <v>823</v>
      </c>
    </row>
    <row r="207" spans="1:38" s="18" customFormat="1" x14ac:dyDescent="0.3">
      <c r="A207" s="403"/>
      <c r="B207" s="316" t="s">
        <v>1305</v>
      </c>
      <c r="C207" s="158" t="s">
        <v>297</v>
      </c>
      <c r="D207" s="476" t="s">
        <v>435</v>
      </c>
      <c r="E207" s="756"/>
      <c r="F207" s="476" t="s">
        <v>1355</v>
      </c>
      <c r="G207" s="756"/>
      <c r="H207" s="476" t="s">
        <v>1265</v>
      </c>
      <c r="I207" s="747"/>
      <c r="J207" s="748">
        <v>351</v>
      </c>
      <c r="K207" s="747"/>
      <c r="L207" s="800">
        <v>1</v>
      </c>
      <c r="M207" s="747"/>
      <c r="N207" s="748" t="s">
        <v>1214</v>
      </c>
      <c r="O207" s="747"/>
      <c r="P207" s="757" t="s">
        <v>1356</v>
      </c>
      <c r="Q207" s="747"/>
      <c r="R207" s="757" t="s">
        <v>1357</v>
      </c>
      <c r="S207" s="417"/>
      <c r="T207" s="158">
        <v>5</v>
      </c>
      <c r="U207" s="749"/>
      <c r="V207" s="750">
        <f t="shared" si="3"/>
        <v>0.88</v>
      </c>
      <c r="W207" s="333" t="s">
        <v>14</v>
      </c>
      <c r="X207" s="273" t="s">
        <v>14</v>
      </c>
      <c r="Y207" s="333" t="s">
        <v>14</v>
      </c>
      <c r="Z207" s="273" t="s">
        <v>14</v>
      </c>
      <c r="AA207" s="417"/>
      <c r="AB207" s="158" t="s">
        <v>1272</v>
      </c>
      <c r="AC207" s="417"/>
      <c r="AD207" s="663">
        <f t="shared" si="7"/>
        <v>30</v>
      </c>
      <c r="AE207" s="417"/>
      <c r="AF207" s="199" t="s">
        <v>342</v>
      </c>
      <c r="AG207" s="417"/>
      <c r="AH207" s="158">
        <v>30</v>
      </c>
      <c r="AI207" s="417"/>
      <c r="AJ207" s="160" t="s">
        <v>822</v>
      </c>
      <c r="AK207" s="417"/>
      <c r="AL207" s="654" t="s">
        <v>823</v>
      </c>
    </row>
    <row r="208" spans="1:38" s="18" customFormat="1" x14ac:dyDescent="0.3">
      <c r="A208" s="403"/>
      <c r="B208" s="378"/>
      <c r="C208" s="378"/>
      <c r="D208" s="378"/>
      <c r="E208" s="378"/>
      <c r="F208" s="378"/>
      <c r="G208" s="378"/>
      <c r="H208" s="378"/>
      <c r="I208" s="378"/>
      <c r="J208" s="378"/>
      <c r="K208" s="378"/>
      <c r="L208" s="378"/>
      <c r="M208" s="378"/>
      <c r="N208" s="378"/>
      <c r="O208" s="378"/>
      <c r="P208" s="378"/>
      <c r="Q208" s="378"/>
      <c r="R208" s="378"/>
      <c r="S208" s="378"/>
      <c r="T208" s="378"/>
      <c r="U208" s="378"/>
      <c r="V208" s="378"/>
      <c r="W208" s="378"/>
      <c r="X208" s="378"/>
      <c r="Y208" s="378"/>
      <c r="Z208" s="378"/>
      <c r="AA208" s="378"/>
      <c r="AB208" s="378"/>
      <c r="AC208" s="378"/>
      <c r="AD208" s="378"/>
      <c r="AE208" s="378"/>
      <c r="AF208" s="378"/>
    </row>
    <row r="209" spans="1:26" s="621" customFormat="1" ht="14.4" x14ac:dyDescent="0.3">
      <c r="I209" s="627"/>
      <c r="M209" s="627"/>
      <c r="O209" s="657"/>
      <c r="P209" s="641"/>
      <c r="Q209" s="403"/>
      <c r="R209" s="403"/>
      <c r="S209" s="403"/>
      <c r="T209" s="403"/>
    </row>
    <row r="210" spans="1:26" s="397" customFormat="1" ht="14.4" x14ac:dyDescent="0.3">
      <c r="A210" s="26"/>
      <c r="B210" s="28" t="s">
        <v>487</v>
      </c>
      <c r="E210" s="362"/>
      <c r="G210" s="362"/>
      <c r="I210" s="362"/>
      <c r="K210" s="362"/>
      <c r="M210" s="362"/>
      <c r="O210" s="121"/>
      <c r="P210" s="111"/>
      <c r="Q210" s="82"/>
      <c r="R210" s="82"/>
      <c r="S210" s="82"/>
      <c r="T210" s="82"/>
      <c r="U210" s="363"/>
      <c r="V210" s="363"/>
      <c r="W210" s="363"/>
      <c r="X210" s="363"/>
    </row>
    <row r="211" spans="1:26" s="397" customFormat="1" ht="27.6" x14ac:dyDescent="0.3">
      <c r="B211" s="108" t="s">
        <v>488</v>
      </c>
      <c r="C211" s="112"/>
      <c r="D211" s="113" t="s">
        <v>433</v>
      </c>
      <c r="E211" s="231"/>
      <c r="F211" s="109" t="s">
        <v>836</v>
      </c>
      <c r="G211" s="210"/>
      <c r="H211" s="116" t="s">
        <v>489</v>
      </c>
      <c r="I211" s="231"/>
      <c r="J211" s="109" t="s">
        <v>490</v>
      </c>
      <c r="K211" s="455"/>
      <c r="L211" s="456" t="s">
        <v>491</v>
      </c>
      <c r="M211" s="231"/>
      <c r="N211" s="109" t="s">
        <v>739</v>
      </c>
      <c r="O211" s="121"/>
      <c r="P211" s="111"/>
      <c r="U211" s="363"/>
      <c r="V211" s="363"/>
      <c r="W211" s="363"/>
      <c r="X211" s="363"/>
    </row>
    <row r="212" spans="1:26" s="397" customFormat="1" ht="15" thickBot="1" x14ac:dyDescent="0.35">
      <c r="B212" s="212"/>
      <c r="C212" s="118"/>
      <c r="D212" s="172"/>
      <c r="E212" s="375"/>
      <c r="F212" s="355" t="s">
        <v>1057</v>
      </c>
      <c r="G212" s="376"/>
      <c r="H212" s="354" t="s">
        <v>1058</v>
      </c>
      <c r="I212" s="230"/>
      <c r="J212" s="355" t="s">
        <v>1059</v>
      </c>
      <c r="K212" s="211"/>
      <c r="L212" s="354" t="s">
        <v>611</v>
      </c>
      <c r="M212" s="230"/>
      <c r="N212" s="355" t="s">
        <v>1060</v>
      </c>
      <c r="O212" s="121"/>
      <c r="P212" s="111"/>
      <c r="U212" s="363"/>
      <c r="V212" s="363"/>
      <c r="W212" s="363"/>
      <c r="X212" s="363"/>
    </row>
    <row r="213" spans="1:26" s="362" customFormat="1" ht="14.4" thickTop="1" x14ac:dyDescent="0.3">
      <c r="B213" s="356">
        <v>2</v>
      </c>
      <c r="C213" s="392"/>
      <c r="D213" s="158" t="s">
        <v>435</v>
      </c>
      <c r="E213" s="658" t="s">
        <v>919</v>
      </c>
      <c r="F213" s="659">
        <v>363000</v>
      </c>
      <c r="G213" s="164"/>
      <c r="H213" s="150">
        <v>0.8</v>
      </c>
      <c r="I213" s="165"/>
      <c r="J213" s="155" t="s">
        <v>475</v>
      </c>
      <c r="K213" s="164"/>
      <c r="L213" s="160" t="s">
        <v>493</v>
      </c>
      <c r="M213" s="165"/>
      <c r="N213" s="155">
        <v>0.25</v>
      </c>
      <c r="O213" s="121"/>
      <c r="P213" s="121"/>
      <c r="Q213" s="82"/>
      <c r="R213" s="82"/>
      <c r="S213" s="82"/>
      <c r="T213" s="82"/>
      <c r="U213" s="364"/>
      <c r="V213" s="364"/>
      <c r="W213" s="364"/>
      <c r="X213" s="364"/>
    </row>
    <row r="214" spans="1:26" s="18" customFormat="1" ht="14.4" x14ac:dyDescent="0.3">
      <c r="A214" s="403"/>
      <c r="B214" s="407"/>
      <c r="C214" s="67"/>
      <c r="E214" s="627"/>
      <c r="G214" s="655"/>
      <c r="I214" s="655"/>
      <c r="K214" s="655"/>
      <c r="M214" s="655"/>
      <c r="O214" s="655"/>
      <c r="Q214" s="403"/>
      <c r="R214" s="403"/>
      <c r="S214" s="403"/>
      <c r="T214" s="403"/>
      <c r="U214" s="621"/>
      <c r="V214" s="621"/>
      <c r="W214" s="621"/>
      <c r="X214" s="621"/>
    </row>
    <row r="215" spans="1:26" s="18" customFormat="1" ht="14.4" x14ac:dyDescent="0.3">
      <c r="A215" s="403"/>
      <c r="B215" s="407"/>
      <c r="C215" s="67"/>
      <c r="E215" s="627"/>
      <c r="G215" s="655"/>
      <c r="I215" s="655"/>
      <c r="K215" s="655"/>
      <c r="M215" s="655"/>
      <c r="O215" s="655"/>
      <c r="Q215" s="403"/>
      <c r="R215" s="403"/>
      <c r="S215" s="403"/>
      <c r="T215" s="403"/>
      <c r="U215" s="621"/>
      <c r="V215" s="621"/>
      <c r="W215" s="621"/>
      <c r="X215" s="621"/>
    </row>
    <row r="216" spans="1:26" s="18" customFormat="1" ht="14.4" x14ac:dyDescent="0.3">
      <c r="A216" s="660"/>
      <c r="B216" s="382" t="s">
        <v>729</v>
      </c>
      <c r="C216" s="67"/>
      <c r="E216" s="627"/>
      <c r="G216" s="655"/>
      <c r="I216" s="655"/>
      <c r="K216" s="655"/>
      <c r="M216" s="655"/>
      <c r="O216" s="655"/>
      <c r="Q216" s="403"/>
      <c r="R216" s="403"/>
      <c r="S216" s="403"/>
      <c r="T216" s="403"/>
      <c r="U216" s="621"/>
      <c r="V216" s="621"/>
      <c r="W216" s="621"/>
      <c r="X216" s="621"/>
    </row>
    <row r="217" spans="1:26" s="36" customFormat="1" ht="27.6" x14ac:dyDescent="0.3">
      <c r="A217" s="378"/>
      <c r="B217" s="125" t="s">
        <v>730</v>
      </c>
      <c r="C217" s="113" t="s">
        <v>742</v>
      </c>
      <c r="D217" s="113" t="s">
        <v>433</v>
      </c>
      <c r="E217" s="125"/>
      <c r="F217" s="142" t="s">
        <v>736</v>
      </c>
      <c r="G217" s="125"/>
      <c r="H217" s="142" t="s">
        <v>1389</v>
      </c>
      <c r="I217" s="113"/>
      <c r="J217" s="113" t="s">
        <v>1397</v>
      </c>
      <c r="K217" s="298"/>
      <c r="L217" s="113" t="s">
        <v>1291</v>
      </c>
      <c r="M217" s="298"/>
      <c r="N217" s="142" t="s">
        <v>771</v>
      </c>
      <c r="O217" s="113"/>
      <c r="P217" s="113" t="s">
        <v>734</v>
      </c>
      <c r="Q217" s="125"/>
      <c r="R217" s="142" t="s">
        <v>738</v>
      </c>
      <c r="S217" s="378"/>
      <c r="T217" s="378"/>
      <c r="U217" s="378"/>
      <c r="V217" s="378"/>
      <c r="W217" s="363"/>
      <c r="X217" s="363"/>
      <c r="Y217" s="363"/>
      <c r="Z217" s="363"/>
    </row>
    <row r="218" spans="1:26" s="661" customFormat="1" ht="15" thickBot="1" x14ac:dyDescent="0.35">
      <c r="A218" s="82"/>
      <c r="B218" s="631"/>
      <c r="C218" s="171"/>
      <c r="D218" s="632"/>
      <c r="E218" s="173"/>
      <c r="F218" s="174" t="s">
        <v>1074</v>
      </c>
      <c r="G218" s="173"/>
      <c r="H218" s="174" t="s">
        <v>1390</v>
      </c>
      <c r="I218" s="171"/>
      <c r="J218" s="174" t="s">
        <v>1071</v>
      </c>
      <c r="K218" s="173"/>
      <c r="L218" s="174" t="s">
        <v>1072</v>
      </c>
      <c r="M218" s="173"/>
      <c r="N218" s="174" t="s">
        <v>1073</v>
      </c>
      <c r="O218" s="171"/>
      <c r="P218" s="171" t="s">
        <v>1076</v>
      </c>
      <c r="Q218" s="173"/>
      <c r="R218" s="174" t="s">
        <v>1075</v>
      </c>
      <c r="S218" s="82"/>
      <c r="T218" s="82"/>
      <c r="U218" s="82"/>
      <c r="V218" s="82"/>
      <c r="W218" s="635"/>
      <c r="X218" s="635"/>
      <c r="Y218" s="635"/>
      <c r="Z218" s="635"/>
    </row>
    <row r="219" spans="1:26" s="378" customFormat="1" ht="14.4" thickTop="1" x14ac:dyDescent="0.3">
      <c r="B219" s="316" t="s">
        <v>731</v>
      </c>
      <c r="C219" s="158" t="s">
        <v>743</v>
      </c>
      <c r="D219" s="158" t="s">
        <v>435</v>
      </c>
      <c r="E219" s="417"/>
      <c r="F219" s="158" t="s">
        <v>824</v>
      </c>
      <c r="G219" s="485"/>
      <c r="H219" s="151" t="s">
        <v>1376</v>
      </c>
      <c r="I219" s="417"/>
      <c r="J219" s="158" t="s">
        <v>737</v>
      </c>
      <c r="K219" s="658" t="s">
        <v>919</v>
      </c>
      <c r="L219" s="662">
        <v>348000</v>
      </c>
      <c r="M219" s="417"/>
      <c r="N219" s="663" t="str">
        <f>ROUND(12/0.78/3.412,2)&amp;" (0.78 kW/ton)"</f>
        <v>4.51 (0.78 kW/ton)</v>
      </c>
      <c r="O219" s="417"/>
      <c r="P219" s="158">
        <v>0.5</v>
      </c>
      <c r="Q219" s="417"/>
      <c r="R219" s="252">
        <v>0.15</v>
      </c>
      <c r="W219" s="364"/>
      <c r="X219" s="364"/>
      <c r="Y219" s="364"/>
      <c r="Z219" s="364"/>
    </row>
    <row r="220" spans="1:26" s="18" customFormat="1" ht="14.4" x14ac:dyDescent="0.3">
      <c r="A220" s="403"/>
      <c r="B220" s="407"/>
      <c r="C220" s="67"/>
      <c r="E220" s="627"/>
      <c r="G220" s="655"/>
      <c r="I220" s="655"/>
      <c r="K220" s="655"/>
      <c r="M220" s="655"/>
      <c r="O220" s="655"/>
      <c r="Q220" s="403"/>
      <c r="R220" s="403"/>
      <c r="S220" s="403"/>
      <c r="T220" s="403"/>
      <c r="U220" s="621"/>
      <c r="V220" s="621"/>
      <c r="W220" s="621"/>
      <c r="X220" s="621"/>
    </row>
    <row r="221" spans="1:26" s="18" customFormat="1" x14ac:dyDescent="0.3">
      <c r="A221" s="403"/>
      <c r="B221" s="407"/>
      <c r="C221" s="67"/>
      <c r="E221" s="627"/>
      <c r="G221" s="655"/>
      <c r="I221" s="655"/>
      <c r="K221" s="655"/>
      <c r="M221" s="655"/>
      <c r="O221" s="655"/>
      <c r="Q221" s="655"/>
      <c r="S221" s="655"/>
      <c r="U221" s="655"/>
      <c r="W221" s="655"/>
    </row>
    <row r="222" spans="1:26" s="36" customFormat="1" ht="41.4" x14ac:dyDescent="0.3">
      <c r="A222" s="378"/>
      <c r="B222" s="125" t="s">
        <v>730</v>
      </c>
      <c r="C222" s="113" t="s">
        <v>742</v>
      </c>
      <c r="D222" s="113" t="s">
        <v>433</v>
      </c>
      <c r="E222" s="125"/>
      <c r="F222" s="142" t="s">
        <v>735</v>
      </c>
      <c r="G222" s="298"/>
      <c r="H222" s="142" t="s">
        <v>779</v>
      </c>
      <c r="I222" s="113"/>
      <c r="J222" s="113" t="s">
        <v>781</v>
      </c>
      <c r="K222" s="113"/>
      <c r="L222" s="168" t="s">
        <v>740</v>
      </c>
      <c r="M222" s="457"/>
      <c r="N222" s="110" t="s">
        <v>741</v>
      </c>
      <c r="Q222" s="368"/>
      <c r="R222" s="370"/>
      <c r="S222" s="368"/>
      <c r="T222" s="370"/>
      <c r="U222" s="368"/>
      <c r="V222" s="370"/>
    </row>
    <row r="223" spans="1:26" s="661" customFormat="1" ht="14.4" thickBot="1" x14ac:dyDescent="0.35">
      <c r="A223" s="82"/>
      <c r="B223" s="631"/>
      <c r="C223" s="171"/>
      <c r="D223" s="632"/>
      <c r="E223" s="173"/>
      <c r="F223" s="174" t="s">
        <v>783</v>
      </c>
      <c r="G223" s="173"/>
      <c r="H223" s="174" t="s">
        <v>767</v>
      </c>
      <c r="I223" s="171"/>
      <c r="J223" s="171" t="s">
        <v>766</v>
      </c>
      <c r="K223" s="171"/>
      <c r="L223" s="171" t="s">
        <v>935</v>
      </c>
      <c r="M223" s="173"/>
      <c r="N223" s="174" t="s">
        <v>934</v>
      </c>
      <c r="Q223" s="87"/>
      <c r="R223" s="86"/>
      <c r="S223" s="87"/>
      <c r="T223" s="86"/>
      <c r="U223" s="87"/>
      <c r="V223" s="86"/>
    </row>
    <row r="224" spans="1:26" s="378" customFormat="1" ht="28.2" thickTop="1" x14ac:dyDescent="0.3">
      <c r="B224" s="316" t="s">
        <v>731</v>
      </c>
      <c r="C224" s="158" t="s">
        <v>743</v>
      </c>
      <c r="D224" s="158" t="s">
        <v>435</v>
      </c>
      <c r="E224" s="417"/>
      <c r="F224" s="160" t="s">
        <v>825</v>
      </c>
      <c r="G224" s="417"/>
      <c r="H224" s="160" t="s">
        <v>826</v>
      </c>
      <c r="I224" s="417"/>
      <c r="J224" s="160" t="s">
        <v>827</v>
      </c>
      <c r="K224" s="417"/>
      <c r="L224" s="158" t="s">
        <v>770</v>
      </c>
      <c r="M224" s="417"/>
      <c r="N224" s="199" t="s">
        <v>769</v>
      </c>
      <c r="Q224" s="368"/>
      <c r="R224" s="370"/>
      <c r="S224" s="368"/>
      <c r="T224" s="370"/>
      <c r="U224" s="368"/>
      <c r="V224" s="370"/>
    </row>
    <row r="225" spans="1:28" s="18" customFormat="1" x14ac:dyDescent="0.3">
      <c r="A225" s="403"/>
      <c r="B225" s="407"/>
      <c r="C225" s="67"/>
      <c r="E225" s="627"/>
      <c r="G225" s="655"/>
      <c r="I225" s="655"/>
      <c r="K225" s="655"/>
      <c r="M225" s="655"/>
      <c r="O225" s="655"/>
      <c r="Q225" s="655"/>
      <c r="S225" s="655"/>
      <c r="U225" s="655"/>
      <c r="W225" s="655"/>
    </row>
    <row r="226" spans="1:28" s="18" customFormat="1" x14ac:dyDescent="0.3">
      <c r="A226" s="403"/>
      <c r="B226" s="407"/>
      <c r="C226" s="67"/>
      <c r="E226" s="627"/>
      <c r="G226" s="655"/>
      <c r="I226" s="655"/>
      <c r="K226" s="655"/>
      <c r="M226" s="655"/>
      <c r="O226" s="655"/>
      <c r="Q226" s="655"/>
      <c r="S226" s="655"/>
      <c r="U226" s="655"/>
      <c r="W226" s="655"/>
    </row>
    <row r="227" spans="1:28" s="36" customFormat="1" ht="27.6" x14ac:dyDescent="0.3">
      <c r="A227" s="378"/>
      <c r="B227" s="125" t="s">
        <v>750</v>
      </c>
      <c r="C227" s="113" t="s">
        <v>751</v>
      </c>
      <c r="D227" s="113" t="s">
        <v>433</v>
      </c>
      <c r="E227" s="125"/>
      <c r="F227" s="142" t="s">
        <v>760</v>
      </c>
      <c r="G227" s="113"/>
      <c r="H227" s="113" t="s">
        <v>761</v>
      </c>
      <c r="I227" s="298"/>
      <c r="J227" s="113" t="s">
        <v>1109</v>
      </c>
      <c r="K227" s="298"/>
      <c r="L227" s="113" t="s">
        <v>764</v>
      </c>
      <c r="M227" s="298"/>
      <c r="N227" s="142" t="s">
        <v>772</v>
      </c>
      <c r="O227" s="113"/>
      <c r="P227" s="113" t="s">
        <v>773</v>
      </c>
      <c r="Q227" s="125"/>
      <c r="R227" s="142" t="s">
        <v>492</v>
      </c>
      <c r="S227" s="113"/>
      <c r="T227" s="142" t="s">
        <v>1051</v>
      </c>
      <c r="U227" s="368"/>
      <c r="V227" s="370"/>
      <c r="W227" s="368"/>
      <c r="X227" s="370"/>
      <c r="Y227" s="368"/>
      <c r="Z227" s="370"/>
    </row>
    <row r="228" spans="1:28" s="661" customFormat="1" ht="14.4" thickBot="1" x14ac:dyDescent="0.35">
      <c r="A228" s="82"/>
      <c r="B228" s="631"/>
      <c r="C228" s="171"/>
      <c r="D228" s="632"/>
      <c r="E228" s="173"/>
      <c r="F228" s="664" t="s">
        <v>1061</v>
      </c>
      <c r="G228" s="171"/>
      <c r="H228" s="174" t="s">
        <v>1066</v>
      </c>
      <c r="I228" s="173"/>
      <c r="J228" s="174" t="s">
        <v>1110</v>
      </c>
      <c r="K228" s="173"/>
      <c r="L228" s="664" t="s">
        <v>1062</v>
      </c>
      <c r="M228" s="173"/>
      <c r="N228" s="664" t="s">
        <v>1063</v>
      </c>
      <c r="O228" s="171"/>
      <c r="P228" s="664" t="s">
        <v>1064</v>
      </c>
      <c r="Q228" s="173"/>
      <c r="R228" s="664" t="s">
        <v>1065</v>
      </c>
      <c r="S228" s="171"/>
      <c r="T228" s="174" t="s">
        <v>774</v>
      </c>
      <c r="U228" s="87"/>
      <c r="V228" s="86"/>
      <c r="W228" s="87"/>
      <c r="X228" s="86"/>
      <c r="Y228" s="87"/>
      <c r="Z228" s="86"/>
    </row>
    <row r="229" spans="1:28" s="364" customFormat="1" ht="12.75" customHeight="1" thickTop="1" x14ac:dyDescent="0.3">
      <c r="A229" s="378"/>
      <c r="B229" s="135" t="s">
        <v>752</v>
      </c>
      <c r="C229" s="371" t="s">
        <v>758</v>
      </c>
      <c r="D229" s="378" t="s">
        <v>435</v>
      </c>
      <c r="E229" s="418"/>
      <c r="F229" s="371" t="s">
        <v>494</v>
      </c>
      <c r="G229" s="418"/>
      <c r="H229" s="378" t="s">
        <v>762</v>
      </c>
      <c r="I229" s="758" t="s">
        <v>919</v>
      </c>
      <c r="J229" s="585">
        <f>ROUND(F213/500.19/40,2)</f>
        <v>18.14</v>
      </c>
      <c r="K229" s="418"/>
      <c r="L229" s="665" t="str">
        <f>ROUND(19*J229/1000,2)&amp;" (19.0 W/gpm)"</f>
        <v>0.34 (19.0 W/gpm)</v>
      </c>
      <c r="M229" s="418"/>
      <c r="N229" s="305">
        <v>0.5</v>
      </c>
      <c r="O229" s="759" t="s">
        <v>919</v>
      </c>
      <c r="P229" s="760">
        <f>ROUND(19/745.6*3960*R229*0.7,1)</f>
        <v>60.4</v>
      </c>
      <c r="Q229" s="418"/>
      <c r="R229" s="367">
        <v>0.85499999999999998</v>
      </c>
      <c r="S229" s="332" t="s">
        <v>14</v>
      </c>
      <c r="T229" s="266" t="s">
        <v>14</v>
      </c>
      <c r="U229" s="368"/>
      <c r="V229" s="370"/>
      <c r="W229" s="368"/>
      <c r="X229" s="370"/>
      <c r="Y229" s="368"/>
      <c r="Z229" s="370"/>
    </row>
    <row r="230" spans="1:28" s="364" customFormat="1" ht="12.75" customHeight="1" x14ac:dyDescent="0.3">
      <c r="A230" s="378"/>
      <c r="B230" s="135" t="s">
        <v>753</v>
      </c>
      <c r="C230" s="371" t="s">
        <v>759</v>
      </c>
      <c r="D230" s="378" t="s">
        <v>435</v>
      </c>
      <c r="E230" s="418"/>
      <c r="F230" s="371" t="s">
        <v>494</v>
      </c>
      <c r="G230" s="418"/>
      <c r="H230" s="378" t="s">
        <v>762</v>
      </c>
      <c r="I230" s="761" t="s">
        <v>919</v>
      </c>
      <c r="J230" s="762">
        <f>ROUND(F213/500.19/40,2)</f>
        <v>18.14</v>
      </c>
      <c r="K230" s="418"/>
      <c r="L230" s="665" t="str">
        <f>ROUND(19*J230/1000,2)&amp;" (19.0 W/gpm)"</f>
        <v>0.34 (19.0 W/gpm)</v>
      </c>
      <c r="M230" s="418"/>
      <c r="N230" s="305">
        <v>0.5</v>
      </c>
      <c r="O230" s="763" t="s">
        <v>919</v>
      </c>
      <c r="P230" s="760">
        <f>ROUND(19/745.6*3960*R230*0.7,1)</f>
        <v>60.4</v>
      </c>
      <c r="Q230" s="418"/>
      <c r="R230" s="367">
        <v>0.85499999999999998</v>
      </c>
      <c r="S230" s="332" t="s">
        <v>14</v>
      </c>
      <c r="T230" s="266" t="s">
        <v>14</v>
      </c>
      <c r="U230" s="368"/>
      <c r="V230" s="370"/>
      <c r="W230" s="368"/>
      <c r="X230" s="370"/>
      <c r="Y230" s="368"/>
      <c r="Z230" s="370"/>
    </row>
    <row r="231" spans="1:28" s="370" customFormat="1" ht="12.75" customHeight="1" x14ac:dyDescent="0.3">
      <c r="A231" s="378"/>
      <c r="B231" s="122" t="s">
        <v>754</v>
      </c>
      <c r="C231" s="378" t="s">
        <v>744</v>
      </c>
      <c r="D231" s="378" t="s">
        <v>435</v>
      </c>
      <c r="E231" s="416"/>
      <c r="F231" s="370" t="s">
        <v>494</v>
      </c>
      <c r="G231" s="416"/>
      <c r="H231" s="368" t="s">
        <v>762</v>
      </c>
      <c r="I231" s="761" t="s">
        <v>919</v>
      </c>
      <c r="J231" s="443">
        <f>ROUND(J237/500.19/10,2)</f>
        <v>85</v>
      </c>
      <c r="K231" s="416"/>
      <c r="L231" s="586" t="str">
        <f>ROUNDUP(J231*P231/3960/(0.7*R231)*745.6/1000,2)&amp;" ("&amp;ROUND(VALUE(P231/3960/(0.7*R231)*745.6),1)&amp;" W/gpm)"</f>
        <v>1.19 (14 W/gpm)</v>
      </c>
      <c r="M231" s="416"/>
      <c r="N231" s="304">
        <v>1.5</v>
      </c>
      <c r="O231" s="416"/>
      <c r="P231" s="304">
        <v>45</v>
      </c>
      <c r="Q231" s="416"/>
      <c r="R231" s="366">
        <v>0.86499999999999999</v>
      </c>
      <c r="S231" s="332" t="s">
        <v>14</v>
      </c>
      <c r="T231" s="266" t="s">
        <v>14</v>
      </c>
      <c r="U231" s="368"/>
      <c r="W231" s="368"/>
      <c r="Y231" s="368"/>
    </row>
    <row r="232" spans="1:28" s="370" customFormat="1" ht="27.6" x14ac:dyDescent="0.3">
      <c r="A232" s="378"/>
      <c r="B232" s="284" t="s">
        <v>756</v>
      </c>
      <c r="C232" s="158" t="s">
        <v>731</v>
      </c>
      <c r="D232" s="158" t="s">
        <v>435</v>
      </c>
      <c r="E232" s="417"/>
      <c r="F232" s="229" t="s">
        <v>494</v>
      </c>
      <c r="G232" s="417"/>
      <c r="H232" s="229" t="s">
        <v>763</v>
      </c>
      <c r="I232" s="764" t="s">
        <v>919</v>
      </c>
      <c r="J232" s="723">
        <f>ROUND(L219/500.19/20,2)</f>
        <v>34.79</v>
      </c>
      <c r="K232" s="417"/>
      <c r="L232" s="593" t="str">
        <f>ROUND(J232*P232/3960/(0.7*R232)*745.6/1000,2)&amp;" ("&amp;ROUND((P232/3960/(0.7*R232)*745.6),1)&amp;" W/gpm)"</f>
        <v>0.45 (12.9 W/gpm)</v>
      </c>
      <c r="M232" s="417"/>
      <c r="N232" s="801">
        <v>0.75</v>
      </c>
      <c r="O232" s="417"/>
      <c r="P232" s="454">
        <f>40+((0.03*L219)/12000)</f>
        <v>40.869999999999997</v>
      </c>
      <c r="Q232" s="417"/>
      <c r="R232" s="402">
        <v>0.85499999999999998</v>
      </c>
      <c r="S232" s="417"/>
      <c r="T232" s="193" t="s">
        <v>775</v>
      </c>
      <c r="U232" s="368"/>
      <c r="W232" s="368"/>
      <c r="Y232" s="368"/>
    </row>
    <row r="233" spans="1:28" s="18" customFormat="1" x14ac:dyDescent="0.3">
      <c r="A233" s="403"/>
      <c r="B233" s="407"/>
      <c r="C233" s="67"/>
      <c r="E233" s="627"/>
      <c r="G233" s="655"/>
      <c r="I233" s="655"/>
      <c r="J233" s="666"/>
      <c r="K233" s="655"/>
      <c r="L233" s="666"/>
      <c r="M233" s="655"/>
      <c r="O233" s="655"/>
      <c r="Q233" s="655"/>
      <c r="S233" s="655"/>
      <c r="U233" s="655"/>
      <c r="W233" s="655"/>
    </row>
    <row r="234" spans="1:28" s="18" customFormat="1" x14ac:dyDescent="0.3">
      <c r="A234" s="403"/>
      <c r="B234" s="407"/>
      <c r="C234" s="67"/>
      <c r="E234" s="627"/>
      <c r="G234" s="655"/>
      <c r="I234" s="655"/>
      <c r="J234" s="666"/>
      <c r="K234" s="655"/>
      <c r="M234" s="655"/>
      <c r="O234" s="655"/>
      <c r="Q234" s="655"/>
      <c r="S234" s="655"/>
      <c r="U234" s="655"/>
      <c r="W234" s="655"/>
    </row>
    <row r="235" spans="1:28" s="36" customFormat="1" ht="27.6" x14ac:dyDescent="0.3">
      <c r="A235" s="378"/>
      <c r="B235" s="125" t="s">
        <v>747</v>
      </c>
      <c r="C235" s="113" t="s">
        <v>742</v>
      </c>
      <c r="D235" s="113" t="s">
        <v>433</v>
      </c>
      <c r="E235" s="125"/>
      <c r="F235" s="142" t="s">
        <v>748</v>
      </c>
      <c r="G235" s="113"/>
      <c r="H235" s="113" t="s">
        <v>765</v>
      </c>
      <c r="I235" s="125"/>
      <c r="J235" s="142" t="s">
        <v>1111</v>
      </c>
      <c r="K235" s="298"/>
      <c r="L235" s="113" t="s">
        <v>777</v>
      </c>
      <c r="M235" s="298"/>
      <c r="N235" s="142" t="s">
        <v>776</v>
      </c>
      <c r="O235" s="113"/>
      <c r="P235" s="142" t="s">
        <v>1052</v>
      </c>
      <c r="Q235" s="368"/>
      <c r="R235" s="370"/>
      <c r="S235" s="368"/>
      <c r="T235" s="370"/>
      <c r="U235" s="368"/>
      <c r="V235" s="370"/>
      <c r="W235" s="368"/>
      <c r="X235" s="370"/>
      <c r="Y235" s="368"/>
      <c r="Z235" s="370"/>
    </row>
    <row r="236" spans="1:28" s="661" customFormat="1" ht="14.4" thickBot="1" x14ac:dyDescent="0.35">
      <c r="A236" s="82"/>
      <c r="B236" s="631"/>
      <c r="C236" s="171"/>
      <c r="D236" s="632"/>
      <c r="E236" s="173"/>
      <c r="F236" s="664" t="s">
        <v>1067</v>
      </c>
      <c r="G236" s="171"/>
      <c r="H236" s="667" t="s">
        <v>1112</v>
      </c>
      <c r="I236" s="173"/>
      <c r="J236" s="664" t="s">
        <v>1068</v>
      </c>
      <c r="K236" s="173"/>
      <c r="L236" s="664" t="s">
        <v>1069</v>
      </c>
      <c r="M236" s="173"/>
      <c r="N236" s="664" t="s">
        <v>1070</v>
      </c>
      <c r="O236" s="171"/>
      <c r="P236" s="174" t="s">
        <v>774</v>
      </c>
      <c r="Q236" s="87"/>
      <c r="R236" s="86"/>
      <c r="S236" s="87"/>
      <c r="T236" s="86"/>
      <c r="U236" s="87"/>
      <c r="V236" s="86"/>
      <c r="W236" s="87"/>
      <c r="X236" s="86"/>
      <c r="Y236" s="87"/>
      <c r="Z236" s="86"/>
      <c r="AA236" s="80"/>
      <c r="AB236" s="80"/>
    </row>
    <row r="237" spans="1:28" s="370" customFormat="1" ht="28.2" thickTop="1" x14ac:dyDescent="0.3">
      <c r="A237" s="378"/>
      <c r="B237" s="284" t="s">
        <v>744</v>
      </c>
      <c r="C237" s="158" t="s">
        <v>745</v>
      </c>
      <c r="D237" s="158" t="s">
        <v>435</v>
      </c>
      <c r="E237" s="417"/>
      <c r="F237" s="229" t="s">
        <v>749</v>
      </c>
      <c r="G237" s="417"/>
      <c r="H237" s="452" t="s">
        <v>482</v>
      </c>
      <c r="I237" s="764" t="s">
        <v>919</v>
      </c>
      <c r="J237" s="765">
        <v>425184</v>
      </c>
      <c r="K237" s="417"/>
      <c r="L237" s="593">
        <f>ROUNDDOWN(J237/500.19/10,2)</f>
        <v>85</v>
      </c>
      <c r="M237" s="417"/>
      <c r="N237" s="402" t="str">
        <f>ROUND(L237/60,2)&amp;" (60 gpm/HP)"</f>
        <v>1.42 (60 gpm/HP)</v>
      </c>
      <c r="O237" s="417"/>
      <c r="P237" s="193" t="s">
        <v>778</v>
      </c>
      <c r="Q237" s="368"/>
      <c r="S237" s="368"/>
      <c r="U237" s="368"/>
      <c r="W237" s="368"/>
      <c r="Y237" s="368"/>
    </row>
    <row r="238" spans="1:28" x14ac:dyDescent="0.3">
      <c r="B238" s="29"/>
      <c r="C238" s="29"/>
      <c r="D238" s="29"/>
      <c r="F238" s="85"/>
      <c r="H238" s="85"/>
    </row>
    <row r="239" spans="1:28" x14ac:dyDescent="0.3">
      <c r="C239" s="83"/>
      <c r="D239" s="83"/>
      <c r="E239" s="369"/>
      <c r="G239" s="369"/>
      <c r="H239" s="85"/>
    </row>
    <row r="240" spans="1:28" s="86" customFormat="1" x14ac:dyDescent="0.3">
      <c r="A240" s="290"/>
      <c r="B240" s="314" t="s">
        <v>48</v>
      </c>
      <c r="C240" s="292"/>
      <c r="D240" s="292"/>
      <c r="E240" s="290"/>
      <c r="F240" s="292"/>
      <c r="G240" s="290"/>
      <c r="H240" s="293"/>
      <c r="I240" s="290"/>
      <c r="J240" s="292"/>
      <c r="K240" s="290"/>
      <c r="L240" s="292"/>
      <c r="M240" s="290"/>
      <c r="N240" s="292"/>
      <c r="O240" s="292"/>
      <c r="P240" s="292"/>
      <c r="Q240" s="292"/>
      <c r="R240" s="292"/>
    </row>
    <row r="241" spans="1:19" s="86" customFormat="1" x14ac:dyDescent="0.3">
      <c r="A241" s="71"/>
      <c r="B241" s="45" t="s">
        <v>9</v>
      </c>
      <c r="C241" s="87"/>
      <c r="D241" s="87"/>
      <c r="E241" s="84"/>
      <c r="F241" s="77"/>
      <c r="G241" s="84"/>
      <c r="H241" s="77"/>
      <c r="I241" s="84"/>
      <c r="J241" s="36"/>
      <c r="K241" s="84"/>
      <c r="L241" s="36"/>
      <c r="M241" s="84"/>
      <c r="N241" s="36"/>
      <c r="O241" s="84"/>
      <c r="P241" s="36"/>
      <c r="Q241" s="84"/>
      <c r="R241" s="36"/>
      <c r="S241" s="63"/>
    </row>
    <row r="242" spans="1:19" s="86" customFormat="1" x14ac:dyDescent="0.3">
      <c r="B242" s="77" t="s">
        <v>17</v>
      </c>
      <c r="C242" s="87"/>
      <c r="D242" s="87"/>
      <c r="E242" s="84"/>
      <c r="F242" s="77"/>
      <c r="G242" s="84"/>
      <c r="H242" s="77"/>
      <c r="I242" s="369"/>
      <c r="J242" s="36"/>
      <c r="K242" s="369"/>
      <c r="L242" s="36"/>
      <c r="M242" s="369"/>
      <c r="N242" s="36"/>
      <c r="O242" s="369"/>
      <c r="P242" s="36"/>
      <c r="Q242" s="369"/>
      <c r="R242" s="36"/>
      <c r="S242" s="63"/>
    </row>
    <row r="243" spans="1:19" s="40" customFormat="1" ht="55.2" x14ac:dyDescent="0.3">
      <c r="A243" s="84"/>
      <c r="B243" s="132" t="s">
        <v>137</v>
      </c>
      <c r="C243" s="113" t="s">
        <v>31</v>
      </c>
      <c r="D243" s="113"/>
      <c r="E243" s="132"/>
      <c r="F243" s="142" t="s">
        <v>49</v>
      </c>
      <c r="G243" s="112"/>
      <c r="H243" s="113" t="s">
        <v>11</v>
      </c>
      <c r="I243" s="132"/>
      <c r="J243" s="142" t="s">
        <v>495</v>
      </c>
      <c r="K243" s="115"/>
      <c r="L243" s="113" t="s">
        <v>496</v>
      </c>
      <c r="M243" s="138"/>
      <c r="N243" s="142" t="s">
        <v>497</v>
      </c>
      <c r="O243" s="115"/>
      <c r="P243" s="116" t="s">
        <v>498</v>
      </c>
      <c r="Q243" s="138"/>
      <c r="R243" s="109" t="s">
        <v>499</v>
      </c>
    </row>
    <row r="244" spans="1:19" s="75" customFormat="1" ht="28.2" thickBot="1" x14ac:dyDescent="0.35">
      <c r="A244" s="76"/>
      <c r="B244" s="126"/>
      <c r="C244" s="117" t="s">
        <v>23</v>
      </c>
      <c r="D244" s="117"/>
      <c r="E244" s="133"/>
      <c r="F244" s="143" t="s">
        <v>50</v>
      </c>
      <c r="G244" s="119"/>
      <c r="H244" s="117" t="s">
        <v>25</v>
      </c>
      <c r="I244" s="139"/>
      <c r="J244" s="143" t="s">
        <v>24</v>
      </c>
      <c r="K244" s="118"/>
      <c r="L244" s="117" t="s">
        <v>140</v>
      </c>
      <c r="M244" s="139"/>
      <c r="N244" s="143" t="s">
        <v>141</v>
      </c>
      <c r="O244" s="118"/>
      <c r="P244" s="117" t="s">
        <v>142</v>
      </c>
      <c r="Q244" s="126"/>
      <c r="R244" s="143" t="s">
        <v>143</v>
      </c>
      <c r="S244" s="76"/>
    </row>
    <row r="245" spans="1:19" ht="28.2" thickTop="1" x14ac:dyDescent="0.3">
      <c r="B245" s="124" t="s">
        <v>74</v>
      </c>
      <c r="C245" s="85" t="s">
        <v>1292</v>
      </c>
      <c r="E245" s="134"/>
      <c r="F245" s="367" t="s">
        <v>321</v>
      </c>
      <c r="G245" s="141"/>
      <c r="H245" s="85" t="s">
        <v>30</v>
      </c>
      <c r="I245" s="220"/>
      <c r="J245" s="144">
        <v>3.4000000000000002E-2</v>
      </c>
      <c r="K245" s="141"/>
      <c r="L245" s="31">
        <v>0.85</v>
      </c>
      <c r="M245" s="134"/>
      <c r="N245" s="147">
        <v>0.85</v>
      </c>
      <c r="O245" s="141"/>
      <c r="P245" s="31">
        <v>0.63</v>
      </c>
      <c r="Q245" s="134"/>
      <c r="R245" s="147">
        <v>0.37</v>
      </c>
    </row>
    <row r="246" spans="1:19" ht="27.6" x14ac:dyDescent="0.3">
      <c r="B246" s="124" t="s">
        <v>73</v>
      </c>
      <c r="C246" s="85" t="s">
        <v>72</v>
      </c>
      <c r="E246" s="136"/>
      <c r="F246" s="367" t="s">
        <v>321</v>
      </c>
      <c r="G246" s="176"/>
      <c r="H246" s="85" t="s">
        <v>30</v>
      </c>
      <c r="I246" s="221"/>
      <c r="J246" s="144">
        <v>2.8000000000000001E-2</v>
      </c>
      <c r="K246" s="176"/>
      <c r="L246" s="31">
        <v>0.85</v>
      </c>
      <c r="M246" s="136"/>
      <c r="N246" s="147">
        <v>0.85</v>
      </c>
      <c r="O246" s="176"/>
      <c r="P246" s="31">
        <v>0.55000000000000004</v>
      </c>
      <c r="Q246" s="136"/>
      <c r="R246" s="147">
        <v>0.45</v>
      </c>
    </row>
    <row r="247" spans="1:19" x14ac:dyDescent="0.3">
      <c r="B247" s="124" t="s">
        <v>81</v>
      </c>
      <c r="C247" s="85" t="s">
        <v>61</v>
      </c>
      <c r="E247" s="409" t="s">
        <v>14</v>
      </c>
      <c r="F247" s="470" t="s">
        <v>14</v>
      </c>
      <c r="G247" s="176"/>
      <c r="H247" s="85" t="s">
        <v>16</v>
      </c>
      <c r="I247" s="220"/>
      <c r="J247" s="146">
        <v>6.2E-2</v>
      </c>
      <c r="K247" s="428" t="s">
        <v>14</v>
      </c>
      <c r="L247" s="472" t="s">
        <v>14</v>
      </c>
      <c r="M247" s="409" t="s">
        <v>14</v>
      </c>
      <c r="N247" s="470" t="s">
        <v>14</v>
      </c>
      <c r="O247" s="428" t="s">
        <v>14</v>
      </c>
      <c r="P247" s="472" t="s">
        <v>14</v>
      </c>
      <c r="Q247" s="409" t="s">
        <v>14</v>
      </c>
      <c r="R247" s="470" t="s">
        <v>14</v>
      </c>
    </row>
    <row r="248" spans="1:19" x14ac:dyDescent="0.3">
      <c r="B248" s="124" t="s">
        <v>78</v>
      </c>
      <c r="C248" s="85" t="s">
        <v>1293</v>
      </c>
      <c r="E248" s="409" t="s">
        <v>14</v>
      </c>
      <c r="F248" s="470" t="s">
        <v>14</v>
      </c>
      <c r="G248" s="176"/>
      <c r="H248" s="85" t="s">
        <v>16</v>
      </c>
      <c r="I248" s="221"/>
      <c r="J248" s="146">
        <v>4.8000000000000001E-2</v>
      </c>
      <c r="K248" s="428" t="s">
        <v>14</v>
      </c>
      <c r="L248" s="472" t="s">
        <v>14</v>
      </c>
      <c r="M248" s="409" t="s">
        <v>14</v>
      </c>
      <c r="N248" s="470" t="s">
        <v>14</v>
      </c>
      <c r="O248" s="428" t="s">
        <v>14</v>
      </c>
      <c r="P248" s="472" t="s">
        <v>14</v>
      </c>
      <c r="Q248" s="409" t="s">
        <v>14</v>
      </c>
      <c r="R248" s="470" t="s">
        <v>14</v>
      </c>
    </row>
    <row r="249" spans="1:19" ht="27.6" x14ac:dyDescent="0.3">
      <c r="B249" s="284" t="s">
        <v>82</v>
      </c>
      <c r="C249" s="150" t="s">
        <v>62</v>
      </c>
      <c r="D249" s="150"/>
      <c r="E249" s="411" t="s">
        <v>14</v>
      </c>
      <c r="F249" s="471" t="s">
        <v>14</v>
      </c>
      <c r="G249" s="169"/>
      <c r="H249" s="150" t="s">
        <v>43</v>
      </c>
      <c r="I249" s="277"/>
      <c r="J249" s="155">
        <v>3.9E-2</v>
      </c>
      <c r="K249" s="432" t="s">
        <v>14</v>
      </c>
      <c r="L249" s="473" t="s">
        <v>14</v>
      </c>
      <c r="M249" s="411" t="s">
        <v>14</v>
      </c>
      <c r="N249" s="471" t="s">
        <v>14</v>
      </c>
      <c r="O249" s="432" t="s">
        <v>14</v>
      </c>
      <c r="P249" s="473" t="s">
        <v>14</v>
      </c>
      <c r="Q249" s="411" t="s">
        <v>14</v>
      </c>
      <c r="R249" s="471" t="s">
        <v>14</v>
      </c>
    </row>
    <row r="250" spans="1:19" x14ac:dyDescent="0.3">
      <c r="B250" s="371"/>
      <c r="C250" s="371"/>
      <c r="D250" s="371"/>
      <c r="E250" s="378"/>
      <c r="F250" s="85"/>
      <c r="G250" s="369"/>
      <c r="H250" s="85"/>
      <c r="I250" s="6"/>
      <c r="K250" s="6"/>
      <c r="M250" s="6"/>
      <c r="O250" s="6"/>
      <c r="Q250" s="6"/>
    </row>
    <row r="251" spans="1:19" x14ac:dyDescent="0.3">
      <c r="B251" s="77" t="s">
        <v>18</v>
      </c>
      <c r="C251" s="371"/>
      <c r="D251" s="371"/>
      <c r="E251" s="378"/>
      <c r="F251" s="85"/>
      <c r="G251" s="369"/>
      <c r="H251" s="85"/>
      <c r="I251" s="6"/>
      <c r="K251" s="6"/>
      <c r="M251" s="6"/>
      <c r="O251" s="6"/>
      <c r="Q251" s="6"/>
    </row>
    <row r="252" spans="1:19" s="40" customFormat="1" ht="27.6" x14ac:dyDescent="0.3">
      <c r="A252" s="84"/>
      <c r="B252" s="132" t="s">
        <v>137</v>
      </c>
      <c r="C252" s="113" t="s">
        <v>31</v>
      </c>
      <c r="D252" s="113"/>
      <c r="E252" s="132"/>
      <c r="F252" s="142" t="s">
        <v>11</v>
      </c>
      <c r="G252" s="132"/>
      <c r="H252" s="142" t="s">
        <v>495</v>
      </c>
      <c r="I252" s="132"/>
      <c r="J252" s="142" t="s">
        <v>22</v>
      </c>
      <c r="K252" s="112"/>
      <c r="L252" s="142" t="s">
        <v>39</v>
      </c>
      <c r="M252" s="84"/>
      <c r="N252" s="36"/>
      <c r="O252" s="84"/>
      <c r="P252" s="36"/>
      <c r="Q252" s="84"/>
      <c r="R252" s="36"/>
    </row>
    <row r="253" spans="1:19" s="75" customFormat="1" ht="14.4" thickBot="1" x14ac:dyDescent="0.35">
      <c r="A253" s="76"/>
      <c r="B253" s="126"/>
      <c r="C253" s="117" t="s">
        <v>46</v>
      </c>
      <c r="D253" s="117"/>
      <c r="E253" s="133"/>
      <c r="F253" s="143" t="s">
        <v>26</v>
      </c>
      <c r="G253" s="133"/>
      <c r="H253" s="143" t="s">
        <v>47</v>
      </c>
      <c r="I253" s="139"/>
      <c r="J253" s="143" t="s">
        <v>28</v>
      </c>
      <c r="K253" s="118"/>
      <c r="L253" s="143" t="s">
        <v>29</v>
      </c>
      <c r="M253" s="76"/>
      <c r="N253" s="29"/>
      <c r="O253" s="76"/>
      <c r="P253" s="29"/>
      <c r="Q253" s="29"/>
      <c r="R253" s="29"/>
      <c r="S253" s="76"/>
    </row>
    <row r="254" spans="1:19" s="75" customFormat="1" ht="28.2" thickTop="1" x14ac:dyDescent="0.3">
      <c r="A254" s="76"/>
      <c r="B254" s="531"/>
      <c r="C254" s="160" t="s">
        <v>412</v>
      </c>
      <c r="D254" s="160"/>
      <c r="E254" s="153"/>
      <c r="F254" s="166" t="s">
        <v>19</v>
      </c>
      <c r="G254" s="153"/>
      <c r="H254" s="155">
        <v>0.36</v>
      </c>
      <c r="I254" s="153"/>
      <c r="J254" s="163">
        <v>0.25</v>
      </c>
      <c r="K254" s="169"/>
      <c r="L254" s="163">
        <v>0.42</v>
      </c>
      <c r="M254" s="76"/>
      <c r="N254" s="29"/>
      <c r="O254" s="76"/>
      <c r="P254" s="29"/>
      <c r="Q254" s="29"/>
      <c r="R254" s="29"/>
      <c r="S254" s="76"/>
    </row>
    <row r="255" spans="1:19" ht="27.6" x14ac:dyDescent="0.3">
      <c r="B255" s="149"/>
      <c r="C255" s="160" t="s">
        <v>412</v>
      </c>
      <c r="D255" s="160"/>
      <c r="E255" s="153"/>
      <c r="F255" s="166" t="s">
        <v>77</v>
      </c>
      <c r="G255" s="153"/>
      <c r="H255" s="155">
        <v>0.46</v>
      </c>
      <c r="I255" s="153"/>
      <c r="J255" s="163">
        <v>0.22</v>
      </c>
      <c r="K255" s="169"/>
      <c r="L255" s="163">
        <v>0.32</v>
      </c>
      <c r="N255" s="521"/>
    </row>
    <row r="256" spans="1:19" x14ac:dyDescent="0.3">
      <c r="B256" s="77"/>
    </row>
    <row r="257" spans="1:24" x14ac:dyDescent="0.3">
      <c r="B257" s="77"/>
    </row>
    <row r="258" spans="1:24" x14ac:dyDescent="0.3">
      <c r="A258" s="71"/>
      <c r="B258" s="45" t="s">
        <v>53</v>
      </c>
      <c r="C258" s="38"/>
      <c r="D258" s="38"/>
      <c r="E258" s="40"/>
      <c r="F258" s="38"/>
      <c r="G258" s="40"/>
      <c r="H258" s="38"/>
      <c r="I258" s="40"/>
      <c r="J258" s="38"/>
      <c r="K258" s="40"/>
      <c r="L258" s="38"/>
      <c r="M258" s="40"/>
      <c r="N258" s="38"/>
      <c r="O258" s="63"/>
      <c r="P258" s="38"/>
      <c r="R258" s="38"/>
    </row>
    <row r="259" spans="1:24" x14ac:dyDescent="0.3">
      <c r="B259" s="77" t="s">
        <v>17</v>
      </c>
      <c r="C259" s="29"/>
      <c r="D259" s="29"/>
      <c r="F259" s="85"/>
      <c r="H259" s="85"/>
    </row>
    <row r="260" spans="1:24" s="15" customFormat="1" x14ac:dyDescent="0.3">
      <c r="A260" s="83"/>
      <c r="B260" s="310" t="s">
        <v>137</v>
      </c>
      <c r="C260" s="116" t="s">
        <v>31</v>
      </c>
      <c r="D260" s="116"/>
      <c r="E260" s="311"/>
      <c r="F260" s="285" t="s">
        <v>32</v>
      </c>
      <c r="G260" s="309"/>
      <c r="H260" s="276" t="s">
        <v>33</v>
      </c>
      <c r="I260" s="216"/>
      <c r="J260" s="285" t="s">
        <v>34</v>
      </c>
      <c r="K260" s="213"/>
      <c r="L260" s="276" t="s">
        <v>35</v>
      </c>
      <c r="M260" s="216"/>
      <c r="N260" s="285" t="s">
        <v>36</v>
      </c>
      <c r="O260" s="213"/>
      <c r="P260" s="285" t="s">
        <v>144</v>
      </c>
      <c r="Q260" s="213"/>
      <c r="R260" s="285" t="s">
        <v>1114</v>
      </c>
    </row>
    <row r="261" spans="1:24" s="75" customFormat="1" ht="14.4" thickBot="1" x14ac:dyDescent="0.35">
      <c r="A261" s="76"/>
      <c r="B261" s="126"/>
      <c r="C261" s="117" t="s">
        <v>23</v>
      </c>
      <c r="D261" s="117"/>
      <c r="E261" s="133"/>
      <c r="F261" s="519" t="s">
        <v>968</v>
      </c>
      <c r="G261" s="119"/>
      <c r="H261" s="519" t="s">
        <v>968</v>
      </c>
      <c r="I261" s="139"/>
      <c r="J261" s="519" t="s">
        <v>968</v>
      </c>
      <c r="K261" s="118"/>
      <c r="L261" s="519" t="s">
        <v>968</v>
      </c>
      <c r="M261" s="139"/>
      <c r="N261" s="519" t="s">
        <v>968</v>
      </c>
      <c r="O261" s="118"/>
      <c r="P261" s="519" t="s">
        <v>968</v>
      </c>
      <c r="Q261" s="118"/>
      <c r="R261" s="519" t="s">
        <v>968</v>
      </c>
      <c r="S261" s="76"/>
    </row>
    <row r="262" spans="1:24" ht="28.2" thickTop="1" x14ac:dyDescent="0.3">
      <c r="B262" s="124" t="s">
        <v>81</v>
      </c>
      <c r="C262" s="85" t="s">
        <v>61</v>
      </c>
      <c r="E262" s="134"/>
      <c r="F262" s="146" t="s">
        <v>1139</v>
      </c>
      <c r="G262" s="141"/>
      <c r="H262" s="85" t="s">
        <v>1154</v>
      </c>
      <c r="I262" s="134"/>
      <c r="J262" s="146" t="s">
        <v>1173</v>
      </c>
      <c r="K262" s="141"/>
      <c r="L262" s="85" t="s">
        <v>1174</v>
      </c>
      <c r="M262" s="409" t="s">
        <v>14</v>
      </c>
      <c r="N262" s="470" t="s">
        <v>14</v>
      </c>
      <c r="O262" s="428" t="s">
        <v>14</v>
      </c>
      <c r="P262" s="470" t="s">
        <v>14</v>
      </c>
      <c r="Q262" s="428" t="s">
        <v>14</v>
      </c>
      <c r="R262" s="470" t="s">
        <v>14</v>
      </c>
    </row>
    <row r="263" spans="1:24" ht="41.4" x14ac:dyDescent="0.3">
      <c r="B263" s="124" t="s">
        <v>78</v>
      </c>
      <c r="C263" s="85" t="s">
        <v>1293</v>
      </c>
      <c r="E263" s="136"/>
      <c r="F263" s="146" t="s">
        <v>1139</v>
      </c>
      <c r="G263" s="176"/>
      <c r="H263" s="85" t="s">
        <v>1165</v>
      </c>
      <c r="I263" s="136"/>
      <c r="J263" s="146" t="s">
        <v>1294</v>
      </c>
      <c r="K263" s="136"/>
      <c r="L263" s="146" t="s">
        <v>1294</v>
      </c>
      <c r="M263" s="176"/>
      <c r="N263" s="85" t="s">
        <v>1184</v>
      </c>
      <c r="O263" s="136"/>
      <c r="P263" s="668" t="s">
        <v>1173</v>
      </c>
      <c r="Q263" s="136"/>
      <c r="R263" s="668" t="s">
        <v>1174</v>
      </c>
    </row>
    <row r="264" spans="1:24" ht="27.6" x14ac:dyDescent="0.3">
      <c r="B264" s="124" t="s">
        <v>80</v>
      </c>
      <c r="C264" s="85" t="s">
        <v>1292</v>
      </c>
      <c r="E264" s="136"/>
      <c r="F264" s="146" t="s">
        <v>1137</v>
      </c>
      <c r="G264" s="176"/>
      <c r="H264" s="85" t="s">
        <v>1155</v>
      </c>
      <c r="I264" s="409" t="s">
        <v>14</v>
      </c>
      <c r="J264" s="470" t="s">
        <v>14</v>
      </c>
      <c r="K264" s="428" t="s">
        <v>14</v>
      </c>
      <c r="L264" s="472" t="s">
        <v>14</v>
      </c>
      <c r="M264" s="409" t="s">
        <v>14</v>
      </c>
      <c r="N264" s="470" t="s">
        <v>14</v>
      </c>
      <c r="O264" s="428" t="s">
        <v>14</v>
      </c>
      <c r="P264" s="470" t="s">
        <v>14</v>
      </c>
      <c r="Q264" s="428" t="s">
        <v>14</v>
      </c>
      <c r="R264" s="470" t="s">
        <v>14</v>
      </c>
    </row>
    <row r="265" spans="1:24" ht="27.6" x14ac:dyDescent="0.3">
      <c r="B265" s="124" t="s">
        <v>79</v>
      </c>
      <c r="C265" s="85" t="s">
        <v>72</v>
      </c>
      <c r="E265" s="136"/>
      <c r="F265" s="146" t="s">
        <v>1137</v>
      </c>
      <c r="G265" s="176"/>
      <c r="H265" s="85" t="s">
        <v>1159</v>
      </c>
      <c r="I265" s="409" t="s">
        <v>14</v>
      </c>
      <c r="J265" s="470" t="s">
        <v>14</v>
      </c>
      <c r="K265" s="428" t="s">
        <v>14</v>
      </c>
      <c r="L265" s="472" t="s">
        <v>14</v>
      </c>
      <c r="M265" s="409" t="s">
        <v>14</v>
      </c>
      <c r="N265" s="470" t="s">
        <v>14</v>
      </c>
      <c r="O265" s="428" t="s">
        <v>14</v>
      </c>
      <c r="P265" s="470" t="s">
        <v>14</v>
      </c>
      <c r="Q265" s="428" t="s">
        <v>14</v>
      </c>
      <c r="R265" s="470" t="s">
        <v>14</v>
      </c>
    </row>
    <row r="266" spans="1:24" ht="27.6" x14ac:dyDescent="0.3">
      <c r="B266" s="284" t="s">
        <v>82</v>
      </c>
      <c r="C266" s="150" t="s">
        <v>62</v>
      </c>
      <c r="D266" s="150"/>
      <c r="E266" s="153"/>
      <c r="F266" s="155" t="s">
        <v>1140</v>
      </c>
      <c r="G266" s="169"/>
      <c r="H266" s="150" t="s">
        <v>1152</v>
      </c>
      <c r="I266" s="153"/>
      <c r="J266" s="155" t="s">
        <v>1171</v>
      </c>
      <c r="K266" s="432" t="s">
        <v>14</v>
      </c>
      <c r="L266" s="473" t="s">
        <v>14</v>
      </c>
      <c r="M266" s="411" t="s">
        <v>14</v>
      </c>
      <c r="N266" s="471" t="s">
        <v>14</v>
      </c>
      <c r="O266" s="432" t="s">
        <v>14</v>
      </c>
      <c r="P266" s="471" t="s">
        <v>14</v>
      </c>
      <c r="Q266" s="432" t="s">
        <v>14</v>
      </c>
      <c r="R266" s="471" t="s">
        <v>14</v>
      </c>
    </row>
    <row r="269" spans="1:24" s="397" customFormat="1" ht="14.4" x14ac:dyDescent="0.3">
      <c r="A269" s="24"/>
      <c r="B269" s="24" t="s">
        <v>517</v>
      </c>
      <c r="C269" s="85"/>
      <c r="D269" s="369"/>
      <c r="E269" s="76"/>
      <c r="F269" s="371"/>
      <c r="G269" s="76"/>
      <c r="H269" s="29"/>
      <c r="I269" s="369"/>
      <c r="J269" s="85"/>
      <c r="K269" s="369"/>
      <c r="L269" s="85"/>
      <c r="M269" s="369"/>
      <c r="N269" s="85"/>
      <c r="O269" s="369"/>
      <c r="P269" s="85"/>
      <c r="Q269" s="369"/>
      <c r="R269" s="85"/>
      <c r="S269" s="369"/>
      <c r="T269" s="85"/>
      <c r="U269" s="368"/>
      <c r="V269" s="370"/>
      <c r="W269" s="368"/>
      <c r="X269" s="370"/>
    </row>
    <row r="270" spans="1:24" s="397" customFormat="1" ht="41.4" x14ac:dyDescent="0.3">
      <c r="A270" s="82"/>
      <c r="B270" s="108" t="s">
        <v>500</v>
      </c>
      <c r="C270" s="116" t="s">
        <v>501</v>
      </c>
      <c r="D270" s="112" t="s">
        <v>433</v>
      </c>
      <c r="E270" s="125"/>
      <c r="F270" s="142" t="s">
        <v>437</v>
      </c>
      <c r="G270" s="113"/>
      <c r="H270" s="168" t="s">
        <v>137</v>
      </c>
      <c r="I270" s="125"/>
      <c r="J270" s="110" t="s">
        <v>186</v>
      </c>
      <c r="K270" s="125"/>
      <c r="L270" s="142" t="s">
        <v>510</v>
      </c>
      <c r="M270" s="113"/>
      <c r="N270" s="113" t="s">
        <v>509</v>
      </c>
      <c r="O270" s="207"/>
      <c r="P270" s="142" t="s">
        <v>508</v>
      </c>
      <c r="Q270" s="125"/>
      <c r="R270" s="142" t="s">
        <v>486</v>
      </c>
      <c r="S270" s="125"/>
      <c r="T270" s="142" t="s">
        <v>534</v>
      </c>
      <c r="U270" s="368"/>
      <c r="V270" s="370"/>
      <c r="W270" s="368"/>
      <c r="X270" s="370"/>
    </row>
    <row r="271" spans="1:24" s="397" customFormat="1" ht="15" thickBot="1" x14ac:dyDescent="0.35">
      <c r="A271" s="82"/>
      <c r="B271" s="173" t="s">
        <v>259</v>
      </c>
      <c r="C271" s="171" t="s">
        <v>258</v>
      </c>
      <c r="D271" s="376"/>
      <c r="E271" s="178"/>
      <c r="F271" s="174"/>
      <c r="G271" s="172"/>
      <c r="H271" s="174" t="s">
        <v>260</v>
      </c>
      <c r="I271" s="178"/>
      <c r="J271" s="174" t="s">
        <v>261</v>
      </c>
      <c r="K271" s="208"/>
      <c r="L271" s="174" t="s">
        <v>646</v>
      </c>
      <c r="M271" s="205"/>
      <c r="N271" s="171" t="s">
        <v>647</v>
      </c>
      <c r="O271" s="208"/>
      <c r="P271" s="174" t="s">
        <v>1387</v>
      </c>
      <c r="Q271" s="230"/>
      <c r="R271" s="174" t="s">
        <v>1127</v>
      </c>
      <c r="S271" s="230"/>
      <c r="T271" s="174" t="s">
        <v>1128</v>
      </c>
      <c r="U271" s="368"/>
      <c r="V271" s="370"/>
      <c r="W271" s="368"/>
      <c r="X271" s="370"/>
    </row>
    <row r="272" spans="1:24" s="364" customFormat="1" ht="14.4" thickTop="1" x14ac:dyDescent="0.3">
      <c r="A272" s="378"/>
      <c r="B272" s="438" t="s">
        <v>797</v>
      </c>
      <c r="C272" s="378" t="s">
        <v>554</v>
      </c>
      <c r="D272" s="378" t="s">
        <v>435</v>
      </c>
      <c r="E272" s="131"/>
      <c r="F272" s="371" t="s">
        <v>797</v>
      </c>
      <c r="G272" s="418"/>
      <c r="H272" s="378" t="s">
        <v>449</v>
      </c>
      <c r="I272" s="418"/>
      <c r="J272" s="378" t="s">
        <v>187</v>
      </c>
      <c r="K272" s="418"/>
      <c r="L272" s="378">
        <v>55</v>
      </c>
      <c r="M272" s="418"/>
      <c r="N272" s="378">
        <v>60</v>
      </c>
      <c r="O272" s="418"/>
      <c r="P272" s="263" t="s">
        <v>930</v>
      </c>
      <c r="Q272" s="418"/>
      <c r="R272" s="206">
        <v>60</v>
      </c>
      <c r="S272" s="418"/>
      <c r="T272" s="206">
        <v>55</v>
      </c>
      <c r="U272" s="368"/>
      <c r="V272" s="370"/>
      <c r="W272" s="368"/>
      <c r="X272" s="370"/>
    </row>
    <row r="273" spans="1:24" s="364" customFormat="1" x14ac:dyDescent="0.3">
      <c r="A273" s="378"/>
      <c r="B273" s="122" t="s">
        <v>798</v>
      </c>
      <c r="C273" s="378" t="s">
        <v>565</v>
      </c>
      <c r="D273" s="378" t="s">
        <v>435</v>
      </c>
      <c r="E273" s="131"/>
      <c r="F273" s="371" t="s">
        <v>798</v>
      </c>
      <c r="G273" s="418"/>
      <c r="H273" s="378" t="s">
        <v>449</v>
      </c>
      <c r="I273" s="419"/>
      <c r="J273" s="378" t="s">
        <v>187</v>
      </c>
      <c r="K273" s="419"/>
      <c r="L273" s="378">
        <v>55</v>
      </c>
      <c r="M273" s="419"/>
      <c r="N273" s="378">
        <v>60</v>
      </c>
      <c r="O273" s="419"/>
      <c r="P273" s="197" t="s">
        <v>930</v>
      </c>
      <c r="Q273" s="418"/>
      <c r="R273" s="206">
        <v>60</v>
      </c>
      <c r="S273" s="418"/>
      <c r="T273" s="206">
        <v>55</v>
      </c>
      <c r="U273" s="368"/>
      <c r="V273" s="370"/>
      <c r="W273" s="368"/>
      <c r="X273" s="370"/>
    </row>
    <row r="274" spans="1:24" s="364" customFormat="1" x14ac:dyDescent="0.3">
      <c r="A274" s="378"/>
      <c r="B274" s="122" t="s">
        <v>799</v>
      </c>
      <c r="C274" s="378" t="s">
        <v>566</v>
      </c>
      <c r="D274" s="378" t="s">
        <v>435</v>
      </c>
      <c r="E274" s="131"/>
      <c r="F274" s="371" t="s">
        <v>799</v>
      </c>
      <c r="G274" s="418"/>
      <c r="H274" s="378" t="s">
        <v>449</v>
      </c>
      <c r="I274" s="419"/>
      <c r="J274" s="378" t="s">
        <v>187</v>
      </c>
      <c r="K274" s="419"/>
      <c r="L274" s="378">
        <v>55</v>
      </c>
      <c r="M274" s="419"/>
      <c r="N274" s="378">
        <v>60</v>
      </c>
      <c r="O274" s="419"/>
      <c r="P274" s="197" t="s">
        <v>930</v>
      </c>
      <c r="Q274" s="418"/>
      <c r="R274" s="206">
        <v>60</v>
      </c>
      <c r="S274" s="418"/>
      <c r="T274" s="206">
        <v>55</v>
      </c>
      <c r="U274" s="368"/>
      <c r="V274" s="370"/>
      <c r="W274" s="368"/>
      <c r="X274" s="370"/>
    </row>
    <row r="275" spans="1:24" s="364" customFormat="1" x14ac:dyDescent="0.3">
      <c r="A275" s="378"/>
      <c r="B275" s="284" t="s">
        <v>800</v>
      </c>
      <c r="C275" s="158" t="s">
        <v>795</v>
      </c>
      <c r="D275" s="158" t="s">
        <v>435</v>
      </c>
      <c r="E275" s="233"/>
      <c r="F275" s="160" t="s">
        <v>800</v>
      </c>
      <c r="G275" s="417"/>
      <c r="H275" s="158" t="s">
        <v>449</v>
      </c>
      <c r="I275" s="417"/>
      <c r="J275" s="158" t="s">
        <v>187</v>
      </c>
      <c r="K275" s="417"/>
      <c r="L275" s="158">
        <v>55</v>
      </c>
      <c r="M275" s="417"/>
      <c r="N275" s="158">
        <v>60</v>
      </c>
      <c r="O275" s="417"/>
      <c r="P275" s="199" t="s">
        <v>930</v>
      </c>
      <c r="Q275" s="417"/>
      <c r="R275" s="209">
        <v>60</v>
      </c>
      <c r="S275" s="417"/>
      <c r="T275" s="209">
        <v>55</v>
      </c>
      <c r="U275" s="368"/>
      <c r="V275" s="370"/>
      <c r="W275" s="368"/>
      <c r="X275" s="370"/>
    </row>
    <row r="276" spans="1:24" s="397" customFormat="1" ht="14.4" x14ac:dyDescent="0.3">
      <c r="A276" s="82"/>
      <c r="B276" s="77"/>
      <c r="C276" s="75"/>
      <c r="D276" s="29"/>
      <c r="E276" s="369"/>
      <c r="F276" s="369"/>
      <c r="G276" s="369"/>
      <c r="H276" s="369"/>
      <c r="I276" s="369"/>
      <c r="J276" s="369"/>
      <c r="K276" s="84"/>
      <c r="L276" s="82"/>
      <c r="M276" s="369"/>
      <c r="N276" s="369"/>
      <c r="O276" s="369"/>
      <c r="P276" s="369"/>
      <c r="Q276" s="369"/>
      <c r="R276" s="369"/>
      <c r="S276" s="369"/>
      <c r="T276" s="369"/>
      <c r="U276" s="368"/>
      <c r="V276" s="370"/>
      <c r="W276" s="368"/>
      <c r="X276" s="370"/>
    </row>
    <row r="277" spans="1:24" s="397" customFormat="1" ht="14.4" x14ac:dyDescent="0.3">
      <c r="A277" s="82"/>
      <c r="B277" s="77"/>
      <c r="C277" s="75"/>
      <c r="D277" s="29"/>
      <c r="E277" s="369"/>
      <c r="F277" s="369"/>
      <c r="G277" s="369"/>
      <c r="H277" s="369"/>
      <c r="I277" s="369"/>
      <c r="J277" s="369"/>
      <c r="K277" s="84"/>
      <c r="L277" s="82"/>
      <c r="M277" s="369"/>
      <c r="N277" s="369"/>
      <c r="O277" s="369"/>
      <c r="P277" s="369"/>
      <c r="Q277" s="369"/>
      <c r="R277" s="369"/>
      <c r="S277" s="369"/>
      <c r="T277" s="369"/>
      <c r="U277" s="368"/>
      <c r="V277" s="370"/>
      <c r="W277" s="368"/>
      <c r="X277" s="370"/>
    </row>
    <row r="278" spans="1:24" s="397" customFormat="1" ht="41.4" x14ac:dyDescent="0.3">
      <c r="A278" s="82"/>
      <c r="B278" s="108" t="s">
        <v>500</v>
      </c>
      <c r="C278" s="116" t="s">
        <v>804</v>
      </c>
      <c r="D278" s="112" t="s">
        <v>433</v>
      </c>
      <c r="E278" s="177"/>
      <c r="F278" s="113" t="s">
        <v>437</v>
      </c>
      <c r="G278" s="177"/>
      <c r="H278" s="116" t="s">
        <v>137</v>
      </c>
      <c r="I278" s="177"/>
      <c r="J278" s="109" t="s">
        <v>186</v>
      </c>
      <c r="K278" s="125"/>
      <c r="L278" s="142" t="s">
        <v>510</v>
      </c>
      <c r="M278" s="113"/>
      <c r="N278" s="113" t="s">
        <v>509</v>
      </c>
      <c r="O278" s="207"/>
      <c r="P278" s="142" t="s">
        <v>508</v>
      </c>
      <c r="Q278" s="125"/>
      <c r="R278" s="142" t="s">
        <v>486</v>
      </c>
      <c r="S278" s="125"/>
      <c r="T278" s="142" t="s">
        <v>534</v>
      </c>
      <c r="U278" s="369"/>
      <c r="V278" s="85"/>
      <c r="W278" s="369"/>
      <c r="X278" s="85"/>
    </row>
    <row r="279" spans="1:24" s="397" customFormat="1" ht="15" thickBot="1" x14ac:dyDescent="0.35">
      <c r="A279" s="82"/>
      <c r="B279" s="173" t="s">
        <v>912</v>
      </c>
      <c r="C279" s="171"/>
      <c r="D279" s="376"/>
      <c r="E279" s="178"/>
      <c r="F279" s="376"/>
      <c r="G279" s="375"/>
      <c r="H279" s="171" t="s">
        <v>260</v>
      </c>
      <c r="I279" s="178"/>
      <c r="J279" s="174" t="s">
        <v>261</v>
      </c>
      <c r="K279" s="208"/>
      <c r="L279" s="174" t="s">
        <v>646</v>
      </c>
      <c r="M279" s="205"/>
      <c r="N279" s="171" t="s">
        <v>647</v>
      </c>
      <c r="O279" s="208"/>
      <c r="P279" s="174" t="s">
        <v>1388</v>
      </c>
      <c r="Q279" s="230"/>
      <c r="R279" s="377"/>
      <c r="S279" s="230"/>
      <c r="T279" s="377"/>
      <c r="U279" s="369"/>
      <c r="V279" s="85"/>
      <c r="W279" s="369"/>
      <c r="X279" s="85"/>
    </row>
    <row r="280" spans="1:24" s="362" customFormat="1" ht="14.4" thickTop="1" x14ac:dyDescent="0.3">
      <c r="A280" s="82"/>
      <c r="B280" s="487" t="s">
        <v>803</v>
      </c>
      <c r="C280" s="400" t="s">
        <v>809</v>
      </c>
      <c r="D280" s="400" t="s">
        <v>435</v>
      </c>
      <c r="E280" s="488"/>
      <c r="F280" s="493" t="s">
        <v>803</v>
      </c>
      <c r="G280" s="359"/>
      <c r="H280" s="400" t="s">
        <v>805</v>
      </c>
      <c r="I280" s="359"/>
      <c r="J280" s="400" t="s">
        <v>806</v>
      </c>
      <c r="K280" s="359"/>
      <c r="L280" s="400">
        <v>58</v>
      </c>
      <c r="M280" s="359"/>
      <c r="N280" s="400">
        <v>95</v>
      </c>
      <c r="O280" s="359"/>
      <c r="P280" s="458" t="s">
        <v>300</v>
      </c>
      <c r="Q280" s="494" t="s">
        <v>14</v>
      </c>
      <c r="R280" s="478" t="s">
        <v>14</v>
      </c>
      <c r="S280" s="494" t="s">
        <v>14</v>
      </c>
      <c r="T280" s="478" t="s">
        <v>14</v>
      </c>
      <c r="U280" s="369"/>
      <c r="V280" s="85"/>
      <c r="W280" s="369"/>
      <c r="X280" s="85"/>
    </row>
    <row r="281" spans="1:24" s="397" customFormat="1" ht="14.4" x14ac:dyDescent="0.3">
      <c r="A281" s="82"/>
      <c r="B281" s="77"/>
      <c r="C281" s="75"/>
      <c r="D281" s="29"/>
      <c r="E281" s="369"/>
      <c r="F281" s="369"/>
      <c r="G281" s="369"/>
      <c r="H281" s="369"/>
      <c r="I281" s="369"/>
      <c r="J281" s="369"/>
      <c r="K281" s="84"/>
      <c r="L281" s="82"/>
      <c r="M281" s="369"/>
      <c r="N281" s="369"/>
      <c r="O281" s="369"/>
      <c r="P281" s="369"/>
      <c r="Q281" s="369"/>
      <c r="R281" s="67"/>
      <c r="S281" s="369"/>
      <c r="T281" s="369"/>
      <c r="U281" s="369"/>
      <c r="V281" s="369"/>
      <c r="W281" s="369"/>
      <c r="X281" s="370"/>
    </row>
    <row r="282" spans="1:24" s="397" customFormat="1" ht="14.4" x14ac:dyDescent="0.3">
      <c r="A282" s="82"/>
      <c r="B282" s="77"/>
      <c r="C282" s="75"/>
      <c r="D282" s="29"/>
      <c r="E282" s="369"/>
      <c r="F282" s="369"/>
      <c r="G282" s="369"/>
      <c r="H282" s="369"/>
      <c r="I282" s="369"/>
      <c r="J282" s="369"/>
      <c r="K282" s="84"/>
      <c r="L282" s="82"/>
      <c r="M282" s="369"/>
      <c r="N282" s="369"/>
      <c r="O282" s="369"/>
      <c r="P282" s="369"/>
      <c r="Q282" s="369"/>
      <c r="R282" s="82"/>
      <c r="S282" s="84"/>
      <c r="T282" s="82"/>
      <c r="U282" s="82"/>
      <c r="V282" s="82"/>
      <c r="W282" s="82"/>
      <c r="X282" s="370"/>
    </row>
    <row r="283" spans="1:24" s="397" customFormat="1" ht="41.4" x14ac:dyDescent="0.3">
      <c r="A283" s="82"/>
      <c r="B283" s="108" t="s">
        <v>501</v>
      </c>
      <c r="C283" s="116" t="s">
        <v>502</v>
      </c>
      <c r="D283" s="112" t="s">
        <v>433</v>
      </c>
      <c r="E283" s="177"/>
      <c r="F283" s="110" t="s">
        <v>137</v>
      </c>
      <c r="G283" s="170"/>
      <c r="H283" s="168" t="s">
        <v>503</v>
      </c>
      <c r="I283" s="189"/>
      <c r="J283" s="110" t="s">
        <v>204</v>
      </c>
      <c r="K283" s="182"/>
      <c r="L283" s="110" t="s">
        <v>1053</v>
      </c>
      <c r="M283" s="442"/>
      <c r="N283" s="110" t="s">
        <v>1054</v>
      </c>
      <c r="O283" s="441"/>
      <c r="P283" s="110" t="s">
        <v>1055</v>
      </c>
      <c r="Q283" s="369"/>
      <c r="R283" s="407"/>
      <c r="S283" s="403"/>
      <c r="T283" s="403"/>
      <c r="U283" s="369"/>
      <c r="V283" s="407"/>
      <c r="X283" s="407"/>
    </row>
    <row r="284" spans="1:24" s="397" customFormat="1" ht="15" thickBot="1" x14ac:dyDescent="0.35">
      <c r="A284" s="82"/>
      <c r="B284" s="173" t="s">
        <v>280</v>
      </c>
      <c r="C284" s="171" t="s">
        <v>262</v>
      </c>
      <c r="D284" s="376"/>
      <c r="E284" s="178"/>
      <c r="F284" s="174" t="s">
        <v>264</v>
      </c>
      <c r="G284" s="172"/>
      <c r="H284" s="171" t="s">
        <v>933</v>
      </c>
      <c r="I284" s="178"/>
      <c r="J284" s="174" t="s">
        <v>263</v>
      </c>
      <c r="K284" s="184"/>
      <c r="L284" s="171" t="s">
        <v>629</v>
      </c>
      <c r="M284" s="173"/>
      <c r="N284" s="174" t="s">
        <v>630</v>
      </c>
      <c r="O284" s="171"/>
      <c r="P284" s="174" t="s">
        <v>631</v>
      </c>
      <c r="Q284" s="369"/>
      <c r="R284" s="403"/>
      <c r="S284" s="403"/>
      <c r="T284" s="403"/>
      <c r="U284" s="369"/>
      <c r="V284" s="403"/>
      <c r="X284" s="403"/>
    </row>
    <row r="285" spans="1:24" s="364" customFormat="1" ht="28.2" thickTop="1" x14ac:dyDescent="0.3">
      <c r="A285" s="378"/>
      <c r="B285" s="135" t="s">
        <v>554</v>
      </c>
      <c r="C285" s="378" t="s">
        <v>558</v>
      </c>
      <c r="D285" s="378" t="s">
        <v>435</v>
      </c>
      <c r="E285" s="418"/>
      <c r="F285" s="378" t="s">
        <v>173</v>
      </c>
      <c r="G285" s="420"/>
      <c r="H285" s="369">
        <v>9.8000000000000007</v>
      </c>
      <c r="I285" s="418"/>
      <c r="J285" s="378">
        <v>1.1499999999999999</v>
      </c>
      <c r="K285" s="349"/>
      <c r="L285" s="371" t="s">
        <v>454</v>
      </c>
      <c r="M285" s="669"/>
      <c r="N285" s="371" t="s">
        <v>530</v>
      </c>
      <c r="O285" s="669"/>
      <c r="P285" s="367" t="s">
        <v>673</v>
      </c>
      <c r="Q285" s="378"/>
      <c r="R285" s="670"/>
      <c r="S285" s="403"/>
      <c r="T285" s="403"/>
      <c r="V285" s="671"/>
      <c r="X285" s="670"/>
    </row>
    <row r="286" spans="1:24" s="364" customFormat="1" ht="27.6" x14ac:dyDescent="0.3">
      <c r="A286" s="378"/>
      <c r="B286" s="135" t="s">
        <v>565</v>
      </c>
      <c r="C286" s="378" t="s">
        <v>573</v>
      </c>
      <c r="D286" s="378" t="s">
        <v>435</v>
      </c>
      <c r="E286" s="419"/>
      <c r="F286" s="378" t="s">
        <v>173</v>
      </c>
      <c r="G286" s="419"/>
      <c r="H286" s="672">
        <v>10.8446</v>
      </c>
      <c r="I286" s="419"/>
      <c r="J286" s="378">
        <v>1.1499999999999999</v>
      </c>
      <c r="K286" s="136"/>
      <c r="L286" s="371" t="s">
        <v>301</v>
      </c>
      <c r="M286" s="604"/>
      <c r="N286" s="371" t="s">
        <v>302</v>
      </c>
      <c r="O286" s="604"/>
      <c r="P286" s="367" t="s">
        <v>673</v>
      </c>
      <c r="Q286" s="378"/>
      <c r="R286" s="670"/>
      <c r="S286" s="403"/>
      <c r="T286" s="403"/>
      <c r="V286" s="671"/>
      <c r="X286" s="670"/>
    </row>
    <row r="287" spans="1:24" s="364" customFormat="1" ht="27.6" x14ac:dyDescent="0.3">
      <c r="A287" s="378"/>
      <c r="B287" s="135" t="s">
        <v>566</v>
      </c>
      <c r="C287" s="378" t="s">
        <v>574</v>
      </c>
      <c r="D287" s="378" t="s">
        <v>435</v>
      </c>
      <c r="E287" s="419"/>
      <c r="F287" s="378" t="s">
        <v>173</v>
      </c>
      <c r="G287" s="419"/>
      <c r="H287" s="672">
        <v>10.8446</v>
      </c>
      <c r="I287" s="419"/>
      <c r="J287" s="378">
        <v>1.1499999999999999</v>
      </c>
      <c r="K287" s="136"/>
      <c r="L287" s="371" t="s">
        <v>301</v>
      </c>
      <c r="M287" s="604"/>
      <c r="N287" s="371" t="s">
        <v>302</v>
      </c>
      <c r="O287" s="604"/>
      <c r="P287" s="367" t="s">
        <v>673</v>
      </c>
      <c r="Q287" s="378"/>
      <c r="R287" s="670"/>
      <c r="S287" s="403"/>
      <c r="T287" s="403"/>
      <c r="V287" s="671"/>
      <c r="X287" s="670"/>
    </row>
    <row r="288" spans="1:24" s="364" customFormat="1" ht="27.6" x14ac:dyDescent="0.3">
      <c r="A288" s="378"/>
      <c r="B288" s="135" t="s">
        <v>795</v>
      </c>
      <c r="C288" s="378" t="s">
        <v>808</v>
      </c>
      <c r="D288" s="378" t="s">
        <v>435</v>
      </c>
      <c r="E288" s="419"/>
      <c r="F288" s="378" t="s">
        <v>173</v>
      </c>
      <c r="G288" s="604"/>
      <c r="H288" s="672">
        <v>11</v>
      </c>
      <c r="I288" s="419"/>
      <c r="J288" s="378">
        <v>1.1499999999999999</v>
      </c>
      <c r="K288" s="136"/>
      <c r="L288" s="371" t="s">
        <v>454</v>
      </c>
      <c r="M288" s="604"/>
      <c r="N288" s="371" t="s">
        <v>302</v>
      </c>
      <c r="O288" s="604"/>
      <c r="P288" s="367" t="s">
        <v>673</v>
      </c>
      <c r="Q288" s="378"/>
      <c r="R288" s="670"/>
      <c r="S288" s="403"/>
      <c r="T288" s="403"/>
      <c r="V288" s="671"/>
      <c r="X288" s="670"/>
    </row>
    <row r="289" spans="1:24" s="362" customFormat="1" ht="27.6" x14ac:dyDescent="0.3">
      <c r="A289" s="82"/>
      <c r="B289" s="175" t="s">
        <v>834</v>
      </c>
      <c r="C289" s="150" t="s">
        <v>911</v>
      </c>
      <c r="D289" s="199" t="s">
        <v>435</v>
      </c>
      <c r="E289" s="153"/>
      <c r="F289" s="150" t="s">
        <v>704</v>
      </c>
      <c r="G289" s="411" t="s">
        <v>14</v>
      </c>
      <c r="H289" s="412" t="s">
        <v>14</v>
      </c>
      <c r="I289" s="153"/>
      <c r="J289" s="252">
        <v>1.1499999999999999</v>
      </c>
      <c r="K289" s="411" t="s">
        <v>14</v>
      </c>
      <c r="L289" s="412" t="s">
        <v>14</v>
      </c>
      <c r="M289" s="411" t="s">
        <v>14</v>
      </c>
      <c r="N289" s="412" t="s">
        <v>14</v>
      </c>
      <c r="O289" s="411" t="s">
        <v>14</v>
      </c>
      <c r="P289" s="412" t="s">
        <v>14</v>
      </c>
      <c r="Q289" s="369"/>
      <c r="R289" s="670"/>
      <c r="S289" s="403"/>
      <c r="T289" s="403"/>
      <c r="U289" s="364"/>
      <c r="V289" s="671"/>
      <c r="W289" s="364"/>
      <c r="X289" s="670"/>
    </row>
    <row r="290" spans="1:24" s="397" customFormat="1" ht="14.4" x14ac:dyDescent="0.3">
      <c r="A290" s="82"/>
      <c r="B290" s="77"/>
      <c r="C290" s="75"/>
      <c r="D290" s="82"/>
      <c r="E290" s="84"/>
      <c r="F290" s="82"/>
      <c r="G290" s="84"/>
      <c r="H290" s="82"/>
      <c r="I290" s="84"/>
      <c r="J290" s="82"/>
      <c r="K290" s="29"/>
      <c r="L290" s="369"/>
      <c r="M290" s="369"/>
      <c r="N290" s="369"/>
      <c r="O290" s="369"/>
      <c r="P290" s="369"/>
      <c r="Q290" s="369"/>
    </row>
    <row r="291" spans="1:24" s="397" customFormat="1" ht="14.4" x14ac:dyDescent="0.3">
      <c r="A291" s="82"/>
      <c r="B291" s="77"/>
      <c r="C291" s="75"/>
      <c r="D291" s="82"/>
      <c r="E291" s="84"/>
      <c r="F291" s="82"/>
      <c r="G291" s="84"/>
      <c r="H291" s="82"/>
      <c r="I291" s="84"/>
      <c r="J291" s="82"/>
      <c r="K291" s="29"/>
      <c r="L291" s="369"/>
      <c r="M291" s="369"/>
      <c r="N291" s="369"/>
      <c r="O291" s="369"/>
      <c r="P291" s="369"/>
      <c r="Q291" s="369"/>
    </row>
    <row r="292" spans="1:24" s="397" customFormat="1" ht="27.6" x14ac:dyDescent="0.3">
      <c r="A292" s="82"/>
      <c r="B292" s="108" t="s">
        <v>501</v>
      </c>
      <c r="C292" s="116" t="s">
        <v>504</v>
      </c>
      <c r="D292" s="112" t="s">
        <v>433</v>
      </c>
      <c r="E292" s="177"/>
      <c r="F292" s="110" t="s">
        <v>474</v>
      </c>
      <c r="G292" s="168"/>
      <c r="H292" s="168" t="s">
        <v>603</v>
      </c>
      <c r="I292" s="189"/>
      <c r="J292" s="110" t="s">
        <v>204</v>
      </c>
      <c r="K292" s="182"/>
      <c r="L292" s="110" t="s">
        <v>1056</v>
      </c>
      <c r="M292" s="369"/>
      <c r="N292" s="369"/>
      <c r="O292" s="369"/>
      <c r="P292" s="369"/>
      <c r="Q292" s="369"/>
      <c r="R292" s="407"/>
      <c r="S292" s="403"/>
      <c r="T292" s="369"/>
      <c r="U292" s="369"/>
      <c r="V292" s="407"/>
      <c r="W292" s="364"/>
      <c r="X292" s="407"/>
    </row>
    <row r="293" spans="1:24" s="397" customFormat="1" ht="15" thickBot="1" x14ac:dyDescent="0.35">
      <c r="A293" s="82"/>
      <c r="B293" s="173" t="s">
        <v>282</v>
      </c>
      <c r="C293" s="171" t="s">
        <v>265</v>
      </c>
      <c r="D293" s="171"/>
      <c r="E293" s="178"/>
      <c r="F293" s="174" t="s">
        <v>266</v>
      </c>
      <c r="G293" s="172"/>
      <c r="H293" s="171" t="s">
        <v>267</v>
      </c>
      <c r="I293" s="178"/>
      <c r="J293" s="174"/>
      <c r="K293" s="117"/>
      <c r="L293" s="174" t="s">
        <v>283</v>
      </c>
      <c r="M293" s="369"/>
      <c r="N293" s="369"/>
      <c r="O293" s="369"/>
      <c r="P293" s="369"/>
      <c r="Q293" s="369"/>
      <c r="R293" s="403"/>
      <c r="S293" s="403"/>
      <c r="T293" s="369"/>
      <c r="U293" s="369"/>
      <c r="V293" s="403"/>
      <c r="W293" s="364"/>
      <c r="X293" s="403"/>
    </row>
    <row r="294" spans="1:24" s="362" customFormat="1" ht="14.4" thickTop="1" x14ac:dyDescent="0.3">
      <c r="A294" s="82"/>
      <c r="B294" s="135" t="s">
        <v>554</v>
      </c>
      <c r="C294" s="378" t="s">
        <v>559</v>
      </c>
      <c r="D294" s="378" t="s">
        <v>435</v>
      </c>
      <c r="E294" s="416"/>
      <c r="F294" s="274" t="s">
        <v>562</v>
      </c>
      <c r="G294" s="409" t="s">
        <v>14</v>
      </c>
      <c r="H294" s="410" t="s">
        <v>14</v>
      </c>
      <c r="I294" s="418"/>
      <c r="J294" s="365">
        <v>1.25</v>
      </c>
      <c r="K294" s="409" t="s">
        <v>14</v>
      </c>
      <c r="L294" s="410" t="s">
        <v>14</v>
      </c>
      <c r="M294" s="369"/>
      <c r="N294" s="369"/>
      <c r="O294" s="369"/>
      <c r="P294" s="369"/>
      <c r="Q294" s="369"/>
      <c r="R294" s="670"/>
      <c r="S294" s="403"/>
      <c r="T294" s="403"/>
      <c r="U294" s="364"/>
      <c r="V294" s="671"/>
      <c r="W294" s="364"/>
      <c r="X294" s="670"/>
    </row>
    <row r="295" spans="1:24" s="362" customFormat="1" x14ac:dyDescent="0.3">
      <c r="A295" s="82"/>
      <c r="B295" s="135" t="s">
        <v>565</v>
      </c>
      <c r="C295" s="378" t="s">
        <v>575</v>
      </c>
      <c r="D295" s="378" t="s">
        <v>435</v>
      </c>
      <c r="E295" s="416"/>
      <c r="F295" s="274" t="s">
        <v>562</v>
      </c>
      <c r="G295" s="409" t="s">
        <v>14</v>
      </c>
      <c r="H295" s="410" t="s">
        <v>14</v>
      </c>
      <c r="I295" s="419"/>
      <c r="J295" s="365">
        <v>1.25</v>
      </c>
      <c r="K295" s="409" t="s">
        <v>14</v>
      </c>
      <c r="L295" s="410" t="s">
        <v>14</v>
      </c>
      <c r="M295" s="369"/>
      <c r="N295" s="369"/>
      <c r="O295" s="369"/>
      <c r="P295" s="369"/>
      <c r="Q295" s="369"/>
      <c r="R295" s="670"/>
      <c r="S295" s="403"/>
      <c r="T295" s="403"/>
      <c r="U295" s="364"/>
      <c r="V295" s="671"/>
      <c r="W295" s="364"/>
      <c r="X295" s="670"/>
    </row>
    <row r="296" spans="1:24" s="362" customFormat="1" x14ac:dyDescent="0.3">
      <c r="A296" s="82"/>
      <c r="B296" s="135" t="s">
        <v>566</v>
      </c>
      <c r="C296" s="378" t="s">
        <v>576</v>
      </c>
      <c r="D296" s="378" t="s">
        <v>435</v>
      </c>
      <c r="E296" s="416"/>
      <c r="F296" s="274" t="s">
        <v>562</v>
      </c>
      <c r="G296" s="409" t="s">
        <v>14</v>
      </c>
      <c r="H296" s="410" t="s">
        <v>14</v>
      </c>
      <c r="I296" s="419"/>
      <c r="J296" s="365">
        <v>1.25</v>
      </c>
      <c r="K296" s="409" t="s">
        <v>14</v>
      </c>
      <c r="L296" s="410" t="s">
        <v>14</v>
      </c>
      <c r="M296" s="369"/>
      <c r="N296" s="369"/>
      <c r="O296" s="369"/>
      <c r="P296" s="369"/>
      <c r="Q296" s="369"/>
      <c r="R296" s="670"/>
      <c r="S296" s="403"/>
      <c r="T296" s="403"/>
      <c r="U296" s="364"/>
      <c r="V296" s="671"/>
      <c r="W296" s="364"/>
      <c r="X296" s="670"/>
    </row>
    <row r="297" spans="1:24" s="362" customFormat="1" x14ac:dyDescent="0.3">
      <c r="A297" s="82"/>
      <c r="B297" s="135" t="s">
        <v>795</v>
      </c>
      <c r="C297" s="378" t="s">
        <v>811</v>
      </c>
      <c r="D297" s="378" t="s">
        <v>435</v>
      </c>
      <c r="E297" s="416"/>
      <c r="F297" s="274" t="s">
        <v>562</v>
      </c>
      <c r="G297" s="409" t="s">
        <v>14</v>
      </c>
      <c r="H297" s="410" t="s">
        <v>14</v>
      </c>
      <c r="I297" s="419"/>
      <c r="J297" s="365">
        <v>1.25</v>
      </c>
      <c r="K297" s="409" t="s">
        <v>14</v>
      </c>
      <c r="L297" s="410" t="s">
        <v>14</v>
      </c>
      <c r="M297" s="369"/>
      <c r="N297" s="369"/>
      <c r="O297" s="369"/>
      <c r="P297" s="369"/>
      <c r="Q297" s="369"/>
      <c r="R297" s="670"/>
      <c r="S297" s="403"/>
      <c r="T297" s="403"/>
      <c r="U297" s="364"/>
      <c r="V297" s="671"/>
      <c r="W297" s="364"/>
      <c r="X297" s="670"/>
    </row>
    <row r="298" spans="1:24" s="362" customFormat="1" x14ac:dyDescent="0.3">
      <c r="A298" s="82"/>
      <c r="B298" s="135" t="s">
        <v>554</v>
      </c>
      <c r="C298" s="378" t="s">
        <v>831</v>
      </c>
      <c r="D298" s="378" t="s">
        <v>435</v>
      </c>
      <c r="E298" s="416"/>
      <c r="F298" s="274" t="s">
        <v>562</v>
      </c>
      <c r="G298" s="409" t="s">
        <v>14</v>
      </c>
      <c r="H298" s="410" t="s">
        <v>14</v>
      </c>
      <c r="I298" s="419"/>
      <c r="J298" s="365">
        <v>1.25</v>
      </c>
      <c r="K298" s="409" t="s">
        <v>14</v>
      </c>
      <c r="L298" s="410" t="s">
        <v>14</v>
      </c>
      <c r="M298" s="369"/>
      <c r="N298" s="369"/>
      <c r="O298" s="369"/>
      <c r="P298" s="369"/>
      <c r="Q298" s="369"/>
      <c r="R298" s="670"/>
      <c r="S298" s="403"/>
      <c r="T298" s="403"/>
      <c r="U298" s="364"/>
      <c r="V298" s="671"/>
      <c r="W298" s="364"/>
      <c r="X298" s="670"/>
    </row>
    <row r="299" spans="1:24" s="364" customFormat="1" x14ac:dyDescent="0.3">
      <c r="A299" s="378"/>
      <c r="B299" s="135" t="s">
        <v>565</v>
      </c>
      <c r="C299" s="378" t="s">
        <v>831</v>
      </c>
      <c r="D299" s="378" t="s">
        <v>435</v>
      </c>
      <c r="E299" s="416"/>
      <c r="F299" s="274" t="s">
        <v>562</v>
      </c>
      <c r="G299" s="409" t="s">
        <v>14</v>
      </c>
      <c r="H299" s="410" t="s">
        <v>14</v>
      </c>
      <c r="I299" s="419"/>
      <c r="J299" s="365">
        <v>1.25</v>
      </c>
      <c r="K299" s="409" t="s">
        <v>14</v>
      </c>
      <c r="L299" s="410" t="s">
        <v>14</v>
      </c>
      <c r="M299" s="378"/>
      <c r="N299" s="378"/>
      <c r="O299" s="378"/>
      <c r="P299" s="378"/>
      <c r="Q299" s="378"/>
      <c r="R299" s="670"/>
      <c r="S299" s="403"/>
      <c r="T299" s="403"/>
      <c r="V299" s="671"/>
      <c r="X299" s="670"/>
    </row>
    <row r="300" spans="1:24" s="364" customFormat="1" x14ac:dyDescent="0.3">
      <c r="A300" s="378"/>
      <c r="B300" s="135" t="s">
        <v>566</v>
      </c>
      <c r="C300" s="378" t="s">
        <v>831</v>
      </c>
      <c r="D300" s="378" t="s">
        <v>435</v>
      </c>
      <c r="E300" s="416"/>
      <c r="F300" s="274" t="s">
        <v>562</v>
      </c>
      <c r="G300" s="409" t="s">
        <v>14</v>
      </c>
      <c r="H300" s="410" t="s">
        <v>14</v>
      </c>
      <c r="I300" s="419"/>
      <c r="J300" s="365">
        <v>1.25</v>
      </c>
      <c r="K300" s="409" t="s">
        <v>14</v>
      </c>
      <c r="L300" s="410" t="s">
        <v>14</v>
      </c>
      <c r="M300" s="378"/>
      <c r="N300" s="378"/>
      <c r="O300" s="378"/>
      <c r="P300" s="378"/>
      <c r="Q300" s="378"/>
      <c r="R300" s="670"/>
      <c r="S300" s="403"/>
      <c r="T300" s="403"/>
      <c r="V300" s="671"/>
      <c r="X300" s="670"/>
    </row>
    <row r="301" spans="1:24" s="364" customFormat="1" x14ac:dyDescent="0.3">
      <c r="A301" s="378"/>
      <c r="B301" s="135" t="s">
        <v>795</v>
      </c>
      <c r="C301" s="378" t="s">
        <v>831</v>
      </c>
      <c r="D301" s="378" t="s">
        <v>435</v>
      </c>
      <c r="E301" s="416"/>
      <c r="F301" s="274" t="s">
        <v>562</v>
      </c>
      <c r="G301" s="409" t="s">
        <v>14</v>
      </c>
      <c r="H301" s="410" t="s">
        <v>14</v>
      </c>
      <c r="I301" s="136"/>
      <c r="J301" s="365">
        <v>1.25</v>
      </c>
      <c r="K301" s="409" t="s">
        <v>14</v>
      </c>
      <c r="L301" s="410" t="s">
        <v>14</v>
      </c>
      <c r="M301" s="378"/>
      <c r="N301" s="378"/>
      <c r="O301" s="378"/>
      <c r="P301" s="378"/>
      <c r="Q301" s="378"/>
      <c r="R301" s="670"/>
      <c r="S301" s="403"/>
      <c r="T301" s="403"/>
      <c r="V301" s="671"/>
      <c r="X301" s="670"/>
    </row>
    <row r="302" spans="1:24" s="362" customFormat="1" ht="27.6" x14ac:dyDescent="0.3">
      <c r="A302" s="82"/>
      <c r="B302" s="175" t="s">
        <v>834</v>
      </c>
      <c r="C302" s="150" t="s">
        <v>910</v>
      </c>
      <c r="D302" s="181" t="s">
        <v>435</v>
      </c>
      <c r="E302" s="417"/>
      <c r="F302" s="193" t="s">
        <v>562</v>
      </c>
      <c r="G302" s="411" t="s">
        <v>14</v>
      </c>
      <c r="H302" s="412" t="s">
        <v>14</v>
      </c>
      <c r="I302" s="153"/>
      <c r="J302" s="193">
        <v>1.25</v>
      </c>
      <c r="K302" s="411" t="s">
        <v>14</v>
      </c>
      <c r="L302" s="412" t="s">
        <v>14</v>
      </c>
      <c r="M302" s="369"/>
      <c r="N302" s="369"/>
      <c r="O302" s="369"/>
      <c r="P302" s="369"/>
      <c r="Q302" s="369"/>
      <c r="R302" s="670"/>
      <c r="S302" s="403"/>
      <c r="T302" s="403"/>
      <c r="U302" s="364"/>
      <c r="V302" s="671"/>
      <c r="W302" s="364"/>
      <c r="X302" s="670"/>
    </row>
    <row r="303" spans="1:24" s="397" customFormat="1" ht="14.4" x14ac:dyDescent="0.3">
      <c r="A303" s="82"/>
      <c r="B303" s="384"/>
      <c r="C303" s="384"/>
      <c r="E303" s="362"/>
      <c r="G303" s="362"/>
      <c r="I303" s="362"/>
      <c r="K303" s="362"/>
      <c r="M303" s="369"/>
      <c r="N303" s="369"/>
      <c r="O303" s="369"/>
      <c r="P303" s="369"/>
      <c r="Q303" s="369"/>
      <c r="R303" s="369"/>
      <c r="S303" s="369"/>
      <c r="T303" s="369"/>
      <c r="U303" s="369"/>
      <c r="V303" s="369"/>
      <c r="W303" s="369"/>
      <c r="X303" s="369"/>
    </row>
    <row r="304" spans="1:24" s="397" customFormat="1" ht="14.4" x14ac:dyDescent="0.3">
      <c r="A304" s="82"/>
      <c r="B304" s="384"/>
      <c r="C304" s="384"/>
      <c r="E304" s="362"/>
      <c r="G304" s="362"/>
      <c r="I304" s="362"/>
      <c r="K304" s="362"/>
      <c r="M304" s="369"/>
      <c r="N304" s="369"/>
      <c r="O304" s="369"/>
      <c r="P304" s="369"/>
      <c r="Q304" s="369"/>
      <c r="R304" s="369"/>
      <c r="S304" s="369"/>
      <c r="T304" s="369"/>
      <c r="U304" s="369"/>
      <c r="V304" s="369"/>
      <c r="W304" s="369"/>
      <c r="X304" s="369"/>
    </row>
    <row r="305" spans="1:25" s="397" customFormat="1" ht="27.6" x14ac:dyDescent="0.3">
      <c r="A305" s="82"/>
      <c r="B305" s="189" t="s">
        <v>500</v>
      </c>
      <c r="C305" s="113" t="s">
        <v>506</v>
      </c>
      <c r="D305" s="112" t="s">
        <v>433</v>
      </c>
      <c r="E305" s="125"/>
      <c r="F305" s="110" t="s">
        <v>184</v>
      </c>
      <c r="G305" s="113"/>
      <c r="H305" s="168" t="s">
        <v>277</v>
      </c>
      <c r="I305" s="125"/>
      <c r="J305" s="110" t="s">
        <v>511</v>
      </c>
      <c r="K305" s="113"/>
      <c r="L305" s="168" t="s">
        <v>183</v>
      </c>
      <c r="M305" s="189"/>
      <c r="N305" s="142" t="s">
        <v>205</v>
      </c>
      <c r="O305" s="168"/>
      <c r="P305" s="168" t="s">
        <v>507</v>
      </c>
      <c r="Q305" s="189"/>
      <c r="R305" s="110" t="s">
        <v>206</v>
      </c>
      <c r="S305" s="189"/>
      <c r="T305" s="110" t="s">
        <v>182</v>
      </c>
      <c r="U305" s="189"/>
      <c r="V305" s="110" t="s">
        <v>675</v>
      </c>
      <c r="W305" s="369"/>
      <c r="X305" s="369"/>
    </row>
    <row r="306" spans="1:25" s="397" customFormat="1" ht="15" thickBot="1" x14ac:dyDescent="0.35">
      <c r="A306" s="82"/>
      <c r="B306" s="173" t="s">
        <v>268</v>
      </c>
      <c r="C306" s="171" t="s">
        <v>269</v>
      </c>
      <c r="D306" s="171"/>
      <c r="E306" s="178"/>
      <c r="F306" s="174" t="s">
        <v>270</v>
      </c>
      <c r="G306" s="172"/>
      <c r="H306" s="171" t="s">
        <v>271</v>
      </c>
      <c r="I306" s="178"/>
      <c r="J306" s="174"/>
      <c r="K306" s="172"/>
      <c r="L306" s="171" t="s">
        <v>272</v>
      </c>
      <c r="M306" s="178"/>
      <c r="N306" s="174" t="s">
        <v>273</v>
      </c>
      <c r="O306" s="172"/>
      <c r="P306" s="171" t="s">
        <v>274</v>
      </c>
      <c r="Q306" s="178"/>
      <c r="R306" s="174" t="s">
        <v>275</v>
      </c>
      <c r="S306" s="178"/>
      <c r="T306" s="174" t="s">
        <v>276</v>
      </c>
      <c r="U306" s="178"/>
      <c r="V306" s="174" t="s">
        <v>676</v>
      </c>
      <c r="W306" s="369"/>
      <c r="X306" s="369"/>
    </row>
    <row r="307" spans="1:25" s="364" customFormat="1" ht="15" thickTop="1" x14ac:dyDescent="0.3">
      <c r="A307" s="378"/>
      <c r="B307" s="135" t="s">
        <v>797</v>
      </c>
      <c r="C307" s="378" t="s">
        <v>563</v>
      </c>
      <c r="D307" s="378" t="s">
        <v>435</v>
      </c>
      <c r="E307" s="416"/>
      <c r="F307" s="378" t="s">
        <v>482</v>
      </c>
      <c r="G307" s="416"/>
      <c r="H307" s="378" t="s">
        <v>564</v>
      </c>
      <c r="I307" s="490" t="s">
        <v>919</v>
      </c>
      <c r="J307" s="90">
        <v>9664.19</v>
      </c>
      <c r="K307" s="490" t="s">
        <v>919</v>
      </c>
      <c r="L307" s="760">
        <f>J307*P307*(0.1175/745.6)/N307</f>
        <v>8.8841160083601576</v>
      </c>
      <c r="M307" s="416"/>
      <c r="N307" s="677">
        <f>IF(J307&lt;2000,0.5,IF(J307&lt;10000,0.6,0.62))</f>
        <v>0.6</v>
      </c>
      <c r="O307" s="416"/>
      <c r="P307" s="802">
        <v>3.5</v>
      </c>
      <c r="Q307" s="418"/>
      <c r="R307" s="803">
        <v>10</v>
      </c>
      <c r="S307" s="416"/>
      <c r="T307" s="804">
        <v>0.91700000000000004</v>
      </c>
      <c r="U307" s="409" t="s">
        <v>14</v>
      </c>
      <c r="V307" s="410" t="s">
        <v>14</v>
      </c>
      <c r="W307" s="369"/>
      <c r="X307" s="369"/>
      <c r="Y307" s="397"/>
    </row>
    <row r="308" spans="1:25" s="364" customFormat="1" ht="14.4" x14ac:dyDescent="0.3">
      <c r="A308" s="378"/>
      <c r="B308" s="135" t="s">
        <v>798</v>
      </c>
      <c r="C308" s="378" t="s">
        <v>577</v>
      </c>
      <c r="D308" s="378" t="s">
        <v>435</v>
      </c>
      <c r="E308" s="419"/>
      <c r="F308" s="378" t="s">
        <v>482</v>
      </c>
      <c r="G308" s="416"/>
      <c r="H308" s="378" t="s">
        <v>564</v>
      </c>
      <c r="I308" s="491" t="s">
        <v>919</v>
      </c>
      <c r="J308" s="90">
        <v>1472.18</v>
      </c>
      <c r="K308" s="491" t="s">
        <v>919</v>
      </c>
      <c r="L308" s="760">
        <f>J308*P308*(0.1175/745.6)/N308</f>
        <v>1.3920156920600857</v>
      </c>
      <c r="M308" s="416"/>
      <c r="N308" s="677">
        <f>IF(J308&lt;2000,0.5,IF(J308&lt;10000,0.6,0.62))</f>
        <v>0.5</v>
      </c>
      <c r="O308" s="416"/>
      <c r="P308" s="802">
        <v>3</v>
      </c>
      <c r="Q308" s="418"/>
      <c r="R308" s="805">
        <v>1.5</v>
      </c>
      <c r="S308" s="419"/>
      <c r="T308" s="806">
        <v>0.86499999999999999</v>
      </c>
      <c r="U308" s="409" t="s">
        <v>14</v>
      </c>
      <c r="V308" s="410" t="s">
        <v>14</v>
      </c>
      <c r="W308" s="369"/>
      <c r="X308" s="369"/>
      <c r="Y308" s="397"/>
    </row>
    <row r="309" spans="1:25" s="364" customFormat="1" ht="14.4" x14ac:dyDescent="0.3">
      <c r="A309" s="378"/>
      <c r="B309" s="135" t="s">
        <v>799</v>
      </c>
      <c r="C309" s="378" t="s">
        <v>578</v>
      </c>
      <c r="D309" s="378" t="s">
        <v>435</v>
      </c>
      <c r="E309" s="419"/>
      <c r="F309" s="378" t="s">
        <v>482</v>
      </c>
      <c r="G309" s="416"/>
      <c r="H309" s="378" t="s">
        <v>564</v>
      </c>
      <c r="I309" s="491" t="s">
        <v>919</v>
      </c>
      <c r="J309" s="90">
        <v>1470.83</v>
      </c>
      <c r="K309" s="491" t="s">
        <v>919</v>
      </c>
      <c r="L309" s="760">
        <f>J309*P309*(0.1175/745.6)/N309</f>
        <v>1.3907392033261801</v>
      </c>
      <c r="M309" s="416"/>
      <c r="N309" s="677">
        <f t="shared" ref="N309:N310" si="8">IF(J309&lt;2000,0.5,IF(J309&lt;10000,0.6,0.62))</f>
        <v>0.5</v>
      </c>
      <c r="O309" s="416"/>
      <c r="P309" s="802">
        <v>3</v>
      </c>
      <c r="Q309" s="419"/>
      <c r="R309" s="807">
        <v>1.5</v>
      </c>
      <c r="S309" s="419"/>
      <c r="T309" s="806">
        <v>0.86499999999999999</v>
      </c>
      <c r="U309" s="409" t="s">
        <v>14</v>
      </c>
      <c r="V309" s="410" t="s">
        <v>14</v>
      </c>
      <c r="W309" s="369"/>
      <c r="X309" s="369"/>
      <c r="Y309" s="397"/>
    </row>
    <row r="310" spans="1:25" s="364" customFormat="1" ht="14.4" x14ac:dyDescent="0.3">
      <c r="A310" s="378"/>
      <c r="B310" s="135" t="s">
        <v>800</v>
      </c>
      <c r="C310" s="378" t="s">
        <v>816</v>
      </c>
      <c r="D310" s="378" t="s">
        <v>435</v>
      </c>
      <c r="E310" s="419"/>
      <c r="F310" s="378" t="s">
        <v>482</v>
      </c>
      <c r="G310" s="416"/>
      <c r="H310" s="378" t="s">
        <v>564</v>
      </c>
      <c r="I310" s="491" t="s">
        <v>919</v>
      </c>
      <c r="J310" s="90">
        <v>1730.38</v>
      </c>
      <c r="K310" s="491" t="s">
        <v>919</v>
      </c>
      <c r="L310" s="760">
        <f>J310*P310*(0.1175/745.6)/N310</f>
        <v>1.6361559817596565</v>
      </c>
      <c r="M310" s="416"/>
      <c r="N310" s="677">
        <f t="shared" si="8"/>
        <v>0.5</v>
      </c>
      <c r="O310" s="416"/>
      <c r="P310" s="802">
        <v>3</v>
      </c>
      <c r="Q310" s="136"/>
      <c r="R310" s="805">
        <v>2</v>
      </c>
      <c r="S310" s="419"/>
      <c r="T310" s="806">
        <v>0.86499999999999999</v>
      </c>
      <c r="U310" s="409" t="s">
        <v>14</v>
      </c>
      <c r="V310" s="410" t="s">
        <v>14</v>
      </c>
      <c r="W310" s="369"/>
      <c r="X310" s="369"/>
      <c r="Y310" s="397"/>
    </row>
    <row r="311" spans="1:25" s="364" customFormat="1" ht="14.4" x14ac:dyDescent="0.3">
      <c r="A311" s="378"/>
      <c r="B311" s="135" t="s">
        <v>803</v>
      </c>
      <c r="C311" s="378" t="s">
        <v>833</v>
      </c>
      <c r="D311" s="378" t="s">
        <v>435</v>
      </c>
      <c r="E311" s="419"/>
      <c r="F311" s="378" t="s">
        <v>485</v>
      </c>
      <c r="G311" s="416"/>
      <c r="H311" s="378" t="s">
        <v>674</v>
      </c>
      <c r="I311" s="491" t="s">
        <v>919</v>
      </c>
      <c r="J311" s="496">
        <v>167.96</v>
      </c>
      <c r="K311" s="409" t="s">
        <v>14</v>
      </c>
      <c r="L311" s="410" t="s">
        <v>14</v>
      </c>
      <c r="M311" s="491" t="s">
        <v>919</v>
      </c>
      <c r="N311" s="90">
        <v>0.5</v>
      </c>
      <c r="O311" s="491" t="s">
        <v>919</v>
      </c>
      <c r="P311" s="496">
        <v>1.2734000000000001</v>
      </c>
      <c r="Q311" s="409" t="s">
        <v>14</v>
      </c>
      <c r="R311" s="410" t="s">
        <v>14</v>
      </c>
      <c r="S311" s="491" t="s">
        <v>919</v>
      </c>
      <c r="T311" s="90">
        <v>0.85499999999999998</v>
      </c>
      <c r="U311" s="419"/>
      <c r="V311" s="498">
        <f>0.1175*P311/(N311*T311)</f>
        <v>0.3499988304093567</v>
      </c>
      <c r="W311" s="369"/>
      <c r="X311" s="369"/>
      <c r="Y311" s="397"/>
    </row>
    <row r="312" spans="1:25" s="364" customFormat="1" ht="14.4" x14ac:dyDescent="0.3">
      <c r="A312" s="378"/>
      <c r="B312" s="135" t="s">
        <v>803</v>
      </c>
      <c r="C312" s="378" t="s">
        <v>876</v>
      </c>
      <c r="D312" s="378" t="s">
        <v>435</v>
      </c>
      <c r="E312" s="419"/>
      <c r="F312" s="378" t="s">
        <v>485</v>
      </c>
      <c r="G312" s="416"/>
      <c r="H312" s="378" t="s">
        <v>674</v>
      </c>
      <c r="I312" s="491" t="s">
        <v>919</v>
      </c>
      <c r="J312" s="496">
        <v>169.99</v>
      </c>
      <c r="K312" s="409" t="s">
        <v>14</v>
      </c>
      <c r="L312" s="410" t="s">
        <v>14</v>
      </c>
      <c r="M312" s="491" t="s">
        <v>919</v>
      </c>
      <c r="N312" s="90">
        <v>0.5</v>
      </c>
      <c r="O312" s="491" t="s">
        <v>919</v>
      </c>
      <c r="P312" s="496">
        <v>1.2734000000000001</v>
      </c>
      <c r="Q312" s="409" t="s">
        <v>14</v>
      </c>
      <c r="R312" s="410" t="s">
        <v>14</v>
      </c>
      <c r="S312" s="491" t="s">
        <v>919</v>
      </c>
      <c r="T312" s="90">
        <v>0.85499999999999998</v>
      </c>
      <c r="U312" s="419"/>
      <c r="V312" s="498">
        <f>0.1175*P312/(N312*T312)</f>
        <v>0.3499988304093567</v>
      </c>
      <c r="W312" s="369"/>
      <c r="X312" s="369"/>
      <c r="Y312" s="397"/>
    </row>
    <row r="313" spans="1:25" s="364" customFormat="1" ht="14.4" x14ac:dyDescent="0.3">
      <c r="A313" s="378"/>
      <c r="B313" s="135" t="s">
        <v>803</v>
      </c>
      <c r="C313" s="378" t="s">
        <v>877</v>
      </c>
      <c r="D313" s="378" t="s">
        <v>435</v>
      </c>
      <c r="E313" s="419"/>
      <c r="F313" s="378" t="s">
        <v>485</v>
      </c>
      <c r="G313" s="416"/>
      <c r="H313" s="378" t="s">
        <v>674</v>
      </c>
      <c r="I313" s="491" t="s">
        <v>919</v>
      </c>
      <c r="J313" s="496">
        <v>165</v>
      </c>
      <c r="K313" s="409" t="s">
        <v>14</v>
      </c>
      <c r="L313" s="410" t="s">
        <v>14</v>
      </c>
      <c r="M313" s="491" t="s">
        <v>919</v>
      </c>
      <c r="N313" s="90">
        <v>0.5</v>
      </c>
      <c r="O313" s="491" t="s">
        <v>919</v>
      </c>
      <c r="P313" s="496">
        <v>1.2734000000000001</v>
      </c>
      <c r="Q313" s="409" t="s">
        <v>14</v>
      </c>
      <c r="R313" s="410" t="s">
        <v>14</v>
      </c>
      <c r="S313" s="491" t="s">
        <v>919</v>
      </c>
      <c r="T313" s="90">
        <v>0.85499999999999998</v>
      </c>
      <c r="U313" s="419"/>
      <c r="V313" s="498">
        <f t="shared" ref="V313:V345" si="9">0.1175*P313/(N313*T313)</f>
        <v>0.3499988304093567</v>
      </c>
      <c r="W313" s="369"/>
      <c r="X313" s="369"/>
      <c r="Y313" s="397"/>
    </row>
    <row r="314" spans="1:25" s="364" customFormat="1" ht="14.4" x14ac:dyDescent="0.3">
      <c r="A314" s="378"/>
      <c r="B314" s="135" t="s">
        <v>803</v>
      </c>
      <c r="C314" s="378" t="s">
        <v>878</v>
      </c>
      <c r="D314" s="378" t="s">
        <v>435</v>
      </c>
      <c r="E314" s="419"/>
      <c r="F314" s="378" t="s">
        <v>485</v>
      </c>
      <c r="G314" s="416"/>
      <c r="H314" s="378" t="s">
        <v>674</v>
      </c>
      <c r="I314" s="491" t="s">
        <v>919</v>
      </c>
      <c r="J314" s="496">
        <v>161.61000000000001</v>
      </c>
      <c r="K314" s="409" t="s">
        <v>14</v>
      </c>
      <c r="L314" s="410" t="s">
        <v>14</v>
      </c>
      <c r="M314" s="491" t="s">
        <v>919</v>
      </c>
      <c r="N314" s="90">
        <v>0.5</v>
      </c>
      <c r="O314" s="491" t="s">
        <v>919</v>
      </c>
      <c r="P314" s="496">
        <v>1.2734000000000001</v>
      </c>
      <c r="Q314" s="409" t="s">
        <v>14</v>
      </c>
      <c r="R314" s="410" t="s">
        <v>14</v>
      </c>
      <c r="S314" s="491" t="s">
        <v>919</v>
      </c>
      <c r="T314" s="90">
        <v>0.85499999999999998</v>
      </c>
      <c r="U314" s="419"/>
      <c r="V314" s="498">
        <f t="shared" si="9"/>
        <v>0.3499988304093567</v>
      </c>
      <c r="W314" s="369"/>
      <c r="X314" s="369"/>
      <c r="Y314" s="397"/>
    </row>
    <row r="315" spans="1:25" s="364" customFormat="1" ht="14.4" x14ac:dyDescent="0.3">
      <c r="A315" s="378"/>
      <c r="B315" s="135" t="s">
        <v>803</v>
      </c>
      <c r="C315" s="378" t="s">
        <v>879</v>
      </c>
      <c r="D315" s="378" t="s">
        <v>435</v>
      </c>
      <c r="E315" s="419"/>
      <c r="F315" s="378" t="s">
        <v>485</v>
      </c>
      <c r="G315" s="416"/>
      <c r="H315" s="378" t="s">
        <v>674</v>
      </c>
      <c r="I315" s="491" t="s">
        <v>919</v>
      </c>
      <c r="J315" s="496">
        <v>162.07</v>
      </c>
      <c r="K315" s="409" t="s">
        <v>14</v>
      </c>
      <c r="L315" s="410" t="s">
        <v>14</v>
      </c>
      <c r="M315" s="491" t="s">
        <v>919</v>
      </c>
      <c r="N315" s="90">
        <v>0.5</v>
      </c>
      <c r="O315" s="491" t="s">
        <v>919</v>
      </c>
      <c r="P315" s="496">
        <v>1.2734000000000001</v>
      </c>
      <c r="Q315" s="409" t="s">
        <v>14</v>
      </c>
      <c r="R315" s="410" t="s">
        <v>14</v>
      </c>
      <c r="S315" s="491" t="s">
        <v>919</v>
      </c>
      <c r="T315" s="90">
        <v>0.85499999999999998</v>
      </c>
      <c r="U315" s="419"/>
      <c r="V315" s="498">
        <f t="shared" si="9"/>
        <v>0.3499988304093567</v>
      </c>
      <c r="W315" s="369"/>
      <c r="X315" s="369"/>
      <c r="Y315" s="397"/>
    </row>
    <row r="316" spans="1:25" s="364" customFormat="1" ht="14.4" x14ac:dyDescent="0.3">
      <c r="A316" s="378"/>
      <c r="B316" s="135" t="s">
        <v>803</v>
      </c>
      <c r="C316" s="378" t="s">
        <v>880</v>
      </c>
      <c r="D316" s="378" t="s">
        <v>435</v>
      </c>
      <c r="E316" s="419"/>
      <c r="F316" s="378" t="s">
        <v>485</v>
      </c>
      <c r="G316" s="416"/>
      <c r="H316" s="378" t="s">
        <v>674</v>
      </c>
      <c r="I316" s="491" t="s">
        <v>919</v>
      </c>
      <c r="J316" s="496">
        <v>182.53</v>
      </c>
      <c r="K316" s="409" t="s">
        <v>14</v>
      </c>
      <c r="L316" s="410" t="s">
        <v>14</v>
      </c>
      <c r="M316" s="491" t="s">
        <v>919</v>
      </c>
      <c r="N316" s="90">
        <v>0.5</v>
      </c>
      <c r="O316" s="491" t="s">
        <v>919</v>
      </c>
      <c r="P316" s="496">
        <v>1.2734000000000001</v>
      </c>
      <c r="Q316" s="409" t="s">
        <v>14</v>
      </c>
      <c r="R316" s="410" t="s">
        <v>14</v>
      </c>
      <c r="S316" s="491" t="s">
        <v>919</v>
      </c>
      <c r="T316" s="90">
        <v>0.85499999999999998</v>
      </c>
      <c r="U316" s="419"/>
      <c r="V316" s="498">
        <f t="shared" si="9"/>
        <v>0.3499988304093567</v>
      </c>
      <c r="W316" s="369"/>
      <c r="X316" s="369"/>
      <c r="Y316" s="397"/>
    </row>
    <row r="317" spans="1:25" s="364" customFormat="1" ht="14.4" x14ac:dyDescent="0.3">
      <c r="A317" s="378"/>
      <c r="B317" s="135" t="s">
        <v>803</v>
      </c>
      <c r="C317" s="378" t="s">
        <v>881</v>
      </c>
      <c r="D317" s="378" t="s">
        <v>435</v>
      </c>
      <c r="E317" s="419"/>
      <c r="F317" s="378" t="s">
        <v>485</v>
      </c>
      <c r="G317" s="416"/>
      <c r="H317" s="378" t="s">
        <v>674</v>
      </c>
      <c r="I317" s="491" t="s">
        <v>919</v>
      </c>
      <c r="J317" s="496">
        <v>152.25</v>
      </c>
      <c r="K317" s="409" t="s">
        <v>14</v>
      </c>
      <c r="L317" s="410" t="s">
        <v>14</v>
      </c>
      <c r="M317" s="491" t="s">
        <v>919</v>
      </c>
      <c r="N317" s="90">
        <v>0.5</v>
      </c>
      <c r="O317" s="491" t="s">
        <v>919</v>
      </c>
      <c r="P317" s="496">
        <v>1.2734000000000001</v>
      </c>
      <c r="Q317" s="409" t="s">
        <v>14</v>
      </c>
      <c r="R317" s="410" t="s">
        <v>14</v>
      </c>
      <c r="S317" s="491" t="s">
        <v>919</v>
      </c>
      <c r="T317" s="90">
        <v>0.85499999999999998</v>
      </c>
      <c r="U317" s="419"/>
      <c r="V317" s="498">
        <f t="shared" si="9"/>
        <v>0.3499988304093567</v>
      </c>
      <c r="W317" s="369"/>
      <c r="X317" s="369"/>
      <c r="Y317" s="397"/>
    </row>
    <row r="318" spans="1:25" s="364" customFormat="1" ht="14.4" x14ac:dyDescent="0.3">
      <c r="A318" s="378"/>
      <c r="B318" s="135" t="s">
        <v>803</v>
      </c>
      <c r="C318" s="378" t="s">
        <v>882</v>
      </c>
      <c r="D318" s="378" t="s">
        <v>435</v>
      </c>
      <c r="E318" s="419"/>
      <c r="F318" s="378" t="s">
        <v>485</v>
      </c>
      <c r="G318" s="416"/>
      <c r="H318" s="378" t="s">
        <v>674</v>
      </c>
      <c r="I318" s="491" t="s">
        <v>919</v>
      </c>
      <c r="J318" s="496">
        <v>153.09</v>
      </c>
      <c r="K318" s="409" t="s">
        <v>14</v>
      </c>
      <c r="L318" s="410" t="s">
        <v>14</v>
      </c>
      <c r="M318" s="491" t="s">
        <v>919</v>
      </c>
      <c r="N318" s="90">
        <v>0.5</v>
      </c>
      <c r="O318" s="491" t="s">
        <v>919</v>
      </c>
      <c r="P318" s="496">
        <v>1.2734000000000001</v>
      </c>
      <c r="Q318" s="409" t="s">
        <v>14</v>
      </c>
      <c r="R318" s="410" t="s">
        <v>14</v>
      </c>
      <c r="S318" s="491" t="s">
        <v>919</v>
      </c>
      <c r="T318" s="90">
        <v>0.85499999999999998</v>
      </c>
      <c r="U318" s="419"/>
      <c r="V318" s="498">
        <f t="shared" si="9"/>
        <v>0.3499988304093567</v>
      </c>
      <c r="W318" s="369"/>
      <c r="X318" s="369"/>
      <c r="Y318" s="397"/>
    </row>
    <row r="319" spans="1:25" s="364" customFormat="1" ht="14.4" x14ac:dyDescent="0.3">
      <c r="A319" s="378"/>
      <c r="B319" s="135" t="s">
        <v>803</v>
      </c>
      <c r="C319" s="378" t="s">
        <v>883</v>
      </c>
      <c r="D319" s="378" t="s">
        <v>435</v>
      </c>
      <c r="E319" s="419"/>
      <c r="F319" s="378" t="s">
        <v>485</v>
      </c>
      <c r="G319" s="416"/>
      <c r="H319" s="378" t="s">
        <v>674</v>
      </c>
      <c r="I319" s="491" t="s">
        <v>919</v>
      </c>
      <c r="J319" s="496">
        <v>140.542</v>
      </c>
      <c r="K319" s="409" t="s">
        <v>14</v>
      </c>
      <c r="L319" s="410" t="s">
        <v>14</v>
      </c>
      <c r="M319" s="491" t="s">
        <v>919</v>
      </c>
      <c r="N319" s="90">
        <v>0.5</v>
      </c>
      <c r="O319" s="491" t="s">
        <v>919</v>
      </c>
      <c r="P319" s="496">
        <v>1.2734000000000001</v>
      </c>
      <c r="Q319" s="409" t="s">
        <v>14</v>
      </c>
      <c r="R319" s="410" t="s">
        <v>14</v>
      </c>
      <c r="S319" s="491" t="s">
        <v>919</v>
      </c>
      <c r="T319" s="90">
        <v>0.85499999999999998</v>
      </c>
      <c r="U319" s="419"/>
      <c r="V319" s="498">
        <f t="shared" si="9"/>
        <v>0.3499988304093567</v>
      </c>
      <c r="W319" s="369"/>
      <c r="X319" s="369"/>
      <c r="Y319" s="397"/>
    </row>
    <row r="320" spans="1:25" s="364" customFormat="1" ht="14.4" x14ac:dyDescent="0.3">
      <c r="A320" s="378"/>
      <c r="B320" s="135" t="s">
        <v>803</v>
      </c>
      <c r="C320" s="378" t="s">
        <v>884</v>
      </c>
      <c r="D320" s="378" t="s">
        <v>435</v>
      </c>
      <c r="E320" s="419"/>
      <c r="F320" s="378" t="s">
        <v>485</v>
      </c>
      <c r="G320" s="416"/>
      <c r="H320" s="378" t="s">
        <v>674</v>
      </c>
      <c r="I320" s="491" t="s">
        <v>919</v>
      </c>
      <c r="J320" s="496">
        <v>140.63999999999999</v>
      </c>
      <c r="K320" s="409" t="s">
        <v>14</v>
      </c>
      <c r="L320" s="410" t="s">
        <v>14</v>
      </c>
      <c r="M320" s="491" t="s">
        <v>919</v>
      </c>
      <c r="N320" s="90">
        <v>0.5</v>
      </c>
      <c r="O320" s="491" t="s">
        <v>919</v>
      </c>
      <c r="P320" s="496">
        <v>1.2734000000000001</v>
      </c>
      <c r="Q320" s="409" t="s">
        <v>14</v>
      </c>
      <c r="R320" s="410" t="s">
        <v>14</v>
      </c>
      <c r="S320" s="491" t="s">
        <v>919</v>
      </c>
      <c r="T320" s="90">
        <v>0.85499999999999998</v>
      </c>
      <c r="U320" s="419"/>
      <c r="V320" s="498">
        <f t="shared" si="9"/>
        <v>0.3499988304093567</v>
      </c>
      <c r="W320" s="369"/>
      <c r="X320" s="369"/>
      <c r="Y320" s="397"/>
    </row>
    <row r="321" spans="1:25" s="364" customFormat="1" ht="14.4" x14ac:dyDescent="0.3">
      <c r="A321" s="378"/>
      <c r="B321" s="135" t="s">
        <v>803</v>
      </c>
      <c r="C321" s="378" t="s">
        <v>885</v>
      </c>
      <c r="D321" s="378" t="s">
        <v>435</v>
      </c>
      <c r="E321" s="419"/>
      <c r="F321" s="378" t="s">
        <v>485</v>
      </c>
      <c r="G321" s="416"/>
      <c r="H321" s="378" t="s">
        <v>674</v>
      </c>
      <c r="I321" s="491" t="s">
        <v>919</v>
      </c>
      <c r="J321" s="496">
        <v>137.4</v>
      </c>
      <c r="K321" s="409" t="s">
        <v>14</v>
      </c>
      <c r="L321" s="410" t="s">
        <v>14</v>
      </c>
      <c r="M321" s="491" t="s">
        <v>919</v>
      </c>
      <c r="N321" s="90">
        <v>0.5</v>
      </c>
      <c r="O321" s="491" t="s">
        <v>919</v>
      </c>
      <c r="P321" s="496">
        <v>1.2734000000000001</v>
      </c>
      <c r="Q321" s="409" t="s">
        <v>14</v>
      </c>
      <c r="R321" s="410" t="s">
        <v>14</v>
      </c>
      <c r="S321" s="491" t="s">
        <v>919</v>
      </c>
      <c r="T321" s="90">
        <v>0.85499999999999998</v>
      </c>
      <c r="U321" s="419"/>
      <c r="V321" s="498">
        <f t="shared" si="9"/>
        <v>0.3499988304093567</v>
      </c>
      <c r="W321" s="369"/>
      <c r="X321" s="369"/>
      <c r="Y321" s="397"/>
    </row>
    <row r="322" spans="1:25" s="364" customFormat="1" ht="14.4" x14ac:dyDescent="0.3">
      <c r="A322" s="378"/>
      <c r="B322" s="135" t="s">
        <v>803</v>
      </c>
      <c r="C322" s="378" t="s">
        <v>886</v>
      </c>
      <c r="D322" s="378" t="s">
        <v>435</v>
      </c>
      <c r="E322" s="419"/>
      <c r="F322" s="378" t="s">
        <v>485</v>
      </c>
      <c r="G322" s="416"/>
      <c r="H322" s="378" t="s">
        <v>674</v>
      </c>
      <c r="I322" s="491" t="s">
        <v>919</v>
      </c>
      <c r="J322" s="496">
        <v>135.10499999999999</v>
      </c>
      <c r="K322" s="409" t="s">
        <v>14</v>
      </c>
      <c r="L322" s="410" t="s">
        <v>14</v>
      </c>
      <c r="M322" s="491" t="s">
        <v>919</v>
      </c>
      <c r="N322" s="90">
        <v>0.5</v>
      </c>
      <c r="O322" s="491" t="s">
        <v>919</v>
      </c>
      <c r="P322" s="496">
        <v>1.2734000000000001</v>
      </c>
      <c r="Q322" s="409" t="s">
        <v>14</v>
      </c>
      <c r="R322" s="410" t="s">
        <v>14</v>
      </c>
      <c r="S322" s="491" t="s">
        <v>919</v>
      </c>
      <c r="T322" s="90">
        <v>0.85499999999999998</v>
      </c>
      <c r="U322" s="419"/>
      <c r="V322" s="498">
        <f t="shared" si="9"/>
        <v>0.3499988304093567</v>
      </c>
      <c r="W322" s="369"/>
      <c r="X322" s="369"/>
      <c r="Y322" s="397"/>
    </row>
    <row r="323" spans="1:25" s="364" customFormat="1" ht="14.4" x14ac:dyDescent="0.3">
      <c r="A323" s="378"/>
      <c r="B323" s="135" t="s">
        <v>803</v>
      </c>
      <c r="C323" s="378" t="s">
        <v>887</v>
      </c>
      <c r="D323" s="378" t="s">
        <v>435</v>
      </c>
      <c r="E323" s="419"/>
      <c r="F323" s="378" t="s">
        <v>485</v>
      </c>
      <c r="G323" s="416"/>
      <c r="H323" s="378" t="s">
        <v>674</v>
      </c>
      <c r="I323" s="491" t="s">
        <v>919</v>
      </c>
      <c r="J323" s="496">
        <v>137.26</v>
      </c>
      <c r="K323" s="409" t="s">
        <v>14</v>
      </c>
      <c r="L323" s="410" t="s">
        <v>14</v>
      </c>
      <c r="M323" s="491" t="s">
        <v>919</v>
      </c>
      <c r="N323" s="90">
        <v>0.5</v>
      </c>
      <c r="O323" s="491" t="s">
        <v>919</v>
      </c>
      <c r="P323" s="496">
        <v>1.2734000000000001</v>
      </c>
      <c r="Q323" s="409" t="s">
        <v>14</v>
      </c>
      <c r="R323" s="410" t="s">
        <v>14</v>
      </c>
      <c r="S323" s="491" t="s">
        <v>919</v>
      </c>
      <c r="T323" s="90">
        <v>0.85499999999999998</v>
      </c>
      <c r="U323" s="419"/>
      <c r="V323" s="498">
        <f t="shared" si="9"/>
        <v>0.3499988304093567</v>
      </c>
      <c r="W323" s="369"/>
      <c r="X323" s="369"/>
      <c r="Y323" s="397"/>
    </row>
    <row r="324" spans="1:25" s="364" customFormat="1" ht="14.4" x14ac:dyDescent="0.3">
      <c r="A324" s="378"/>
      <c r="B324" s="135" t="s">
        <v>803</v>
      </c>
      <c r="C324" s="378" t="s">
        <v>888</v>
      </c>
      <c r="D324" s="378" t="s">
        <v>435</v>
      </c>
      <c r="E324" s="419"/>
      <c r="F324" s="378" t="s">
        <v>485</v>
      </c>
      <c r="G324" s="416"/>
      <c r="H324" s="378" t="s">
        <v>674</v>
      </c>
      <c r="I324" s="491" t="s">
        <v>919</v>
      </c>
      <c r="J324" s="496">
        <v>134.58699999999999</v>
      </c>
      <c r="K324" s="409" t="s">
        <v>14</v>
      </c>
      <c r="L324" s="410" t="s">
        <v>14</v>
      </c>
      <c r="M324" s="491" t="s">
        <v>919</v>
      </c>
      <c r="N324" s="90">
        <v>0.5</v>
      </c>
      <c r="O324" s="491" t="s">
        <v>919</v>
      </c>
      <c r="P324" s="496">
        <v>1.2734000000000001</v>
      </c>
      <c r="Q324" s="409" t="s">
        <v>14</v>
      </c>
      <c r="R324" s="410" t="s">
        <v>14</v>
      </c>
      <c r="S324" s="491" t="s">
        <v>919</v>
      </c>
      <c r="T324" s="90">
        <v>0.85499999999999998</v>
      </c>
      <c r="U324" s="419"/>
      <c r="V324" s="498">
        <f t="shared" si="9"/>
        <v>0.3499988304093567</v>
      </c>
      <c r="W324" s="369"/>
      <c r="X324" s="369"/>
      <c r="Y324" s="397"/>
    </row>
    <row r="325" spans="1:25" s="364" customFormat="1" ht="14.4" x14ac:dyDescent="0.3">
      <c r="A325" s="378"/>
      <c r="B325" s="135" t="s">
        <v>803</v>
      </c>
      <c r="C325" s="378" t="s">
        <v>889</v>
      </c>
      <c r="D325" s="378" t="s">
        <v>435</v>
      </c>
      <c r="E325" s="419"/>
      <c r="F325" s="378" t="s">
        <v>485</v>
      </c>
      <c r="G325" s="416"/>
      <c r="H325" s="378" t="s">
        <v>674</v>
      </c>
      <c r="I325" s="491" t="s">
        <v>919</v>
      </c>
      <c r="J325" s="496">
        <v>136.28</v>
      </c>
      <c r="K325" s="409" t="s">
        <v>14</v>
      </c>
      <c r="L325" s="410" t="s">
        <v>14</v>
      </c>
      <c r="M325" s="491" t="s">
        <v>919</v>
      </c>
      <c r="N325" s="90">
        <v>0.5</v>
      </c>
      <c r="O325" s="491" t="s">
        <v>919</v>
      </c>
      <c r="P325" s="496">
        <v>1.2734000000000001</v>
      </c>
      <c r="Q325" s="409" t="s">
        <v>14</v>
      </c>
      <c r="R325" s="410" t="s">
        <v>14</v>
      </c>
      <c r="S325" s="491" t="s">
        <v>919</v>
      </c>
      <c r="T325" s="90">
        <v>0.85499999999999998</v>
      </c>
      <c r="U325" s="419"/>
      <c r="V325" s="498">
        <f t="shared" si="9"/>
        <v>0.3499988304093567</v>
      </c>
      <c r="W325" s="369"/>
      <c r="X325" s="369"/>
      <c r="Y325" s="397"/>
    </row>
    <row r="326" spans="1:25" s="364" customFormat="1" ht="14.4" x14ac:dyDescent="0.3">
      <c r="A326" s="378"/>
      <c r="B326" s="135" t="s">
        <v>803</v>
      </c>
      <c r="C326" s="378" t="s">
        <v>890</v>
      </c>
      <c r="D326" s="378" t="s">
        <v>435</v>
      </c>
      <c r="E326" s="419"/>
      <c r="F326" s="378" t="s">
        <v>485</v>
      </c>
      <c r="G326" s="416"/>
      <c r="H326" s="378" t="s">
        <v>674</v>
      </c>
      <c r="I326" s="491" t="s">
        <v>919</v>
      </c>
      <c r="J326" s="496">
        <v>170.8</v>
      </c>
      <c r="K326" s="409" t="s">
        <v>14</v>
      </c>
      <c r="L326" s="410" t="s">
        <v>14</v>
      </c>
      <c r="M326" s="491" t="s">
        <v>919</v>
      </c>
      <c r="N326" s="90">
        <v>0.5</v>
      </c>
      <c r="O326" s="491" t="s">
        <v>919</v>
      </c>
      <c r="P326" s="496">
        <v>1.2734000000000001</v>
      </c>
      <c r="Q326" s="409" t="s">
        <v>14</v>
      </c>
      <c r="R326" s="410" t="s">
        <v>14</v>
      </c>
      <c r="S326" s="491" t="s">
        <v>919</v>
      </c>
      <c r="T326" s="90">
        <v>0.85499999999999998</v>
      </c>
      <c r="U326" s="419"/>
      <c r="V326" s="498">
        <f t="shared" si="9"/>
        <v>0.3499988304093567</v>
      </c>
      <c r="W326" s="369"/>
      <c r="X326" s="369"/>
      <c r="Y326" s="397"/>
    </row>
    <row r="327" spans="1:25" s="364" customFormat="1" ht="14.4" x14ac:dyDescent="0.3">
      <c r="A327" s="378"/>
      <c r="B327" s="135" t="s">
        <v>803</v>
      </c>
      <c r="C327" s="378" t="s">
        <v>891</v>
      </c>
      <c r="D327" s="378" t="s">
        <v>435</v>
      </c>
      <c r="E327" s="419"/>
      <c r="F327" s="378" t="s">
        <v>485</v>
      </c>
      <c r="G327" s="416"/>
      <c r="H327" s="378" t="s">
        <v>674</v>
      </c>
      <c r="I327" s="491" t="s">
        <v>919</v>
      </c>
      <c r="J327" s="496">
        <v>142.12</v>
      </c>
      <c r="K327" s="409" t="s">
        <v>14</v>
      </c>
      <c r="L327" s="410" t="s">
        <v>14</v>
      </c>
      <c r="M327" s="491" t="s">
        <v>919</v>
      </c>
      <c r="N327" s="90">
        <v>0.5</v>
      </c>
      <c r="O327" s="491" t="s">
        <v>919</v>
      </c>
      <c r="P327" s="496">
        <v>1.2734000000000001</v>
      </c>
      <c r="Q327" s="409" t="s">
        <v>14</v>
      </c>
      <c r="R327" s="410" t="s">
        <v>14</v>
      </c>
      <c r="S327" s="491" t="s">
        <v>919</v>
      </c>
      <c r="T327" s="90">
        <v>0.85499999999999998</v>
      </c>
      <c r="U327" s="419"/>
      <c r="V327" s="498">
        <f t="shared" si="9"/>
        <v>0.3499988304093567</v>
      </c>
      <c r="W327" s="369"/>
      <c r="X327" s="369"/>
      <c r="Y327" s="397"/>
    </row>
    <row r="328" spans="1:25" s="364" customFormat="1" ht="14.4" x14ac:dyDescent="0.3">
      <c r="A328" s="378"/>
      <c r="B328" s="135" t="s">
        <v>803</v>
      </c>
      <c r="C328" s="378" t="s">
        <v>892</v>
      </c>
      <c r="D328" s="378" t="s">
        <v>435</v>
      </c>
      <c r="E328" s="419"/>
      <c r="F328" s="378" t="s">
        <v>485</v>
      </c>
      <c r="G328" s="416"/>
      <c r="H328" s="378" t="s">
        <v>674</v>
      </c>
      <c r="I328" s="491" t="s">
        <v>919</v>
      </c>
      <c r="J328" s="496">
        <v>151.863</v>
      </c>
      <c r="K328" s="409" t="s">
        <v>14</v>
      </c>
      <c r="L328" s="410" t="s">
        <v>14</v>
      </c>
      <c r="M328" s="491" t="s">
        <v>919</v>
      </c>
      <c r="N328" s="90">
        <v>0.5</v>
      </c>
      <c r="O328" s="491" t="s">
        <v>919</v>
      </c>
      <c r="P328" s="496">
        <v>1.2734000000000001</v>
      </c>
      <c r="Q328" s="409" t="s">
        <v>14</v>
      </c>
      <c r="R328" s="410" t="s">
        <v>14</v>
      </c>
      <c r="S328" s="491" t="s">
        <v>919</v>
      </c>
      <c r="T328" s="90">
        <v>0.85499999999999998</v>
      </c>
      <c r="U328" s="419"/>
      <c r="V328" s="498">
        <f t="shared" si="9"/>
        <v>0.3499988304093567</v>
      </c>
      <c r="W328" s="369"/>
      <c r="X328" s="369"/>
      <c r="Y328" s="397"/>
    </row>
    <row r="329" spans="1:25" s="364" customFormat="1" ht="14.4" x14ac:dyDescent="0.3">
      <c r="A329" s="378"/>
      <c r="B329" s="135" t="s">
        <v>803</v>
      </c>
      <c r="C329" s="378" t="s">
        <v>893</v>
      </c>
      <c r="D329" s="378" t="s">
        <v>435</v>
      </c>
      <c r="E329" s="419"/>
      <c r="F329" s="378" t="s">
        <v>485</v>
      </c>
      <c r="G329" s="416"/>
      <c r="H329" s="378" t="s">
        <v>674</v>
      </c>
      <c r="I329" s="491" t="s">
        <v>919</v>
      </c>
      <c r="J329" s="496">
        <v>140.24</v>
      </c>
      <c r="K329" s="409" t="s">
        <v>14</v>
      </c>
      <c r="L329" s="410" t="s">
        <v>14</v>
      </c>
      <c r="M329" s="491" t="s">
        <v>919</v>
      </c>
      <c r="N329" s="90">
        <v>0.5</v>
      </c>
      <c r="O329" s="491" t="s">
        <v>919</v>
      </c>
      <c r="P329" s="496">
        <v>1.2734000000000001</v>
      </c>
      <c r="Q329" s="409" t="s">
        <v>14</v>
      </c>
      <c r="R329" s="410" t="s">
        <v>14</v>
      </c>
      <c r="S329" s="491" t="s">
        <v>919</v>
      </c>
      <c r="T329" s="90">
        <v>0.85499999999999998</v>
      </c>
      <c r="U329" s="419"/>
      <c r="V329" s="498">
        <f t="shared" si="9"/>
        <v>0.3499988304093567</v>
      </c>
      <c r="W329" s="369"/>
      <c r="X329" s="369"/>
      <c r="Y329" s="397"/>
    </row>
    <row r="330" spans="1:25" s="364" customFormat="1" ht="14.4" x14ac:dyDescent="0.3">
      <c r="A330" s="378"/>
      <c r="B330" s="135" t="s">
        <v>803</v>
      </c>
      <c r="C330" s="378" t="s">
        <v>894</v>
      </c>
      <c r="D330" s="378" t="s">
        <v>435</v>
      </c>
      <c r="E330" s="419"/>
      <c r="F330" s="378" t="s">
        <v>485</v>
      </c>
      <c r="G330" s="416"/>
      <c r="H330" s="378" t="s">
        <v>674</v>
      </c>
      <c r="I330" s="491" t="s">
        <v>919</v>
      </c>
      <c r="J330" s="496">
        <v>140.84</v>
      </c>
      <c r="K330" s="409" t="s">
        <v>14</v>
      </c>
      <c r="L330" s="410" t="s">
        <v>14</v>
      </c>
      <c r="M330" s="491" t="s">
        <v>919</v>
      </c>
      <c r="N330" s="90">
        <v>0.5</v>
      </c>
      <c r="O330" s="491" t="s">
        <v>919</v>
      </c>
      <c r="P330" s="496">
        <v>1.2734000000000001</v>
      </c>
      <c r="Q330" s="409" t="s">
        <v>14</v>
      </c>
      <c r="R330" s="410" t="s">
        <v>14</v>
      </c>
      <c r="S330" s="491" t="s">
        <v>919</v>
      </c>
      <c r="T330" s="90">
        <v>0.85499999999999998</v>
      </c>
      <c r="U330" s="419"/>
      <c r="V330" s="498">
        <f t="shared" si="9"/>
        <v>0.3499988304093567</v>
      </c>
      <c r="W330" s="369"/>
      <c r="X330" s="369"/>
      <c r="Y330" s="397"/>
    </row>
    <row r="331" spans="1:25" s="364" customFormat="1" ht="14.4" x14ac:dyDescent="0.3">
      <c r="A331" s="378"/>
      <c r="B331" s="135" t="s">
        <v>803</v>
      </c>
      <c r="C331" s="378" t="s">
        <v>895</v>
      </c>
      <c r="D331" s="378" t="s">
        <v>435</v>
      </c>
      <c r="E331" s="419"/>
      <c r="F331" s="378" t="s">
        <v>485</v>
      </c>
      <c r="G331" s="416"/>
      <c r="H331" s="378" t="s">
        <v>674</v>
      </c>
      <c r="I331" s="491" t="s">
        <v>919</v>
      </c>
      <c r="J331" s="496">
        <v>137.9</v>
      </c>
      <c r="K331" s="409" t="s">
        <v>14</v>
      </c>
      <c r="L331" s="410" t="s">
        <v>14</v>
      </c>
      <c r="M331" s="491" t="s">
        <v>919</v>
      </c>
      <c r="N331" s="90">
        <v>0.5</v>
      </c>
      <c r="O331" s="491" t="s">
        <v>919</v>
      </c>
      <c r="P331" s="496">
        <v>1.2734000000000001</v>
      </c>
      <c r="Q331" s="409" t="s">
        <v>14</v>
      </c>
      <c r="R331" s="410" t="s">
        <v>14</v>
      </c>
      <c r="S331" s="491" t="s">
        <v>919</v>
      </c>
      <c r="T331" s="90">
        <v>0.85499999999999998</v>
      </c>
      <c r="U331" s="419"/>
      <c r="V331" s="498">
        <f t="shared" si="9"/>
        <v>0.3499988304093567</v>
      </c>
      <c r="W331" s="369"/>
      <c r="X331" s="369"/>
      <c r="Y331" s="397"/>
    </row>
    <row r="332" spans="1:25" s="364" customFormat="1" ht="14.4" x14ac:dyDescent="0.3">
      <c r="A332" s="378"/>
      <c r="B332" s="135" t="s">
        <v>803</v>
      </c>
      <c r="C332" s="378" t="s">
        <v>896</v>
      </c>
      <c r="D332" s="378" t="s">
        <v>435</v>
      </c>
      <c r="E332" s="419"/>
      <c r="F332" s="378" t="s">
        <v>485</v>
      </c>
      <c r="G332" s="416"/>
      <c r="H332" s="378" t="s">
        <v>674</v>
      </c>
      <c r="I332" s="491" t="s">
        <v>919</v>
      </c>
      <c r="J332" s="496">
        <v>137.02000000000001</v>
      </c>
      <c r="K332" s="409" t="s">
        <v>14</v>
      </c>
      <c r="L332" s="410" t="s">
        <v>14</v>
      </c>
      <c r="M332" s="491" t="s">
        <v>919</v>
      </c>
      <c r="N332" s="90">
        <v>0.5</v>
      </c>
      <c r="O332" s="491" t="s">
        <v>919</v>
      </c>
      <c r="P332" s="496">
        <v>1.2734000000000001</v>
      </c>
      <c r="Q332" s="409" t="s">
        <v>14</v>
      </c>
      <c r="R332" s="410" t="s">
        <v>14</v>
      </c>
      <c r="S332" s="491" t="s">
        <v>919</v>
      </c>
      <c r="T332" s="90">
        <v>0.85499999999999998</v>
      </c>
      <c r="U332" s="419"/>
      <c r="V332" s="498">
        <f t="shared" si="9"/>
        <v>0.3499988304093567</v>
      </c>
      <c r="W332" s="369"/>
      <c r="X332" s="369"/>
      <c r="Y332" s="397"/>
    </row>
    <row r="333" spans="1:25" s="364" customFormat="1" ht="14.4" x14ac:dyDescent="0.3">
      <c r="A333" s="378"/>
      <c r="B333" s="135" t="s">
        <v>803</v>
      </c>
      <c r="C333" s="378" t="s">
        <v>897</v>
      </c>
      <c r="D333" s="378" t="s">
        <v>435</v>
      </c>
      <c r="E333" s="419"/>
      <c r="F333" s="378" t="s">
        <v>485</v>
      </c>
      <c r="G333" s="416"/>
      <c r="H333" s="378" t="s">
        <v>674</v>
      </c>
      <c r="I333" s="491" t="s">
        <v>919</v>
      </c>
      <c r="J333" s="496">
        <v>136.09</v>
      </c>
      <c r="K333" s="409" t="s">
        <v>14</v>
      </c>
      <c r="L333" s="410" t="s">
        <v>14</v>
      </c>
      <c r="M333" s="491" t="s">
        <v>919</v>
      </c>
      <c r="N333" s="90">
        <v>0.5</v>
      </c>
      <c r="O333" s="491" t="s">
        <v>919</v>
      </c>
      <c r="P333" s="496">
        <v>1.2734000000000001</v>
      </c>
      <c r="Q333" s="409" t="s">
        <v>14</v>
      </c>
      <c r="R333" s="410" t="s">
        <v>14</v>
      </c>
      <c r="S333" s="491" t="s">
        <v>919</v>
      </c>
      <c r="T333" s="90">
        <v>0.85499999999999998</v>
      </c>
      <c r="U333" s="419"/>
      <c r="V333" s="498">
        <f t="shared" si="9"/>
        <v>0.3499988304093567</v>
      </c>
      <c r="W333" s="369"/>
      <c r="X333" s="369"/>
      <c r="Y333" s="397"/>
    </row>
    <row r="334" spans="1:25" s="364" customFormat="1" ht="14.4" x14ac:dyDescent="0.3">
      <c r="A334" s="378"/>
      <c r="B334" s="135" t="s">
        <v>803</v>
      </c>
      <c r="C334" s="378" t="s">
        <v>898</v>
      </c>
      <c r="D334" s="378" t="s">
        <v>435</v>
      </c>
      <c r="E334" s="419"/>
      <c r="F334" s="378" t="s">
        <v>485</v>
      </c>
      <c r="G334" s="416"/>
      <c r="H334" s="378" t="s">
        <v>674</v>
      </c>
      <c r="I334" s="491" t="s">
        <v>919</v>
      </c>
      <c r="J334" s="496">
        <v>135.75</v>
      </c>
      <c r="K334" s="409" t="s">
        <v>14</v>
      </c>
      <c r="L334" s="410" t="s">
        <v>14</v>
      </c>
      <c r="M334" s="491" t="s">
        <v>919</v>
      </c>
      <c r="N334" s="90">
        <v>0.5</v>
      </c>
      <c r="O334" s="491" t="s">
        <v>919</v>
      </c>
      <c r="P334" s="496">
        <v>1.2734000000000001</v>
      </c>
      <c r="Q334" s="409" t="s">
        <v>14</v>
      </c>
      <c r="R334" s="410" t="s">
        <v>14</v>
      </c>
      <c r="S334" s="491" t="s">
        <v>919</v>
      </c>
      <c r="T334" s="90">
        <v>0.85499999999999998</v>
      </c>
      <c r="U334" s="419"/>
      <c r="V334" s="498">
        <f t="shared" si="9"/>
        <v>0.3499988304093567</v>
      </c>
      <c r="W334" s="369"/>
      <c r="X334" s="369"/>
      <c r="Y334" s="397"/>
    </row>
    <row r="335" spans="1:25" s="364" customFormat="1" ht="14.4" x14ac:dyDescent="0.3">
      <c r="A335" s="378"/>
      <c r="B335" s="135" t="s">
        <v>803</v>
      </c>
      <c r="C335" s="378" t="s">
        <v>899</v>
      </c>
      <c r="D335" s="378" t="s">
        <v>435</v>
      </c>
      <c r="E335" s="419"/>
      <c r="F335" s="378" t="s">
        <v>485</v>
      </c>
      <c r="G335" s="416"/>
      <c r="H335" s="378" t="s">
        <v>674</v>
      </c>
      <c r="I335" s="491" t="s">
        <v>919</v>
      </c>
      <c r="J335" s="496">
        <v>134.75</v>
      </c>
      <c r="K335" s="409" t="s">
        <v>14</v>
      </c>
      <c r="L335" s="410" t="s">
        <v>14</v>
      </c>
      <c r="M335" s="491" t="s">
        <v>919</v>
      </c>
      <c r="N335" s="90">
        <v>0.5</v>
      </c>
      <c r="O335" s="491" t="s">
        <v>919</v>
      </c>
      <c r="P335" s="496">
        <v>1.2734000000000001</v>
      </c>
      <c r="Q335" s="409" t="s">
        <v>14</v>
      </c>
      <c r="R335" s="410" t="s">
        <v>14</v>
      </c>
      <c r="S335" s="491" t="s">
        <v>919</v>
      </c>
      <c r="T335" s="90">
        <v>0.85499999999999998</v>
      </c>
      <c r="U335" s="419"/>
      <c r="V335" s="498">
        <f t="shared" si="9"/>
        <v>0.3499988304093567</v>
      </c>
      <c r="W335" s="369"/>
      <c r="X335" s="369"/>
      <c r="Y335" s="397"/>
    </row>
    <row r="336" spans="1:25" s="364" customFormat="1" ht="14.4" x14ac:dyDescent="0.3">
      <c r="A336" s="378"/>
      <c r="B336" s="135" t="s">
        <v>803</v>
      </c>
      <c r="C336" s="378" t="s">
        <v>900</v>
      </c>
      <c r="D336" s="378" t="s">
        <v>435</v>
      </c>
      <c r="E336" s="419"/>
      <c r="F336" s="378" t="s">
        <v>485</v>
      </c>
      <c r="G336" s="416"/>
      <c r="H336" s="378" t="s">
        <v>674</v>
      </c>
      <c r="I336" s="491" t="s">
        <v>919</v>
      </c>
      <c r="J336" s="496">
        <v>198.59</v>
      </c>
      <c r="K336" s="409" t="s">
        <v>14</v>
      </c>
      <c r="L336" s="410" t="s">
        <v>14</v>
      </c>
      <c r="M336" s="491" t="s">
        <v>919</v>
      </c>
      <c r="N336" s="90">
        <v>0.5</v>
      </c>
      <c r="O336" s="491" t="s">
        <v>919</v>
      </c>
      <c r="P336" s="496">
        <v>1.2734000000000001</v>
      </c>
      <c r="Q336" s="409" t="s">
        <v>14</v>
      </c>
      <c r="R336" s="410" t="s">
        <v>14</v>
      </c>
      <c r="S336" s="491" t="s">
        <v>919</v>
      </c>
      <c r="T336" s="90">
        <v>0.85499999999999998</v>
      </c>
      <c r="U336" s="419"/>
      <c r="V336" s="498">
        <f t="shared" si="9"/>
        <v>0.3499988304093567</v>
      </c>
      <c r="W336" s="369"/>
      <c r="X336" s="369"/>
      <c r="Y336" s="397"/>
    </row>
    <row r="337" spans="1:26" s="364" customFormat="1" ht="14.4" x14ac:dyDescent="0.3">
      <c r="A337" s="378"/>
      <c r="B337" s="135" t="s">
        <v>803</v>
      </c>
      <c r="C337" s="378" t="s">
        <v>901</v>
      </c>
      <c r="D337" s="378" t="s">
        <v>435</v>
      </c>
      <c r="E337" s="419"/>
      <c r="F337" s="378" t="s">
        <v>485</v>
      </c>
      <c r="G337" s="416"/>
      <c r="H337" s="378" t="s">
        <v>674</v>
      </c>
      <c r="I337" s="491" t="s">
        <v>919</v>
      </c>
      <c r="J337" s="496">
        <v>165.83500000000001</v>
      </c>
      <c r="K337" s="409" t="s">
        <v>14</v>
      </c>
      <c r="L337" s="410" t="s">
        <v>14</v>
      </c>
      <c r="M337" s="491" t="s">
        <v>919</v>
      </c>
      <c r="N337" s="90">
        <v>0.5</v>
      </c>
      <c r="O337" s="491" t="s">
        <v>919</v>
      </c>
      <c r="P337" s="496">
        <v>1.2734000000000001</v>
      </c>
      <c r="Q337" s="409" t="s">
        <v>14</v>
      </c>
      <c r="R337" s="410" t="s">
        <v>14</v>
      </c>
      <c r="S337" s="491" t="s">
        <v>919</v>
      </c>
      <c r="T337" s="90">
        <v>0.85499999999999998</v>
      </c>
      <c r="U337" s="419"/>
      <c r="V337" s="498">
        <f t="shared" si="9"/>
        <v>0.3499988304093567</v>
      </c>
      <c r="W337" s="369"/>
      <c r="X337" s="369"/>
      <c r="Y337" s="397"/>
    </row>
    <row r="338" spans="1:26" s="364" customFormat="1" ht="14.4" x14ac:dyDescent="0.3">
      <c r="A338" s="378"/>
      <c r="B338" s="135" t="s">
        <v>803</v>
      </c>
      <c r="C338" s="378" t="s">
        <v>902</v>
      </c>
      <c r="D338" s="378" t="s">
        <v>435</v>
      </c>
      <c r="E338" s="419"/>
      <c r="F338" s="378" t="s">
        <v>485</v>
      </c>
      <c r="G338" s="416"/>
      <c r="H338" s="378" t="s">
        <v>674</v>
      </c>
      <c r="I338" s="491" t="s">
        <v>919</v>
      </c>
      <c r="J338" s="496">
        <v>182.00299999999999</v>
      </c>
      <c r="K338" s="409" t="s">
        <v>14</v>
      </c>
      <c r="L338" s="410" t="s">
        <v>14</v>
      </c>
      <c r="M338" s="491" t="s">
        <v>919</v>
      </c>
      <c r="N338" s="90">
        <v>0.5</v>
      </c>
      <c r="O338" s="491" t="s">
        <v>919</v>
      </c>
      <c r="P338" s="496">
        <v>1.2734000000000001</v>
      </c>
      <c r="Q338" s="409" t="s">
        <v>14</v>
      </c>
      <c r="R338" s="410" t="s">
        <v>14</v>
      </c>
      <c r="S338" s="491" t="s">
        <v>919</v>
      </c>
      <c r="T338" s="90">
        <v>0.85499999999999998</v>
      </c>
      <c r="U338" s="419"/>
      <c r="V338" s="498">
        <f t="shared" si="9"/>
        <v>0.3499988304093567</v>
      </c>
      <c r="W338" s="369"/>
      <c r="X338" s="369"/>
      <c r="Y338" s="397"/>
    </row>
    <row r="339" spans="1:26" s="364" customFormat="1" ht="14.4" x14ac:dyDescent="0.3">
      <c r="A339" s="378"/>
      <c r="B339" s="135" t="s">
        <v>803</v>
      </c>
      <c r="C339" s="378" t="s">
        <v>903</v>
      </c>
      <c r="D339" s="378" t="s">
        <v>435</v>
      </c>
      <c r="E339" s="419"/>
      <c r="F339" s="378" t="s">
        <v>485</v>
      </c>
      <c r="G339" s="416"/>
      <c r="H339" s="378" t="s">
        <v>674</v>
      </c>
      <c r="I339" s="491" t="s">
        <v>919</v>
      </c>
      <c r="J339" s="496">
        <v>165.13</v>
      </c>
      <c r="K339" s="409" t="s">
        <v>14</v>
      </c>
      <c r="L339" s="410" t="s">
        <v>14</v>
      </c>
      <c r="M339" s="491" t="s">
        <v>919</v>
      </c>
      <c r="N339" s="90">
        <v>0.5</v>
      </c>
      <c r="O339" s="491" t="s">
        <v>919</v>
      </c>
      <c r="P339" s="496">
        <v>1.2734000000000001</v>
      </c>
      <c r="Q339" s="409" t="s">
        <v>14</v>
      </c>
      <c r="R339" s="410" t="s">
        <v>14</v>
      </c>
      <c r="S339" s="491" t="s">
        <v>919</v>
      </c>
      <c r="T339" s="90">
        <v>0.85499999999999998</v>
      </c>
      <c r="U339" s="419"/>
      <c r="V339" s="498">
        <f t="shared" si="9"/>
        <v>0.3499988304093567</v>
      </c>
      <c r="W339" s="369"/>
      <c r="X339" s="369"/>
      <c r="Y339" s="397"/>
    </row>
    <row r="340" spans="1:26" s="364" customFormat="1" ht="14.4" x14ac:dyDescent="0.3">
      <c r="A340" s="378"/>
      <c r="B340" s="135" t="s">
        <v>803</v>
      </c>
      <c r="C340" s="378" t="s">
        <v>904</v>
      </c>
      <c r="D340" s="378" t="s">
        <v>435</v>
      </c>
      <c r="E340" s="419"/>
      <c r="F340" s="378" t="s">
        <v>485</v>
      </c>
      <c r="G340" s="416"/>
      <c r="H340" s="378" t="s">
        <v>674</v>
      </c>
      <c r="I340" s="491" t="s">
        <v>919</v>
      </c>
      <c r="J340" s="496">
        <v>165.94</v>
      </c>
      <c r="K340" s="409" t="s">
        <v>14</v>
      </c>
      <c r="L340" s="410" t="s">
        <v>14</v>
      </c>
      <c r="M340" s="491" t="s">
        <v>919</v>
      </c>
      <c r="N340" s="90">
        <v>0.5</v>
      </c>
      <c r="O340" s="491" t="s">
        <v>919</v>
      </c>
      <c r="P340" s="496">
        <v>1.2734000000000001</v>
      </c>
      <c r="Q340" s="409" t="s">
        <v>14</v>
      </c>
      <c r="R340" s="410" t="s">
        <v>14</v>
      </c>
      <c r="S340" s="491" t="s">
        <v>919</v>
      </c>
      <c r="T340" s="90">
        <v>0.85499999999999998</v>
      </c>
      <c r="U340" s="419"/>
      <c r="V340" s="498">
        <f t="shared" si="9"/>
        <v>0.3499988304093567</v>
      </c>
      <c r="W340" s="369"/>
      <c r="X340" s="369"/>
      <c r="Y340" s="397"/>
    </row>
    <row r="341" spans="1:26" s="364" customFormat="1" ht="14.4" x14ac:dyDescent="0.3">
      <c r="A341" s="378"/>
      <c r="B341" s="135" t="s">
        <v>803</v>
      </c>
      <c r="C341" s="378" t="s">
        <v>905</v>
      </c>
      <c r="D341" s="378" t="s">
        <v>435</v>
      </c>
      <c r="E341" s="419"/>
      <c r="F341" s="378" t="s">
        <v>485</v>
      </c>
      <c r="G341" s="416"/>
      <c r="H341" s="378" t="s">
        <v>674</v>
      </c>
      <c r="I341" s="491" t="s">
        <v>919</v>
      </c>
      <c r="J341" s="496">
        <v>161.6</v>
      </c>
      <c r="K341" s="409" t="s">
        <v>14</v>
      </c>
      <c r="L341" s="410" t="s">
        <v>14</v>
      </c>
      <c r="M341" s="491" t="s">
        <v>919</v>
      </c>
      <c r="N341" s="90">
        <v>0.5</v>
      </c>
      <c r="O341" s="491" t="s">
        <v>919</v>
      </c>
      <c r="P341" s="496">
        <v>1.2734000000000001</v>
      </c>
      <c r="Q341" s="409" t="s">
        <v>14</v>
      </c>
      <c r="R341" s="410" t="s">
        <v>14</v>
      </c>
      <c r="S341" s="491" t="s">
        <v>919</v>
      </c>
      <c r="T341" s="90">
        <v>0.85499999999999998</v>
      </c>
      <c r="U341" s="419"/>
      <c r="V341" s="498">
        <f t="shared" si="9"/>
        <v>0.3499988304093567</v>
      </c>
      <c r="W341" s="369"/>
      <c r="X341" s="369"/>
      <c r="Y341" s="397"/>
    </row>
    <row r="342" spans="1:26" s="364" customFormat="1" ht="14.4" x14ac:dyDescent="0.3">
      <c r="A342" s="378"/>
      <c r="B342" s="135" t="s">
        <v>803</v>
      </c>
      <c r="C342" s="378" t="s">
        <v>906</v>
      </c>
      <c r="D342" s="378" t="s">
        <v>435</v>
      </c>
      <c r="E342" s="419"/>
      <c r="F342" s="378" t="s">
        <v>485</v>
      </c>
      <c r="G342" s="416"/>
      <c r="H342" s="378" t="s">
        <v>674</v>
      </c>
      <c r="I342" s="491" t="s">
        <v>919</v>
      </c>
      <c r="J342" s="496">
        <v>160.197</v>
      </c>
      <c r="K342" s="409" t="s">
        <v>14</v>
      </c>
      <c r="L342" s="410" t="s">
        <v>14</v>
      </c>
      <c r="M342" s="491" t="s">
        <v>919</v>
      </c>
      <c r="N342" s="90">
        <v>0.5</v>
      </c>
      <c r="O342" s="491" t="s">
        <v>919</v>
      </c>
      <c r="P342" s="496">
        <v>1.2734000000000001</v>
      </c>
      <c r="Q342" s="409" t="s">
        <v>14</v>
      </c>
      <c r="R342" s="410" t="s">
        <v>14</v>
      </c>
      <c r="S342" s="491" t="s">
        <v>919</v>
      </c>
      <c r="T342" s="90">
        <v>0.85499999999999998</v>
      </c>
      <c r="U342" s="419"/>
      <c r="V342" s="498">
        <f t="shared" si="9"/>
        <v>0.3499988304093567</v>
      </c>
      <c r="W342" s="369"/>
      <c r="X342" s="369"/>
      <c r="Y342" s="397"/>
    </row>
    <row r="343" spans="1:26" s="364" customFormat="1" ht="14.4" x14ac:dyDescent="0.3">
      <c r="A343" s="378"/>
      <c r="B343" s="135" t="s">
        <v>803</v>
      </c>
      <c r="C343" s="378" t="s">
        <v>907</v>
      </c>
      <c r="D343" s="378" t="s">
        <v>435</v>
      </c>
      <c r="E343" s="419"/>
      <c r="F343" s="378" t="s">
        <v>485</v>
      </c>
      <c r="G343" s="416"/>
      <c r="H343" s="378" t="s">
        <v>674</v>
      </c>
      <c r="I343" s="491" t="s">
        <v>919</v>
      </c>
      <c r="J343" s="496">
        <v>159.65</v>
      </c>
      <c r="K343" s="409" t="s">
        <v>14</v>
      </c>
      <c r="L343" s="410" t="s">
        <v>14</v>
      </c>
      <c r="M343" s="491" t="s">
        <v>919</v>
      </c>
      <c r="N343" s="90">
        <v>0.5</v>
      </c>
      <c r="O343" s="491" t="s">
        <v>919</v>
      </c>
      <c r="P343" s="496">
        <v>1.2734000000000001</v>
      </c>
      <c r="Q343" s="409" t="s">
        <v>14</v>
      </c>
      <c r="R343" s="410" t="s">
        <v>14</v>
      </c>
      <c r="S343" s="491" t="s">
        <v>919</v>
      </c>
      <c r="T343" s="90">
        <v>0.85499999999999998</v>
      </c>
      <c r="U343" s="419"/>
      <c r="V343" s="498">
        <f t="shared" si="9"/>
        <v>0.3499988304093567</v>
      </c>
      <c r="W343" s="369"/>
      <c r="X343" s="369"/>
      <c r="Y343" s="397"/>
    </row>
    <row r="344" spans="1:26" s="364" customFormat="1" ht="14.4" x14ac:dyDescent="0.3">
      <c r="A344" s="378"/>
      <c r="B344" s="135" t="s">
        <v>803</v>
      </c>
      <c r="C344" s="378" t="s">
        <v>908</v>
      </c>
      <c r="D344" s="378" t="s">
        <v>435</v>
      </c>
      <c r="E344" s="419"/>
      <c r="F344" s="378" t="s">
        <v>485</v>
      </c>
      <c r="G344" s="416"/>
      <c r="H344" s="378" t="s">
        <v>674</v>
      </c>
      <c r="I344" s="491" t="s">
        <v>919</v>
      </c>
      <c r="J344" s="496">
        <v>158.41</v>
      </c>
      <c r="K344" s="409" t="s">
        <v>14</v>
      </c>
      <c r="L344" s="410" t="s">
        <v>14</v>
      </c>
      <c r="M344" s="491" t="s">
        <v>919</v>
      </c>
      <c r="N344" s="90">
        <v>0.5</v>
      </c>
      <c r="O344" s="491" t="s">
        <v>919</v>
      </c>
      <c r="P344" s="496">
        <v>1.2734000000000001</v>
      </c>
      <c r="Q344" s="409" t="s">
        <v>14</v>
      </c>
      <c r="R344" s="410" t="s">
        <v>14</v>
      </c>
      <c r="S344" s="491" t="s">
        <v>919</v>
      </c>
      <c r="T344" s="90">
        <v>0.85499999999999998</v>
      </c>
      <c r="U344" s="419"/>
      <c r="V344" s="498">
        <f t="shared" si="9"/>
        <v>0.3499988304093567</v>
      </c>
      <c r="W344" s="369"/>
      <c r="X344" s="369"/>
      <c r="Y344" s="397"/>
    </row>
    <row r="345" spans="1:26" s="364" customFormat="1" ht="14.4" x14ac:dyDescent="0.3">
      <c r="A345" s="378"/>
      <c r="B345" s="135" t="s">
        <v>803</v>
      </c>
      <c r="C345" s="378" t="s">
        <v>909</v>
      </c>
      <c r="D345" s="378" t="s">
        <v>435</v>
      </c>
      <c r="E345" s="419"/>
      <c r="F345" s="378" t="s">
        <v>485</v>
      </c>
      <c r="G345" s="416"/>
      <c r="H345" s="378" t="s">
        <v>674</v>
      </c>
      <c r="I345" s="491" t="s">
        <v>919</v>
      </c>
      <c r="J345" s="496">
        <v>157.81</v>
      </c>
      <c r="K345" s="409" t="s">
        <v>14</v>
      </c>
      <c r="L345" s="410" t="s">
        <v>14</v>
      </c>
      <c r="M345" s="491" t="s">
        <v>919</v>
      </c>
      <c r="N345" s="90">
        <v>0.5</v>
      </c>
      <c r="O345" s="491" t="s">
        <v>919</v>
      </c>
      <c r="P345" s="496">
        <v>1.2734000000000001</v>
      </c>
      <c r="Q345" s="409" t="s">
        <v>14</v>
      </c>
      <c r="R345" s="410" t="s">
        <v>14</v>
      </c>
      <c r="S345" s="491" t="s">
        <v>919</v>
      </c>
      <c r="T345" s="90">
        <v>0.85499999999999998</v>
      </c>
      <c r="U345" s="89"/>
      <c r="V345" s="498">
        <f t="shared" si="9"/>
        <v>0.3499988304093567</v>
      </c>
      <c r="W345" s="369"/>
      <c r="X345" s="369"/>
      <c r="Y345" s="397"/>
    </row>
    <row r="346" spans="1:26" s="362" customFormat="1" ht="14.4" x14ac:dyDescent="0.3">
      <c r="A346" s="82"/>
      <c r="B346" s="135" t="s">
        <v>797</v>
      </c>
      <c r="C346" s="378" t="s">
        <v>791</v>
      </c>
      <c r="D346" s="378" t="s">
        <v>435</v>
      </c>
      <c r="E346" s="419"/>
      <c r="F346" s="378" t="s">
        <v>482</v>
      </c>
      <c r="G346" s="416"/>
      <c r="H346" s="378" t="s">
        <v>564</v>
      </c>
      <c r="I346" s="491" t="s">
        <v>919</v>
      </c>
      <c r="J346" s="496">
        <v>9220.01</v>
      </c>
      <c r="K346" s="491" t="s">
        <v>919</v>
      </c>
      <c r="L346" s="760">
        <f>J346*P346*(0.1175/745.6)/N346</f>
        <v>2.7243608545131428</v>
      </c>
      <c r="M346" s="416"/>
      <c r="N346" s="653">
        <f>IF(J346&lt;10000,0.4,0.5)</f>
        <v>0.4</v>
      </c>
      <c r="O346" s="416"/>
      <c r="P346" s="797">
        <f>IF(J346&lt;10000,0.75,1)</f>
        <v>0.75</v>
      </c>
      <c r="Q346" s="419"/>
      <c r="R346" s="805">
        <v>3</v>
      </c>
      <c r="S346" s="88"/>
      <c r="T346" s="807">
        <v>0.89500000000000002</v>
      </c>
      <c r="U346" s="409" t="s">
        <v>14</v>
      </c>
      <c r="V346" s="410" t="s">
        <v>14</v>
      </c>
      <c r="W346" s="369"/>
      <c r="X346" s="369"/>
      <c r="Y346" s="397"/>
      <c r="Z346" s="364"/>
    </row>
    <row r="347" spans="1:26" s="362" customFormat="1" ht="14.4" x14ac:dyDescent="0.3">
      <c r="A347" s="82"/>
      <c r="B347" s="135" t="s">
        <v>798</v>
      </c>
      <c r="C347" s="378" t="s">
        <v>793</v>
      </c>
      <c r="D347" s="378" t="s">
        <v>435</v>
      </c>
      <c r="E347" s="419"/>
      <c r="F347" s="378" t="s">
        <v>482</v>
      </c>
      <c r="G347" s="416"/>
      <c r="H347" s="378" t="s">
        <v>564</v>
      </c>
      <c r="I347" s="491" t="s">
        <v>919</v>
      </c>
      <c r="J347" s="496">
        <v>1365.53</v>
      </c>
      <c r="K347" s="491" t="s">
        <v>919</v>
      </c>
      <c r="L347" s="760">
        <f>J347*P347*(0.1175/745.6)/N347</f>
        <v>0.40349158815048281</v>
      </c>
      <c r="M347" s="416"/>
      <c r="N347" s="653">
        <f t="shared" ref="N347:N349" si="10">IF(J347&lt;10000,0.4,0.5)</f>
        <v>0.4</v>
      </c>
      <c r="O347" s="416"/>
      <c r="P347" s="797">
        <f t="shared" ref="P347:P349" si="11">IF(J347&lt;10000,0.75,1)</f>
        <v>0.75</v>
      </c>
      <c r="Q347" s="419"/>
      <c r="R347" s="807">
        <v>0.5</v>
      </c>
      <c r="S347" s="416"/>
      <c r="T347" s="807">
        <v>0.85499999999999998</v>
      </c>
      <c r="U347" s="409" t="s">
        <v>14</v>
      </c>
      <c r="V347" s="410" t="s">
        <v>14</v>
      </c>
      <c r="W347" s="369"/>
      <c r="X347" s="369"/>
      <c r="Y347" s="397"/>
      <c r="Z347" s="364"/>
    </row>
    <row r="348" spans="1:26" s="362" customFormat="1" ht="14.4" x14ac:dyDescent="0.3">
      <c r="A348" s="82"/>
      <c r="B348" s="135" t="s">
        <v>799</v>
      </c>
      <c r="C348" s="378" t="s">
        <v>794</v>
      </c>
      <c r="D348" s="378" t="s">
        <v>435</v>
      </c>
      <c r="E348" s="419"/>
      <c r="F348" s="378" t="s">
        <v>482</v>
      </c>
      <c r="G348" s="416"/>
      <c r="H348" s="378" t="s">
        <v>564</v>
      </c>
      <c r="I348" s="491" t="s">
        <v>919</v>
      </c>
      <c r="J348" s="496">
        <v>1364.17</v>
      </c>
      <c r="K348" s="491" t="s">
        <v>919</v>
      </c>
      <c r="L348" s="760">
        <f>J348*P348*(0.1175/745.6)/N348</f>
        <v>0.40308973058610509</v>
      </c>
      <c r="M348" s="416"/>
      <c r="N348" s="653">
        <f t="shared" si="10"/>
        <v>0.4</v>
      </c>
      <c r="O348" s="416"/>
      <c r="P348" s="797">
        <f t="shared" si="11"/>
        <v>0.75</v>
      </c>
      <c r="Q348" s="419"/>
      <c r="R348" s="807">
        <v>0.5</v>
      </c>
      <c r="S348" s="416"/>
      <c r="T348" s="807">
        <v>0.85499999999999998</v>
      </c>
      <c r="U348" s="409" t="s">
        <v>14</v>
      </c>
      <c r="V348" s="410" t="s">
        <v>14</v>
      </c>
      <c r="W348" s="369"/>
      <c r="X348" s="369"/>
      <c r="Y348" s="397"/>
      <c r="Z348" s="364"/>
    </row>
    <row r="349" spans="1:26" s="362" customFormat="1" ht="14.4" x14ac:dyDescent="0.3">
      <c r="A349" s="82"/>
      <c r="B349" s="316" t="s">
        <v>800</v>
      </c>
      <c r="C349" s="158" t="s">
        <v>928</v>
      </c>
      <c r="D349" s="158" t="s">
        <v>435</v>
      </c>
      <c r="E349" s="417"/>
      <c r="F349" s="158" t="s">
        <v>482</v>
      </c>
      <c r="G349" s="421"/>
      <c r="H349" s="158" t="s">
        <v>564</v>
      </c>
      <c r="I349" s="465" t="s">
        <v>919</v>
      </c>
      <c r="J349" s="511">
        <v>1623.73</v>
      </c>
      <c r="K349" s="465" t="s">
        <v>919</v>
      </c>
      <c r="L349" s="413">
        <f>J349*P349*(0.1175/745.6)/N349</f>
        <v>0.47978542868159868</v>
      </c>
      <c r="M349" s="421"/>
      <c r="N349" s="675">
        <f t="shared" si="10"/>
        <v>0.4</v>
      </c>
      <c r="O349" s="421"/>
      <c r="P349" s="689">
        <f t="shared" si="11"/>
        <v>0.75</v>
      </c>
      <c r="Q349" s="417"/>
      <c r="R349" s="808">
        <v>0.5</v>
      </c>
      <c r="S349" s="421"/>
      <c r="T349" s="808">
        <v>0.85499999999999998</v>
      </c>
      <c r="U349" s="411" t="s">
        <v>14</v>
      </c>
      <c r="V349" s="412" t="s">
        <v>14</v>
      </c>
      <c r="W349" s="369"/>
      <c r="X349" s="369"/>
      <c r="Y349" s="397"/>
      <c r="Z349" s="364"/>
    </row>
    <row r="350" spans="1:26" s="397" customFormat="1" ht="14.4" x14ac:dyDescent="0.3">
      <c r="A350" s="82"/>
      <c r="B350" s="82"/>
      <c r="C350" s="384"/>
      <c r="D350" s="82"/>
      <c r="E350" s="82"/>
      <c r="F350" s="82"/>
      <c r="G350" s="82"/>
      <c r="H350" s="82"/>
      <c r="I350" s="82"/>
      <c r="J350" s="82"/>
      <c r="K350" s="82"/>
      <c r="L350" s="436"/>
      <c r="M350" s="82"/>
      <c r="N350" s="82"/>
      <c r="O350" s="82"/>
      <c r="P350" s="82"/>
      <c r="Q350" s="82"/>
      <c r="R350" s="82"/>
      <c r="S350" s="82"/>
      <c r="T350" s="82"/>
      <c r="U350" s="82"/>
      <c r="V350" s="82"/>
      <c r="W350" s="369"/>
      <c r="X350" s="369"/>
    </row>
    <row r="351" spans="1:26" s="397" customFormat="1" ht="14.4" x14ac:dyDescent="0.3">
      <c r="E351" s="362"/>
      <c r="G351" s="362"/>
      <c r="I351" s="362"/>
      <c r="M351" s="362"/>
      <c r="O351" s="121"/>
      <c r="P351" s="111"/>
      <c r="Q351" s="82"/>
      <c r="R351" s="82"/>
      <c r="S351" s="82"/>
      <c r="T351" s="82"/>
      <c r="U351" s="82"/>
      <c r="V351" s="82"/>
      <c r="W351" s="369"/>
      <c r="X351" s="369"/>
    </row>
    <row r="352" spans="1:26" s="397" customFormat="1" ht="14.4" x14ac:dyDescent="0.3">
      <c r="B352" s="108" t="s">
        <v>501</v>
      </c>
      <c r="C352" s="113"/>
      <c r="D352" s="112" t="s">
        <v>433</v>
      </c>
      <c r="E352" s="207"/>
      <c r="F352" s="142" t="s">
        <v>538</v>
      </c>
      <c r="G352" s="125"/>
      <c r="H352" s="142" t="s">
        <v>295</v>
      </c>
      <c r="I352" s="362"/>
      <c r="M352" s="362"/>
      <c r="O352" s="121"/>
      <c r="P352" s="111"/>
      <c r="Q352" s="82"/>
      <c r="R352" s="82"/>
      <c r="S352" s="82"/>
      <c r="T352" s="82"/>
      <c r="U352" s="82"/>
      <c r="V352" s="82"/>
      <c r="W352" s="369"/>
      <c r="X352" s="369"/>
    </row>
    <row r="353" spans="1:42" s="397" customFormat="1" ht="15" thickBot="1" x14ac:dyDescent="0.35">
      <c r="B353" s="173" t="s">
        <v>282</v>
      </c>
      <c r="C353" s="171"/>
      <c r="D353" s="174"/>
      <c r="E353" s="205"/>
      <c r="F353" s="174" t="s">
        <v>289</v>
      </c>
      <c r="G353" s="208"/>
      <c r="H353" s="174" t="s">
        <v>290</v>
      </c>
      <c r="I353" s="362"/>
      <c r="M353" s="362"/>
      <c r="O353" s="121"/>
      <c r="P353" s="111"/>
      <c r="Q353" s="82"/>
      <c r="R353" s="82"/>
      <c r="S353" s="82"/>
      <c r="T353" s="82"/>
      <c r="U353" s="82"/>
      <c r="V353" s="82"/>
      <c r="W353" s="82"/>
      <c r="X353" s="82"/>
    </row>
    <row r="354" spans="1:42" s="362" customFormat="1" ht="14.4" thickTop="1" x14ac:dyDescent="0.3">
      <c r="B354" s="135" t="s">
        <v>554</v>
      </c>
      <c r="C354" s="378" t="s">
        <v>625</v>
      </c>
      <c r="D354" s="378" t="s">
        <v>435</v>
      </c>
      <c r="E354" s="418"/>
      <c r="F354" s="378" t="s">
        <v>539</v>
      </c>
      <c r="G354" s="418"/>
      <c r="H354" s="263" t="s">
        <v>480</v>
      </c>
      <c r="O354" s="121"/>
      <c r="P354" s="121"/>
      <c r="Q354" s="82"/>
      <c r="R354" s="82"/>
      <c r="S354" s="82"/>
      <c r="T354" s="82"/>
      <c r="U354" s="82"/>
      <c r="V354" s="82"/>
      <c r="W354" s="82"/>
      <c r="X354" s="82"/>
    </row>
    <row r="355" spans="1:42" s="397" customFormat="1" ht="14.4" x14ac:dyDescent="0.3">
      <c r="B355" s="135" t="s">
        <v>565</v>
      </c>
      <c r="C355" s="378" t="s">
        <v>626</v>
      </c>
      <c r="D355" s="378" t="s">
        <v>435</v>
      </c>
      <c r="E355" s="418"/>
      <c r="F355" s="378" t="s">
        <v>539</v>
      </c>
      <c r="G355" s="418"/>
      <c r="H355" s="274" t="s">
        <v>480</v>
      </c>
      <c r="I355" s="362"/>
      <c r="M355" s="362"/>
      <c r="O355" s="121"/>
      <c r="P355" s="111"/>
      <c r="Q355" s="82"/>
      <c r="R355" s="82"/>
      <c r="S355" s="82"/>
      <c r="T355" s="82"/>
      <c r="U355" s="82"/>
      <c r="V355" s="82"/>
      <c r="W355" s="82"/>
      <c r="X355" s="82"/>
    </row>
    <row r="356" spans="1:42" s="369" customFormat="1" ht="14.4" x14ac:dyDescent="0.3">
      <c r="A356" s="397"/>
      <c r="B356" s="135" t="s">
        <v>566</v>
      </c>
      <c r="C356" s="378" t="s">
        <v>627</v>
      </c>
      <c r="D356" s="378" t="s">
        <v>435</v>
      </c>
      <c r="E356" s="418"/>
      <c r="F356" s="378" t="s">
        <v>539</v>
      </c>
      <c r="G356" s="418"/>
      <c r="H356" s="274" t="s">
        <v>480</v>
      </c>
      <c r="I356" s="362"/>
      <c r="J356" s="397"/>
      <c r="K356" s="397"/>
      <c r="L356" s="397"/>
      <c r="M356" s="362"/>
      <c r="O356" s="121"/>
      <c r="P356" s="111"/>
      <c r="Q356" s="82"/>
      <c r="R356" s="82"/>
      <c r="S356" s="82"/>
      <c r="T356" s="82"/>
      <c r="U356" s="82"/>
      <c r="V356" s="82"/>
      <c r="W356" s="82"/>
      <c r="X356" s="82"/>
    </row>
    <row r="357" spans="1:42" s="369" customFormat="1" ht="14.4" x14ac:dyDescent="0.3">
      <c r="A357" s="397"/>
      <c r="B357" s="135" t="s">
        <v>795</v>
      </c>
      <c r="C357" s="378" t="s">
        <v>819</v>
      </c>
      <c r="D357" s="378" t="s">
        <v>435</v>
      </c>
      <c r="E357" s="418"/>
      <c r="F357" s="378" t="s">
        <v>539</v>
      </c>
      <c r="G357" s="418"/>
      <c r="H357" s="274" t="s">
        <v>480</v>
      </c>
      <c r="I357" s="362"/>
      <c r="J357" s="397"/>
      <c r="K357" s="397"/>
      <c r="L357" s="397"/>
      <c r="M357" s="362"/>
      <c r="N357" s="362"/>
      <c r="O357" s="121"/>
      <c r="P357" s="111"/>
      <c r="Q357" s="82"/>
      <c r="R357" s="82"/>
      <c r="S357" s="82"/>
      <c r="T357" s="82"/>
      <c r="U357" s="82"/>
      <c r="V357" s="82"/>
      <c r="W357" s="82"/>
      <c r="X357" s="82"/>
    </row>
    <row r="358" spans="1:42" s="369" customFormat="1" ht="14.4" x14ac:dyDescent="0.3">
      <c r="A358" s="397"/>
      <c r="B358" s="175" t="s">
        <v>834</v>
      </c>
      <c r="C358" s="495" t="s">
        <v>14</v>
      </c>
      <c r="D358" s="150" t="s">
        <v>435</v>
      </c>
      <c r="E358" s="411" t="s">
        <v>14</v>
      </c>
      <c r="F358" s="412" t="s">
        <v>14</v>
      </c>
      <c r="G358" s="411" t="s">
        <v>14</v>
      </c>
      <c r="H358" s="412" t="s">
        <v>14</v>
      </c>
      <c r="I358" s="362"/>
      <c r="J358" s="397"/>
      <c r="K358" s="397"/>
      <c r="L358" s="397"/>
      <c r="M358" s="362"/>
      <c r="N358" s="362"/>
      <c r="O358" s="121"/>
      <c r="P358" s="111"/>
      <c r="Q358" s="82"/>
      <c r="R358" s="82"/>
      <c r="S358" s="82"/>
      <c r="T358" s="82"/>
      <c r="U358" s="82"/>
      <c r="V358" s="82"/>
      <c r="W358" s="82"/>
      <c r="X358" s="82"/>
    </row>
    <row r="359" spans="1:42" s="369" customFormat="1" ht="14.4" x14ac:dyDescent="0.3">
      <c r="A359" s="397"/>
      <c r="B359" s="85"/>
      <c r="C359" s="85"/>
      <c r="D359" s="85"/>
      <c r="E359" s="85"/>
      <c r="F359" s="85"/>
      <c r="G359" s="85"/>
      <c r="H359" s="85"/>
      <c r="I359" s="85"/>
      <c r="J359" s="397"/>
      <c r="K359" s="397"/>
      <c r="L359" s="397"/>
      <c r="M359" s="362"/>
      <c r="N359" s="362"/>
      <c r="O359" s="121"/>
      <c r="P359" s="111"/>
      <c r="Q359" s="82"/>
      <c r="R359" s="82"/>
      <c r="S359" s="82"/>
      <c r="T359" s="82"/>
      <c r="U359" s="82"/>
      <c r="V359" s="82"/>
      <c r="W359" s="82"/>
      <c r="X359" s="82"/>
    </row>
    <row r="360" spans="1:42" s="369" customFormat="1" ht="14.4" x14ac:dyDescent="0.3">
      <c r="A360" s="82"/>
      <c r="B360" s="85"/>
      <c r="C360" s="83"/>
      <c r="D360" s="397"/>
      <c r="E360" s="82"/>
      <c r="F360" s="82"/>
      <c r="G360" s="82"/>
      <c r="H360" s="82"/>
      <c r="I360" s="82"/>
      <c r="J360" s="82"/>
      <c r="K360" s="82"/>
      <c r="L360" s="82"/>
      <c r="M360" s="82"/>
      <c r="N360" s="362"/>
      <c r="O360" s="82"/>
      <c r="P360" s="82"/>
      <c r="Q360" s="82"/>
      <c r="R360" s="82"/>
      <c r="S360" s="82"/>
      <c r="T360" s="82"/>
      <c r="U360" s="82"/>
      <c r="V360" s="82"/>
      <c r="W360" s="82"/>
      <c r="X360" s="82"/>
    </row>
    <row r="361" spans="1:42" s="397" customFormat="1" ht="14.4" x14ac:dyDescent="0.3">
      <c r="A361" s="24"/>
      <c r="B361" s="24" t="s">
        <v>1358</v>
      </c>
      <c r="C361" s="24"/>
      <c r="E361" s="362"/>
      <c r="G361" s="362"/>
      <c r="I361" s="362"/>
      <c r="K361" s="362"/>
      <c r="M361" s="362"/>
      <c r="O361" s="121"/>
      <c r="P361" s="111"/>
      <c r="Q361" s="82"/>
      <c r="R361" s="82"/>
      <c r="S361" s="82"/>
      <c r="T361" s="82"/>
      <c r="U361" s="363"/>
      <c r="V361" s="363"/>
      <c r="W361" s="363"/>
      <c r="X361" s="363"/>
    </row>
    <row r="362" spans="1:42" s="378" customFormat="1" ht="41.4" x14ac:dyDescent="0.3">
      <c r="A362" s="363"/>
      <c r="B362" s="125" t="s">
        <v>505</v>
      </c>
      <c r="C362" s="113" t="s">
        <v>291</v>
      </c>
      <c r="D362" s="113" t="s">
        <v>433</v>
      </c>
      <c r="E362" s="280"/>
      <c r="F362" s="324" t="s">
        <v>601</v>
      </c>
      <c r="G362" s="280"/>
      <c r="H362" s="324" t="s">
        <v>1210</v>
      </c>
      <c r="I362" s="751"/>
      <c r="J362" s="538" t="s">
        <v>1347</v>
      </c>
      <c r="K362" s="751"/>
      <c r="L362" s="538" t="s">
        <v>988</v>
      </c>
      <c r="M362" s="280"/>
      <c r="N362" s="324" t="s">
        <v>591</v>
      </c>
      <c r="O362" s="538"/>
      <c r="P362" s="324" t="s">
        <v>977</v>
      </c>
      <c r="Q362" s="280"/>
      <c r="R362" s="110" t="s">
        <v>1029</v>
      </c>
      <c r="S362" s="280"/>
      <c r="T362" s="168" t="s">
        <v>1021</v>
      </c>
      <c r="U362" s="647"/>
      <c r="V362" s="168" t="s">
        <v>1345</v>
      </c>
      <c r="W362" s="298"/>
      <c r="X362" s="142" t="s">
        <v>292</v>
      </c>
      <c r="Y362" s="125"/>
      <c r="Z362" s="142" t="s">
        <v>293</v>
      </c>
      <c r="AA362" s="364"/>
      <c r="AB362" s="363"/>
      <c r="AD362" s="363"/>
      <c r="AE362" s="364"/>
      <c r="AF362" s="363"/>
      <c r="AG362" s="645"/>
      <c r="AH362" s="642"/>
      <c r="AM362" s="363"/>
      <c r="AN362" s="363"/>
      <c r="AO362" s="363"/>
      <c r="AP362" s="363"/>
    </row>
    <row r="363" spans="1:42" s="82" customFormat="1" ht="28.2" thickBot="1" x14ac:dyDescent="0.35">
      <c r="B363" s="173" t="s">
        <v>285</v>
      </c>
      <c r="C363" s="171" t="s">
        <v>286</v>
      </c>
      <c r="D363" s="648"/>
      <c r="E363" s="320"/>
      <c r="F363" s="117"/>
      <c r="G363" s="320"/>
      <c r="H363" s="117" t="s">
        <v>1212</v>
      </c>
      <c r="I363" s="173"/>
      <c r="J363" s="343" t="s">
        <v>1351</v>
      </c>
      <c r="K363" s="173"/>
      <c r="L363" s="343" t="s">
        <v>1352</v>
      </c>
      <c r="M363" s="320"/>
      <c r="N363" s="117" t="s">
        <v>145</v>
      </c>
      <c r="O363" s="126"/>
      <c r="P363" s="117"/>
      <c r="Q363" s="320"/>
      <c r="R363" s="117" t="s">
        <v>998</v>
      </c>
      <c r="S363" s="320"/>
      <c r="T363" s="117" t="s">
        <v>999</v>
      </c>
      <c r="U363" s="651"/>
      <c r="V363" s="117"/>
      <c r="W363" s="643"/>
      <c r="X363" s="344" t="s">
        <v>287</v>
      </c>
      <c r="Y363" s="643"/>
      <c r="Z363" s="344" t="s">
        <v>288</v>
      </c>
      <c r="AA363" s="635"/>
      <c r="AB363" s="635"/>
      <c r="AC363" s="635"/>
      <c r="AD363" s="635"/>
      <c r="AG363" s="635"/>
      <c r="AH363" s="635"/>
      <c r="AI363" s="635"/>
      <c r="AJ363" s="635"/>
      <c r="AK363" s="635"/>
      <c r="AL363" s="635"/>
      <c r="AM363" s="635"/>
      <c r="AN363" s="635"/>
      <c r="AO363" s="635"/>
      <c r="AP363" s="635"/>
    </row>
    <row r="364" spans="1:42" s="364" customFormat="1" ht="15" thickTop="1" x14ac:dyDescent="0.3">
      <c r="A364" s="378"/>
      <c r="B364" s="434" t="s">
        <v>1213</v>
      </c>
      <c r="C364" s="264" t="s">
        <v>297</v>
      </c>
      <c r="D364" s="652" t="s">
        <v>435</v>
      </c>
      <c r="E364" s="741"/>
      <c r="F364" s="740">
        <v>1620</v>
      </c>
      <c r="G364" s="741"/>
      <c r="H364" s="740" t="s">
        <v>1214</v>
      </c>
      <c r="I364" s="420"/>
      <c r="J364" s="264" t="s">
        <v>1356</v>
      </c>
      <c r="K364" s="420"/>
      <c r="L364" s="264" t="s">
        <v>1357</v>
      </c>
      <c r="M364" s="420"/>
      <c r="N364" s="809">
        <v>10</v>
      </c>
      <c r="O364" s="741"/>
      <c r="P364" s="742">
        <f t="shared" ref="P364:P391" si="12">ROUND(F364/1000*N364*0.5,2)</f>
        <v>8.1</v>
      </c>
      <c r="Q364" s="420"/>
      <c r="R364" s="197">
        <v>0</v>
      </c>
      <c r="S364" s="420"/>
      <c r="T364" s="197">
        <v>0.15</v>
      </c>
      <c r="U364" s="420"/>
      <c r="V364" s="653">
        <f t="shared" ref="V364:V391" si="13">IF(LEFT(B364,9)="GuestRoom",ROUNDUP(P364,0)*30,ROUND(MAX(P364*R364,T364*F364),0))</f>
        <v>243</v>
      </c>
      <c r="W364" s="420"/>
      <c r="X364" s="264" t="s">
        <v>413</v>
      </c>
      <c r="Y364" s="420"/>
      <c r="Z364" s="263" t="s">
        <v>414</v>
      </c>
      <c r="AA364" s="635"/>
      <c r="AB364" s="635"/>
      <c r="AC364" s="635"/>
      <c r="AE364" s="674"/>
      <c r="AF364" s="378"/>
    </row>
    <row r="365" spans="1:42" s="364" customFormat="1" ht="14.4" x14ac:dyDescent="0.3">
      <c r="A365" s="378"/>
      <c r="B365" s="135" t="s">
        <v>1215</v>
      </c>
      <c r="C365" s="378" t="s">
        <v>297</v>
      </c>
      <c r="D365" s="57" t="s">
        <v>435</v>
      </c>
      <c r="E365" s="745"/>
      <c r="F365" s="744">
        <v>1350</v>
      </c>
      <c r="G365" s="745"/>
      <c r="H365" s="744" t="s">
        <v>1214</v>
      </c>
      <c r="I365" s="419"/>
      <c r="J365" s="378" t="s">
        <v>1356</v>
      </c>
      <c r="K365" s="419"/>
      <c r="L365" s="378" t="s">
        <v>1357</v>
      </c>
      <c r="M365" s="419"/>
      <c r="N365" s="489">
        <v>10</v>
      </c>
      <c r="O365" s="745"/>
      <c r="P365" s="746">
        <f t="shared" si="12"/>
        <v>6.75</v>
      </c>
      <c r="Q365" s="419"/>
      <c r="R365" s="197">
        <v>0</v>
      </c>
      <c r="S365" s="419"/>
      <c r="T365" s="197">
        <v>0.15</v>
      </c>
      <c r="U365" s="419"/>
      <c r="V365" s="653">
        <f t="shared" si="13"/>
        <v>203</v>
      </c>
      <c r="W365" s="419"/>
      <c r="X365" s="378" t="s">
        <v>413</v>
      </c>
      <c r="Y365" s="419"/>
      <c r="Z365" s="274" t="s">
        <v>414</v>
      </c>
      <c r="AA365" s="635"/>
      <c r="AB365" s="635"/>
      <c r="AC365" s="635"/>
      <c r="AE365" s="378"/>
      <c r="AF365" s="378"/>
    </row>
    <row r="366" spans="1:42" s="364" customFormat="1" ht="14.4" x14ac:dyDescent="0.3">
      <c r="A366" s="378"/>
      <c r="B366" s="135" t="s">
        <v>1216</v>
      </c>
      <c r="C366" s="378" t="s">
        <v>297</v>
      </c>
      <c r="D366" s="57" t="s">
        <v>435</v>
      </c>
      <c r="E366" s="745"/>
      <c r="F366" s="744">
        <v>1350</v>
      </c>
      <c r="G366" s="745"/>
      <c r="H366" s="744" t="s">
        <v>1214</v>
      </c>
      <c r="I366" s="419"/>
      <c r="J366" s="378" t="s">
        <v>1356</v>
      </c>
      <c r="K366" s="419"/>
      <c r="L366" s="378" t="s">
        <v>1357</v>
      </c>
      <c r="M366" s="419"/>
      <c r="N366" s="489">
        <v>10</v>
      </c>
      <c r="O366" s="745"/>
      <c r="P366" s="746">
        <f t="shared" si="12"/>
        <v>6.75</v>
      </c>
      <c r="Q366" s="419"/>
      <c r="R366" s="197">
        <v>0</v>
      </c>
      <c r="S366" s="419"/>
      <c r="T366" s="197">
        <v>0.15</v>
      </c>
      <c r="U366" s="419"/>
      <c r="V366" s="653">
        <f t="shared" si="13"/>
        <v>203</v>
      </c>
      <c r="W366" s="419"/>
      <c r="X366" s="378" t="s">
        <v>413</v>
      </c>
      <c r="Y366" s="419"/>
      <c r="Z366" s="274" t="s">
        <v>414</v>
      </c>
      <c r="AA366" s="635"/>
      <c r="AB366" s="635"/>
      <c r="AC366" s="635"/>
      <c r="AE366" s="378"/>
      <c r="AF366" s="378"/>
    </row>
    <row r="367" spans="1:42" s="364" customFormat="1" ht="14.4" x14ac:dyDescent="0.3">
      <c r="A367" s="378"/>
      <c r="B367" s="135" t="s">
        <v>1217</v>
      </c>
      <c r="C367" s="378" t="s">
        <v>297</v>
      </c>
      <c r="D367" s="57" t="s">
        <v>435</v>
      </c>
      <c r="E367" s="745"/>
      <c r="F367" s="744">
        <v>1350</v>
      </c>
      <c r="G367" s="745"/>
      <c r="H367" s="744" t="s">
        <v>1214</v>
      </c>
      <c r="I367" s="419"/>
      <c r="J367" s="378" t="s">
        <v>1356</v>
      </c>
      <c r="K367" s="419"/>
      <c r="L367" s="378" t="s">
        <v>1357</v>
      </c>
      <c r="M367" s="419"/>
      <c r="N367" s="489">
        <v>10</v>
      </c>
      <c r="O367" s="745"/>
      <c r="P367" s="746">
        <f t="shared" si="12"/>
        <v>6.75</v>
      </c>
      <c r="Q367" s="419"/>
      <c r="R367" s="197">
        <v>0</v>
      </c>
      <c r="S367" s="419"/>
      <c r="T367" s="197">
        <v>0.15</v>
      </c>
      <c r="U367" s="419"/>
      <c r="V367" s="653">
        <f t="shared" si="13"/>
        <v>203</v>
      </c>
      <c r="W367" s="419"/>
      <c r="X367" s="378" t="s">
        <v>413</v>
      </c>
      <c r="Y367" s="419"/>
      <c r="Z367" s="274" t="s">
        <v>414</v>
      </c>
      <c r="AA367" s="635"/>
      <c r="AB367" s="635"/>
      <c r="AC367" s="635"/>
      <c r="AE367" s="378"/>
      <c r="AF367" s="378"/>
    </row>
    <row r="368" spans="1:42" s="364" customFormat="1" ht="14.4" x14ac:dyDescent="0.3">
      <c r="A368" s="378"/>
      <c r="B368" s="135" t="s">
        <v>1218</v>
      </c>
      <c r="C368" s="378" t="s">
        <v>297</v>
      </c>
      <c r="D368" s="57" t="s">
        <v>435</v>
      </c>
      <c r="E368" s="745"/>
      <c r="F368" s="744">
        <v>351</v>
      </c>
      <c r="G368" s="745"/>
      <c r="H368" s="744" t="s">
        <v>1214</v>
      </c>
      <c r="I368" s="419"/>
      <c r="J368" s="378" t="s">
        <v>1356</v>
      </c>
      <c r="K368" s="419"/>
      <c r="L368" s="378" t="s">
        <v>1357</v>
      </c>
      <c r="M368" s="419"/>
      <c r="N368" s="489">
        <v>10</v>
      </c>
      <c r="O368" s="745"/>
      <c r="P368" s="746">
        <f t="shared" si="12"/>
        <v>1.76</v>
      </c>
      <c r="Q368" s="419"/>
      <c r="R368" s="197">
        <v>0</v>
      </c>
      <c r="S368" s="419"/>
      <c r="T368" s="197">
        <v>0.15</v>
      </c>
      <c r="U368" s="419"/>
      <c r="V368" s="653">
        <f t="shared" si="13"/>
        <v>53</v>
      </c>
      <c r="W368" s="419"/>
      <c r="X368" s="378" t="s">
        <v>413</v>
      </c>
      <c r="Y368" s="419"/>
      <c r="Z368" s="274" t="s">
        <v>414</v>
      </c>
      <c r="AA368" s="635"/>
      <c r="AB368" s="635"/>
      <c r="AC368" s="635"/>
      <c r="AE368" s="378"/>
      <c r="AF368" s="378"/>
    </row>
    <row r="369" spans="1:32" s="364" customFormat="1" ht="14.4" x14ac:dyDescent="0.3">
      <c r="A369" s="378"/>
      <c r="B369" s="135" t="s">
        <v>1219</v>
      </c>
      <c r="C369" s="378" t="s">
        <v>297</v>
      </c>
      <c r="D369" s="57" t="s">
        <v>435</v>
      </c>
      <c r="E369" s="745"/>
      <c r="F369" s="744">
        <v>351</v>
      </c>
      <c r="G369" s="745"/>
      <c r="H369" s="744" t="s">
        <v>1214</v>
      </c>
      <c r="I369" s="419"/>
      <c r="J369" s="378" t="s">
        <v>1356</v>
      </c>
      <c r="K369" s="419"/>
      <c r="L369" s="378" t="s">
        <v>1357</v>
      </c>
      <c r="M369" s="419"/>
      <c r="N369" s="489">
        <v>10</v>
      </c>
      <c r="O369" s="745"/>
      <c r="P369" s="746">
        <f t="shared" si="12"/>
        <v>1.76</v>
      </c>
      <c r="Q369" s="419"/>
      <c r="R369" s="197">
        <v>0</v>
      </c>
      <c r="S369" s="419"/>
      <c r="T369" s="197">
        <v>0.15</v>
      </c>
      <c r="U369" s="419"/>
      <c r="V369" s="653">
        <f t="shared" si="13"/>
        <v>53</v>
      </c>
      <c r="W369" s="419"/>
      <c r="X369" s="378" t="s">
        <v>413</v>
      </c>
      <c r="Y369" s="419"/>
      <c r="Z369" s="274" t="s">
        <v>414</v>
      </c>
      <c r="AA369" s="635"/>
      <c r="AB369" s="635"/>
      <c r="AC369" s="635"/>
      <c r="AE369" s="378"/>
      <c r="AF369" s="378"/>
    </row>
    <row r="370" spans="1:32" s="364" customFormat="1" ht="14.4" x14ac:dyDescent="0.3">
      <c r="A370" s="378"/>
      <c r="B370" s="135" t="s">
        <v>1220</v>
      </c>
      <c r="C370" s="378" t="s">
        <v>297</v>
      </c>
      <c r="D370" s="57" t="s">
        <v>435</v>
      </c>
      <c r="E370" s="745"/>
      <c r="F370" s="744">
        <v>1755.1</v>
      </c>
      <c r="G370" s="745"/>
      <c r="H370" s="744" t="s">
        <v>1214</v>
      </c>
      <c r="I370" s="419"/>
      <c r="J370" s="378" t="s">
        <v>1356</v>
      </c>
      <c r="K370" s="419"/>
      <c r="L370" s="378" t="s">
        <v>1382</v>
      </c>
      <c r="M370" s="419"/>
      <c r="N370" s="489">
        <v>142.9</v>
      </c>
      <c r="O370" s="745"/>
      <c r="P370" s="746">
        <f t="shared" si="12"/>
        <v>125.4</v>
      </c>
      <c r="Q370" s="419"/>
      <c r="R370" s="197">
        <v>15</v>
      </c>
      <c r="S370" s="419"/>
      <c r="T370" s="197">
        <v>0.15</v>
      </c>
      <c r="U370" s="419"/>
      <c r="V370" s="653">
        <f t="shared" si="13"/>
        <v>1881</v>
      </c>
      <c r="W370" s="419"/>
      <c r="X370" s="378" t="s">
        <v>413</v>
      </c>
      <c r="Y370" s="419"/>
      <c r="Z370" s="274" t="s">
        <v>414</v>
      </c>
      <c r="AA370" s="635"/>
      <c r="AB370" s="635"/>
      <c r="AC370" s="635"/>
      <c r="AE370" s="378"/>
      <c r="AF370" s="378"/>
    </row>
    <row r="371" spans="1:32" s="364" customFormat="1" ht="14.4" x14ac:dyDescent="0.3">
      <c r="A371" s="378"/>
      <c r="B371" s="135" t="s">
        <v>1221</v>
      </c>
      <c r="C371" s="378" t="s">
        <v>297</v>
      </c>
      <c r="D371" s="57" t="s">
        <v>435</v>
      </c>
      <c r="E371" s="745"/>
      <c r="F371" s="744">
        <v>1404</v>
      </c>
      <c r="G371" s="745"/>
      <c r="H371" s="744" t="s">
        <v>1214</v>
      </c>
      <c r="I371" s="419"/>
      <c r="J371" s="378" t="s">
        <v>1356</v>
      </c>
      <c r="K371" s="419"/>
      <c r="L371" s="378" t="s">
        <v>1357</v>
      </c>
      <c r="M371" s="419"/>
      <c r="N371" s="489">
        <v>10</v>
      </c>
      <c r="O371" s="745"/>
      <c r="P371" s="746">
        <f t="shared" si="12"/>
        <v>7.02</v>
      </c>
      <c r="Q371" s="419"/>
      <c r="R371" s="197">
        <v>0</v>
      </c>
      <c r="S371" s="419"/>
      <c r="T371" s="197">
        <v>0.15</v>
      </c>
      <c r="U371" s="419"/>
      <c r="V371" s="653">
        <f t="shared" si="13"/>
        <v>211</v>
      </c>
      <c r="W371" s="419"/>
      <c r="X371" s="378" t="s">
        <v>413</v>
      </c>
      <c r="Y371" s="419"/>
      <c r="Z371" s="274" t="s">
        <v>414</v>
      </c>
      <c r="AA371" s="635"/>
      <c r="AB371" s="635"/>
      <c r="AC371" s="635"/>
      <c r="AE371" s="378"/>
      <c r="AF371" s="378"/>
    </row>
    <row r="372" spans="1:32" s="364" customFormat="1" ht="14.4" x14ac:dyDescent="0.3">
      <c r="A372" s="378"/>
      <c r="B372" s="135" t="s">
        <v>1222</v>
      </c>
      <c r="C372" s="378" t="s">
        <v>297</v>
      </c>
      <c r="D372" s="57" t="s">
        <v>435</v>
      </c>
      <c r="E372" s="745"/>
      <c r="F372" s="744">
        <v>1053</v>
      </c>
      <c r="G372" s="745"/>
      <c r="H372" s="744" t="s">
        <v>1214</v>
      </c>
      <c r="I372" s="419"/>
      <c r="J372" s="378" t="s">
        <v>1356</v>
      </c>
      <c r="K372" s="419"/>
      <c r="L372" s="378" t="s">
        <v>1357</v>
      </c>
      <c r="M372" s="419"/>
      <c r="N372" s="489">
        <v>10</v>
      </c>
      <c r="O372" s="745"/>
      <c r="P372" s="746">
        <f t="shared" si="12"/>
        <v>5.27</v>
      </c>
      <c r="Q372" s="419"/>
      <c r="R372" s="197">
        <v>0</v>
      </c>
      <c r="S372" s="419"/>
      <c r="T372" s="197">
        <v>0.15</v>
      </c>
      <c r="U372" s="419"/>
      <c r="V372" s="653">
        <f t="shared" si="13"/>
        <v>158</v>
      </c>
      <c r="W372" s="419"/>
      <c r="X372" s="378" t="s">
        <v>413</v>
      </c>
      <c r="Y372" s="419"/>
      <c r="Z372" s="274" t="s">
        <v>414</v>
      </c>
      <c r="AA372" s="635"/>
      <c r="AB372" s="635"/>
      <c r="AC372" s="635"/>
      <c r="AE372" s="378"/>
      <c r="AF372" s="378"/>
    </row>
    <row r="373" spans="1:32" s="364" customFormat="1" ht="14.4" x14ac:dyDescent="0.3">
      <c r="A373" s="378"/>
      <c r="B373" s="135" t="s">
        <v>1223</v>
      </c>
      <c r="C373" s="378" t="s">
        <v>297</v>
      </c>
      <c r="D373" s="57" t="s">
        <v>435</v>
      </c>
      <c r="E373" s="745"/>
      <c r="F373" s="744">
        <v>351</v>
      </c>
      <c r="G373" s="745"/>
      <c r="H373" s="744" t="s">
        <v>1214</v>
      </c>
      <c r="I373" s="419"/>
      <c r="J373" s="378" t="s">
        <v>1356</v>
      </c>
      <c r="K373" s="419"/>
      <c r="L373" s="378" t="s">
        <v>1357</v>
      </c>
      <c r="M373" s="419"/>
      <c r="N373" s="489">
        <v>3</v>
      </c>
      <c r="O373" s="745"/>
      <c r="P373" s="746">
        <f t="shared" si="12"/>
        <v>0.53</v>
      </c>
      <c r="Q373" s="419"/>
      <c r="R373" s="197">
        <v>0</v>
      </c>
      <c r="S373" s="419"/>
      <c r="T373" s="197">
        <v>0.15</v>
      </c>
      <c r="U373" s="419"/>
      <c r="V373" s="653">
        <f t="shared" si="13"/>
        <v>53</v>
      </c>
      <c r="W373" s="419"/>
      <c r="X373" s="378" t="s">
        <v>413</v>
      </c>
      <c r="Y373" s="419"/>
      <c r="Z373" s="274" t="s">
        <v>414</v>
      </c>
      <c r="AA373" s="635"/>
      <c r="AB373" s="635"/>
      <c r="AC373" s="635"/>
      <c r="AE373" s="378"/>
      <c r="AF373" s="378"/>
    </row>
    <row r="374" spans="1:32" s="364" customFormat="1" ht="14.4" x14ac:dyDescent="0.3">
      <c r="A374" s="378"/>
      <c r="B374" s="135" t="s">
        <v>1224</v>
      </c>
      <c r="C374" s="378" t="s">
        <v>297</v>
      </c>
      <c r="D374" s="57" t="s">
        <v>435</v>
      </c>
      <c r="E374" s="745"/>
      <c r="F374" s="744">
        <v>864.1</v>
      </c>
      <c r="G374" s="745"/>
      <c r="H374" s="744" t="s">
        <v>1214</v>
      </c>
      <c r="I374" s="419"/>
      <c r="J374" s="378" t="s">
        <v>1356</v>
      </c>
      <c r="K374" s="419"/>
      <c r="L374" s="378" t="s">
        <v>1382</v>
      </c>
      <c r="M374" s="419"/>
      <c r="N374" s="489">
        <v>142.9</v>
      </c>
      <c r="O374" s="745"/>
      <c r="P374" s="746">
        <f t="shared" si="12"/>
        <v>61.74</v>
      </c>
      <c r="Q374" s="419"/>
      <c r="R374" s="197">
        <v>15</v>
      </c>
      <c r="S374" s="419"/>
      <c r="T374" s="197">
        <v>0.15</v>
      </c>
      <c r="U374" s="419"/>
      <c r="V374" s="653">
        <f t="shared" si="13"/>
        <v>926</v>
      </c>
      <c r="W374" s="419"/>
      <c r="X374" s="378" t="s">
        <v>413</v>
      </c>
      <c r="Y374" s="419"/>
      <c r="Z374" s="274" t="s">
        <v>414</v>
      </c>
      <c r="AA374" s="635"/>
      <c r="AB374" s="635"/>
      <c r="AC374" s="635"/>
      <c r="AE374" s="378"/>
      <c r="AF374" s="378"/>
    </row>
    <row r="375" spans="1:32" s="364" customFormat="1" ht="14.4" x14ac:dyDescent="0.3">
      <c r="A375" s="378"/>
      <c r="B375" s="135" t="s">
        <v>1225</v>
      </c>
      <c r="C375" s="378" t="s">
        <v>297</v>
      </c>
      <c r="D375" s="57" t="s">
        <v>435</v>
      </c>
      <c r="E375" s="745"/>
      <c r="F375" s="744">
        <v>216</v>
      </c>
      <c r="G375" s="745"/>
      <c r="H375" s="744" t="s">
        <v>1214</v>
      </c>
      <c r="I375" s="419"/>
      <c r="J375" s="378" t="s">
        <v>1356</v>
      </c>
      <c r="K375" s="419"/>
      <c r="L375" s="378" t="s">
        <v>1357</v>
      </c>
      <c r="M375" s="419"/>
      <c r="N375" s="489">
        <v>10</v>
      </c>
      <c r="O375" s="745"/>
      <c r="P375" s="746">
        <f t="shared" si="12"/>
        <v>1.08</v>
      </c>
      <c r="Q375" s="419"/>
      <c r="R375" s="197">
        <v>0</v>
      </c>
      <c r="S375" s="419"/>
      <c r="T375" s="197">
        <v>0.15</v>
      </c>
      <c r="U375" s="419"/>
      <c r="V375" s="653">
        <f t="shared" si="13"/>
        <v>32</v>
      </c>
      <c r="W375" s="419"/>
      <c r="X375" s="378" t="s">
        <v>413</v>
      </c>
      <c r="Y375" s="419"/>
      <c r="Z375" s="274" t="s">
        <v>414</v>
      </c>
      <c r="AA375" s="635"/>
      <c r="AB375" s="635"/>
      <c r="AC375" s="635"/>
      <c r="AE375" s="378"/>
      <c r="AF375" s="378"/>
    </row>
    <row r="376" spans="1:32" s="364" customFormat="1" ht="14.4" x14ac:dyDescent="0.3">
      <c r="A376" s="378"/>
      <c r="B376" s="135" t="s">
        <v>1226</v>
      </c>
      <c r="C376" s="378" t="s">
        <v>297</v>
      </c>
      <c r="D376" s="57" t="s">
        <v>435</v>
      </c>
      <c r="E376" s="745"/>
      <c r="F376" s="744">
        <v>216</v>
      </c>
      <c r="G376" s="745"/>
      <c r="H376" s="744" t="s">
        <v>1214</v>
      </c>
      <c r="I376" s="419"/>
      <c r="J376" s="378" t="s">
        <v>1356</v>
      </c>
      <c r="K376" s="419"/>
      <c r="L376" s="378" t="s">
        <v>1357</v>
      </c>
      <c r="M376" s="419"/>
      <c r="N376" s="489">
        <v>10</v>
      </c>
      <c r="O376" s="745"/>
      <c r="P376" s="746">
        <f t="shared" si="12"/>
        <v>1.08</v>
      </c>
      <c r="Q376" s="419"/>
      <c r="R376" s="197">
        <v>0</v>
      </c>
      <c r="S376" s="419"/>
      <c r="T376" s="197">
        <v>0.15</v>
      </c>
      <c r="U376" s="419"/>
      <c r="V376" s="653">
        <f t="shared" si="13"/>
        <v>32</v>
      </c>
      <c r="W376" s="419"/>
      <c r="X376" s="378" t="s">
        <v>413</v>
      </c>
      <c r="Y376" s="419"/>
      <c r="Z376" s="274" t="s">
        <v>414</v>
      </c>
      <c r="AA376" s="635"/>
      <c r="AB376" s="635"/>
      <c r="AC376" s="635"/>
      <c r="AE376" s="378"/>
      <c r="AF376" s="378"/>
    </row>
    <row r="377" spans="1:32" s="364" customFormat="1" ht="14.4" x14ac:dyDescent="0.3">
      <c r="A377" s="378"/>
      <c r="B377" s="135" t="s">
        <v>1227</v>
      </c>
      <c r="C377" s="378" t="s">
        <v>297</v>
      </c>
      <c r="D377" s="57" t="s">
        <v>435</v>
      </c>
      <c r="E377" s="745"/>
      <c r="F377" s="744">
        <v>216</v>
      </c>
      <c r="G377" s="745"/>
      <c r="H377" s="744" t="s">
        <v>1214</v>
      </c>
      <c r="I377" s="419"/>
      <c r="J377" s="378" t="s">
        <v>1356</v>
      </c>
      <c r="K377" s="419"/>
      <c r="L377" s="378" t="s">
        <v>1357</v>
      </c>
      <c r="M377" s="419"/>
      <c r="N377" s="489">
        <v>10</v>
      </c>
      <c r="O377" s="745"/>
      <c r="P377" s="746">
        <f t="shared" si="12"/>
        <v>1.08</v>
      </c>
      <c r="Q377" s="419"/>
      <c r="R377" s="197">
        <v>0</v>
      </c>
      <c r="S377" s="419"/>
      <c r="T377" s="197">
        <v>0.15</v>
      </c>
      <c r="U377" s="419"/>
      <c r="V377" s="653">
        <f t="shared" si="13"/>
        <v>32</v>
      </c>
      <c r="W377" s="419"/>
      <c r="X377" s="378" t="s">
        <v>413</v>
      </c>
      <c r="Y377" s="419"/>
      <c r="Z377" s="274" t="s">
        <v>414</v>
      </c>
      <c r="AA377" s="635"/>
      <c r="AB377" s="635"/>
      <c r="AC377" s="635"/>
      <c r="AE377" s="378"/>
      <c r="AF377" s="378"/>
    </row>
    <row r="378" spans="1:32" s="364" customFormat="1" ht="14.4" x14ac:dyDescent="0.3">
      <c r="A378" s="378"/>
      <c r="B378" s="135" t="s">
        <v>1228</v>
      </c>
      <c r="C378" s="378" t="s">
        <v>297</v>
      </c>
      <c r="D378" s="57" t="s">
        <v>435</v>
      </c>
      <c r="E378" s="745"/>
      <c r="F378" s="744">
        <v>216</v>
      </c>
      <c r="G378" s="745"/>
      <c r="H378" s="744" t="s">
        <v>1214</v>
      </c>
      <c r="I378" s="419"/>
      <c r="J378" s="378" t="s">
        <v>1356</v>
      </c>
      <c r="K378" s="419"/>
      <c r="L378" s="378" t="s">
        <v>1357</v>
      </c>
      <c r="M378" s="419"/>
      <c r="N378" s="489">
        <v>10</v>
      </c>
      <c r="O378" s="745"/>
      <c r="P378" s="746">
        <f t="shared" si="12"/>
        <v>1.08</v>
      </c>
      <c r="Q378" s="419"/>
      <c r="R378" s="197">
        <v>0</v>
      </c>
      <c r="S378" s="419"/>
      <c r="T378" s="197">
        <v>0.15</v>
      </c>
      <c r="U378" s="419"/>
      <c r="V378" s="653">
        <f t="shared" si="13"/>
        <v>32</v>
      </c>
      <c r="W378" s="419"/>
      <c r="X378" s="378" t="s">
        <v>413</v>
      </c>
      <c r="Y378" s="419"/>
      <c r="Z378" s="274" t="s">
        <v>414</v>
      </c>
      <c r="AA378" s="635"/>
      <c r="AB378" s="635"/>
      <c r="AC378" s="635"/>
      <c r="AE378" s="378"/>
      <c r="AF378" s="378"/>
    </row>
    <row r="379" spans="1:32" s="364" customFormat="1" ht="14.4" x14ac:dyDescent="0.3">
      <c r="A379" s="378"/>
      <c r="B379" s="135" t="s">
        <v>1229</v>
      </c>
      <c r="C379" s="378" t="s">
        <v>297</v>
      </c>
      <c r="D379" s="57" t="s">
        <v>435</v>
      </c>
      <c r="E379" s="745"/>
      <c r="F379" s="744">
        <v>135</v>
      </c>
      <c r="G379" s="745"/>
      <c r="H379" s="744" t="s">
        <v>1214</v>
      </c>
      <c r="I379" s="419"/>
      <c r="J379" s="378" t="s">
        <v>1356</v>
      </c>
      <c r="K379" s="419"/>
      <c r="L379" s="378" t="s">
        <v>1357</v>
      </c>
      <c r="M379" s="419"/>
      <c r="N379" s="489">
        <v>10</v>
      </c>
      <c r="O379" s="745"/>
      <c r="P379" s="746">
        <f t="shared" si="12"/>
        <v>0.68</v>
      </c>
      <c r="Q379" s="419"/>
      <c r="R379" s="197">
        <v>0</v>
      </c>
      <c r="S379" s="419"/>
      <c r="T379" s="197">
        <v>0.15</v>
      </c>
      <c r="U379" s="419"/>
      <c r="V379" s="653">
        <f t="shared" si="13"/>
        <v>20</v>
      </c>
      <c r="W379" s="419"/>
      <c r="X379" s="378" t="s">
        <v>413</v>
      </c>
      <c r="Y379" s="419"/>
      <c r="Z379" s="274" t="s">
        <v>414</v>
      </c>
      <c r="AA379" s="635"/>
      <c r="AB379" s="635"/>
      <c r="AC379" s="635"/>
      <c r="AE379" s="378"/>
      <c r="AF379" s="378"/>
    </row>
    <row r="380" spans="1:32" s="364" customFormat="1" ht="14.4" x14ac:dyDescent="0.3">
      <c r="A380" s="378"/>
      <c r="B380" s="135" t="s">
        <v>1230</v>
      </c>
      <c r="C380" s="378" t="s">
        <v>297</v>
      </c>
      <c r="D380" s="57" t="s">
        <v>435</v>
      </c>
      <c r="E380" s="745"/>
      <c r="F380" s="744">
        <v>135</v>
      </c>
      <c r="G380" s="745"/>
      <c r="H380" s="744" t="s">
        <v>1214</v>
      </c>
      <c r="I380" s="419"/>
      <c r="J380" s="378" t="s">
        <v>1356</v>
      </c>
      <c r="K380" s="419"/>
      <c r="L380" s="378" t="s">
        <v>1357</v>
      </c>
      <c r="M380" s="419"/>
      <c r="N380" s="489">
        <v>10</v>
      </c>
      <c r="O380" s="745"/>
      <c r="P380" s="746">
        <f t="shared" si="12"/>
        <v>0.68</v>
      </c>
      <c r="Q380" s="419"/>
      <c r="R380" s="197">
        <v>0</v>
      </c>
      <c r="S380" s="419"/>
      <c r="T380" s="197">
        <v>0.15</v>
      </c>
      <c r="U380" s="419"/>
      <c r="V380" s="653">
        <f t="shared" si="13"/>
        <v>20</v>
      </c>
      <c r="W380" s="419"/>
      <c r="X380" s="378" t="s">
        <v>413</v>
      </c>
      <c r="Y380" s="419"/>
      <c r="Z380" s="274" t="s">
        <v>414</v>
      </c>
      <c r="AA380" s="635"/>
      <c r="AB380" s="635"/>
      <c r="AC380" s="635"/>
      <c r="AE380" s="378"/>
      <c r="AF380" s="378"/>
    </row>
    <row r="381" spans="1:32" s="364" customFormat="1" ht="14.4" x14ac:dyDescent="0.3">
      <c r="A381" s="378"/>
      <c r="B381" s="135" t="s">
        <v>1231</v>
      </c>
      <c r="C381" s="378" t="s">
        <v>297</v>
      </c>
      <c r="D381" s="57" t="s">
        <v>435</v>
      </c>
      <c r="E381" s="745"/>
      <c r="F381" s="744">
        <v>135</v>
      </c>
      <c r="G381" s="745"/>
      <c r="H381" s="744" t="s">
        <v>1214</v>
      </c>
      <c r="I381" s="419"/>
      <c r="J381" s="378" t="s">
        <v>1356</v>
      </c>
      <c r="K381" s="419"/>
      <c r="L381" s="378" t="s">
        <v>1357</v>
      </c>
      <c r="M381" s="419"/>
      <c r="N381" s="489">
        <v>10</v>
      </c>
      <c r="O381" s="745"/>
      <c r="P381" s="746">
        <f t="shared" si="12"/>
        <v>0.68</v>
      </c>
      <c r="Q381" s="419"/>
      <c r="R381" s="197">
        <v>0</v>
      </c>
      <c r="S381" s="419"/>
      <c r="T381" s="197">
        <v>0.15</v>
      </c>
      <c r="U381" s="419"/>
      <c r="V381" s="653">
        <f t="shared" si="13"/>
        <v>20</v>
      </c>
      <c r="W381" s="419"/>
      <c r="X381" s="378" t="s">
        <v>413</v>
      </c>
      <c r="Y381" s="419"/>
      <c r="Z381" s="274" t="s">
        <v>414</v>
      </c>
      <c r="AA381" s="635"/>
      <c r="AB381" s="635"/>
      <c r="AC381" s="635"/>
      <c r="AE381" s="378"/>
      <c r="AF381" s="378"/>
    </row>
    <row r="382" spans="1:32" s="364" customFormat="1" ht="14.4" x14ac:dyDescent="0.3">
      <c r="A382" s="378"/>
      <c r="B382" s="135" t="s">
        <v>1232</v>
      </c>
      <c r="C382" s="378" t="s">
        <v>297</v>
      </c>
      <c r="D382" s="57" t="s">
        <v>435</v>
      </c>
      <c r="E382" s="745"/>
      <c r="F382" s="744">
        <v>135</v>
      </c>
      <c r="G382" s="745"/>
      <c r="H382" s="744" t="s">
        <v>1214</v>
      </c>
      <c r="I382" s="419"/>
      <c r="J382" s="378" t="s">
        <v>1356</v>
      </c>
      <c r="K382" s="419"/>
      <c r="L382" s="378" t="s">
        <v>1357</v>
      </c>
      <c r="M382" s="419"/>
      <c r="N382" s="489">
        <v>10</v>
      </c>
      <c r="O382" s="745"/>
      <c r="P382" s="746">
        <f t="shared" si="12"/>
        <v>0.68</v>
      </c>
      <c r="Q382" s="419"/>
      <c r="R382" s="197">
        <v>0</v>
      </c>
      <c r="S382" s="419"/>
      <c r="T382" s="197">
        <v>0.15</v>
      </c>
      <c r="U382" s="419"/>
      <c r="V382" s="653">
        <f t="shared" si="13"/>
        <v>20</v>
      </c>
      <c r="W382" s="419"/>
      <c r="X382" s="378" t="s">
        <v>413</v>
      </c>
      <c r="Y382" s="419"/>
      <c r="Z382" s="274" t="s">
        <v>414</v>
      </c>
      <c r="AA382" s="635"/>
      <c r="AB382" s="635"/>
      <c r="AC382" s="635"/>
      <c r="AE382" s="378"/>
      <c r="AF382" s="378"/>
    </row>
    <row r="383" spans="1:32" s="364" customFormat="1" ht="14.4" x14ac:dyDescent="0.3">
      <c r="A383" s="378"/>
      <c r="B383" s="135" t="s">
        <v>1233</v>
      </c>
      <c r="C383" s="378" t="s">
        <v>297</v>
      </c>
      <c r="D383" s="57" t="s">
        <v>435</v>
      </c>
      <c r="E383" s="745"/>
      <c r="F383" s="744">
        <v>216.1</v>
      </c>
      <c r="G383" s="745"/>
      <c r="H383" s="744" t="s">
        <v>1214</v>
      </c>
      <c r="I383" s="419"/>
      <c r="J383" s="378" t="s">
        <v>1356</v>
      </c>
      <c r="K383" s="419"/>
      <c r="L383" s="378" t="s">
        <v>1357</v>
      </c>
      <c r="M383" s="419"/>
      <c r="N383" s="489">
        <v>10</v>
      </c>
      <c r="O383" s="745"/>
      <c r="P383" s="746">
        <f t="shared" si="12"/>
        <v>1.08</v>
      </c>
      <c r="Q383" s="419"/>
      <c r="R383" s="197">
        <v>0</v>
      </c>
      <c r="S383" s="419"/>
      <c r="T383" s="197">
        <v>0.15</v>
      </c>
      <c r="U383" s="419"/>
      <c r="V383" s="653">
        <f t="shared" si="13"/>
        <v>32</v>
      </c>
      <c r="W383" s="419"/>
      <c r="X383" s="378" t="s">
        <v>413</v>
      </c>
      <c r="Y383" s="419"/>
      <c r="Z383" s="274" t="s">
        <v>414</v>
      </c>
      <c r="AA383" s="635"/>
      <c r="AB383" s="635"/>
      <c r="AC383" s="635"/>
      <c r="AE383" s="378"/>
      <c r="AF383" s="378"/>
    </row>
    <row r="384" spans="1:32" s="364" customFormat="1" ht="14.4" x14ac:dyDescent="0.3">
      <c r="A384" s="378"/>
      <c r="B384" s="135" t="s">
        <v>1234</v>
      </c>
      <c r="C384" s="378" t="s">
        <v>297</v>
      </c>
      <c r="D384" s="57" t="s">
        <v>435</v>
      </c>
      <c r="E384" s="745"/>
      <c r="F384" s="744">
        <v>216.1</v>
      </c>
      <c r="G384" s="745"/>
      <c r="H384" s="744" t="s">
        <v>1214</v>
      </c>
      <c r="I384" s="419"/>
      <c r="J384" s="378" t="s">
        <v>1356</v>
      </c>
      <c r="K384" s="419"/>
      <c r="L384" s="378" t="s">
        <v>1357</v>
      </c>
      <c r="M384" s="419"/>
      <c r="N384" s="489">
        <v>10</v>
      </c>
      <c r="O384" s="745"/>
      <c r="P384" s="746">
        <f t="shared" si="12"/>
        <v>1.08</v>
      </c>
      <c r="Q384" s="419"/>
      <c r="R384" s="197">
        <v>0</v>
      </c>
      <c r="S384" s="419"/>
      <c r="T384" s="197">
        <v>0.15</v>
      </c>
      <c r="U384" s="419"/>
      <c r="V384" s="653">
        <f t="shared" si="13"/>
        <v>32</v>
      </c>
      <c r="W384" s="419"/>
      <c r="X384" s="378" t="s">
        <v>413</v>
      </c>
      <c r="Y384" s="419"/>
      <c r="Z384" s="274" t="s">
        <v>414</v>
      </c>
      <c r="AA384" s="635"/>
      <c r="AB384" s="635"/>
      <c r="AC384" s="635"/>
      <c r="AE384" s="378"/>
      <c r="AF384" s="378"/>
    </row>
    <row r="385" spans="1:52" s="364" customFormat="1" ht="14.4" x14ac:dyDescent="0.3">
      <c r="A385" s="378"/>
      <c r="B385" s="135" t="s">
        <v>1235</v>
      </c>
      <c r="C385" s="378" t="s">
        <v>297</v>
      </c>
      <c r="D385" s="57" t="s">
        <v>435</v>
      </c>
      <c r="E385" s="745"/>
      <c r="F385" s="744">
        <v>216.1</v>
      </c>
      <c r="G385" s="745"/>
      <c r="H385" s="744" t="s">
        <v>1214</v>
      </c>
      <c r="I385" s="419"/>
      <c r="J385" s="378" t="s">
        <v>1356</v>
      </c>
      <c r="K385" s="419"/>
      <c r="L385" s="378" t="s">
        <v>1357</v>
      </c>
      <c r="M385" s="419"/>
      <c r="N385" s="489">
        <v>10</v>
      </c>
      <c r="O385" s="745"/>
      <c r="P385" s="746">
        <f t="shared" si="12"/>
        <v>1.08</v>
      </c>
      <c r="Q385" s="419"/>
      <c r="R385" s="197">
        <v>0</v>
      </c>
      <c r="S385" s="419"/>
      <c r="T385" s="197">
        <v>0.15</v>
      </c>
      <c r="U385" s="419"/>
      <c r="V385" s="653">
        <f t="shared" si="13"/>
        <v>32</v>
      </c>
      <c r="W385" s="419"/>
      <c r="X385" s="378" t="s">
        <v>413</v>
      </c>
      <c r="Y385" s="419"/>
      <c r="Z385" s="274" t="s">
        <v>414</v>
      </c>
      <c r="AA385" s="635"/>
      <c r="AB385" s="635"/>
      <c r="AC385" s="635"/>
      <c r="AE385" s="378"/>
      <c r="AF385" s="378"/>
    </row>
    <row r="386" spans="1:52" s="364" customFormat="1" ht="14.4" x14ac:dyDescent="0.3">
      <c r="A386" s="378"/>
      <c r="B386" s="135" t="s">
        <v>1236</v>
      </c>
      <c r="C386" s="378" t="s">
        <v>297</v>
      </c>
      <c r="D386" s="57" t="s">
        <v>435</v>
      </c>
      <c r="E386" s="745"/>
      <c r="F386" s="744">
        <v>216.1</v>
      </c>
      <c r="G386" s="745"/>
      <c r="H386" s="744" t="s">
        <v>1214</v>
      </c>
      <c r="I386" s="419"/>
      <c r="J386" s="378" t="s">
        <v>1356</v>
      </c>
      <c r="K386" s="419"/>
      <c r="L386" s="378" t="s">
        <v>1357</v>
      </c>
      <c r="M386" s="419"/>
      <c r="N386" s="489">
        <v>10</v>
      </c>
      <c r="O386" s="745"/>
      <c r="P386" s="746">
        <f t="shared" si="12"/>
        <v>1.08</v>
      </c>
      <c r="Q386" s="419"/>
      <c r="R386" s="197">
        <v>0</v>
      </c>
      <c r="S386" s="419"/>
      <c r="T386" s="197">
        <v>0.15</v>
      </c>
      <c r="U386" s="419"/>
      <c r="V386" s="653">
        <f t="shared" si="13"/>
        <v>32</v>
      </c>
      <c r="W386" s="419"/>
      <c r="X386" s="378" t="s">
        <v>413</v>
      </c>
      <c r="Y386" s="419"/>
      <c r="Z386" s="274" t="s">
        <v>414</v>
      </c>
      <c r="AA386" s="635"/>
      <c r="AB386" s="635"/>
      <c r="AC386" s="635"/>
      <c r="AE386" s="378"/>
      <c r="AF386" s="378"/>
    </row>
    <row r="387" spans="1:52" s="364" customFormat="1" ht="14.4" x14ac:dyDescent="0.3">
      <c r="A387" s="378"/>
      <c r="B387" s="135" t="s">
        <v>1237</v>
      </c>
      <c r="C387" s="378" t="s">
        <v>297</v>
      </c>
      <c r="D387" s="57" t="s">
        <v>435</v>
      </c>
      <c r="E387" s="745"/>
      <c r="F387" s="744">
        <v>216.1</v>
      </c>
      <c r="G387" s="745"/>
      <c r="H387" s="744" t="s">
        <v>1214</v>
      </c>
      <c r="I387" s="419"/>
      <c r="J387" s="378" t="s">
        <v>1356</v>
      </c>
      <c r="K387" s="419"/>
      <c r="L387" s="378" t="s">
        <v>1357</v>
      </c>
      <c r="M387" s="419"/>
      <c r="N387" s="489">
        <v>10</v>
      </c>
      <c r="O387" s="745"/>
      <c r="P387" s="746">
        <f t="shared" si="12"/>
        <v>1.08</v>
      </c>
      <c r="Q387" s="419"/>
      <c r="R387" s="197">
        <v>0</v>
      </c>
      <c r="S387" s="419"/>
      <c r="T387" s="197">
        <v>0.15</v>
      </c>
      <c r="U387" s="419"/>
      <c r="V387" s="653">
        <f t="shared" si="13"/>
        <v>32</v>
      </c>
      <c r="W387" s="419"/>
      <c r="X387" s="378" t="s">
        <v>413</v>
      </c>
      <c r="Y387" s="419"/>
      <c r="Z387" s="274" t="s">
        <v>414</v>
      </c>
      <c r="AA387" s="635"/>
      <c r="AB387" s="635"/>
      <c r="AC387" s="635"/>
      <c r="AE387" s="378"/>
      <c r="AF387" s="378"/>
    </row>
    <row r="388" spans="1:52" s="364" customFormat="1" ht="14.4" x14ac:dyDescent="0.3">
      <c r="A388" s="378"/>
      <c r="B388" s="135" t="s">
        <v>1238</v>
      </c>
      <c r="C388" s="378" t="s">
        <v>297</v>
      </c>
      <c r="D388" s="57" t="s">
        <v>435</v>
      </c>
      <c r="E388" s="745"/>
      <c r="F388" s="744">
        <v>216.1</v>
      </c>
      <c r="G388" s="745"/>
      <c r="H388" s="744" t="s">
        <v>1214</v>
      </c>
      <c r="I388" s="419"/>
      <c r="J388" s="378" t="s">
        <v>1356</v>
      </c>
      <c r="K388" s="419"/>
      <c r="L388" s="378" t="s">
        <v>1357</v>
      </c>
      <c r="M388" s="419"/>
      <c r="N388" s="489">
        <v>10</v>
      </c>
      <c r="O388" s="745"/>
      <c r="P388" s="746">
        <f t="shared" si="12"/>
        <v>1.08</v>
      </c>
      <c r="Q388" s="419"/>
      <c r="R388" s="197">
        <v>0</v>
      </c>
      <c r="S388" s="419"/>
      <c r="T388" s="197">
        <v>0.15</v>
      </c>
      <c r="U388" s="419"/>
      <c r="V388" s="653">
        <f t="shared" si="13"/>
        <v>32</v>
      </c>
      <c r="W388" s="419"/>
      <c r="X388" s="378" t="s">
        <v>413</v>
      </c>
      <c r="Y388" s="419"/>
      <c r="Z388" s="274" t="s">
        <v>414</v>
      </c>
      <c r="AA388" s="635"/>
      <c r="AB388" s="635"/>
      <c r="AC388" s="635"/>
      <c r="AE388" s="378"/>
      <c r="AF388" s="378"/>
    </row>
    <row r="389" spans="1:52" s="364" customFormat="1" ht="14.4" x14ac:dyDescent="0.3">
      <c r="A389" s="378"/>
      <c r="B389" s="135" t="s">
        <v>1239</v>
      </c>
      <c r="C389" s="378" t="s">
        <v>297</v>
      </c>
      <c r="D389" s="57" t="s">
        <v>435</v>
      </c>
      <c r="E389" s="745"/>
      <c r="F389" s="744">
        <v>216.1</v>
      </c>
      <c r="G389" s="745"/>
      <c r="H389" s="744" t="s">
        <v>1214</v>
      </c>
      <c r="I389" s="419"/>
      <c r="J389" s="378" t="s">
        <v>1356</v>
      </c>
      <c r="K389" s="419"/>
      <c r="L389" s="378" t="s">
        <v>1357</v>
      </c>
      <c r="M389" s="419"/>
      <c r="N389" s="489">
        <v>10</v>
      </c>
      <c r="O389" s="745"/>
      <c r="P389" s="746">
        <f t="shared" si="12"/>
        <v>1.08</v>
      </c>
      <c r="Q389" s="419"/>
      <c r="R389" s="197">
        <v>0</v>
      </c>
      <c r="S389" s="419"/>
      <c r="T389" s="197">
        <v>0.15</v>
      </c>
      <c r="U389" s="419"/>
      <c r="V389" s="653">
        <f t="shared" si="13"/>
        <v>32</v>
      </c>
      <c r="W389" s="419"/>
      <c r="X389" s="378" t="s">
        <v>413</v>
      </c>
      <c r="Y389" s="419"/>
      <c r="Z389" s="274" t="s">
        <v>414</v>
      </c>
      <c r="AA389" s="635"/>
      <c r="AB389" s="635"/>
      <c r="AC389" s="635"/>
      <c r="AE389" s="378"/>
      <c r="AF389" s="378"/>
    </row>
    <row r="390" spans="1:52" s="364" customFormat="1" ht="14.4" x14ac:dyDescent="0.3">
      <c r="A390" s="378"/>
      <c r="B390" s="135" t="s">
        <v>1240</v>
      </c>
      <c r="C390" s="378" t="s">
        <v>297</v>
      </c>
      <c r="D390" s="57" t="s">
        <v>435</v>
      </c>
      <c r="E390" s="745"/>
      <c r="F390" s="744">
        <v>216.1</v>
      </c>
      <c r="G390" s="745"/>
      <c r="H390" s="744" t="s">
        <v>1214</v>
      </c>
      <c r="I390" s="419"/>
      <c r="J390" s="378" t="s">
        <v>1356</v>
      </c>
      <c r="K390" s="419"/>
      <c r="L390" s="378" t="s">
        <v>1357</v>
      </c>
      <c r="M390" s="419"/>
      <c r="N390" s="489">
        <v>10</v>
      </c>
      <c r="O390" s="745"/>
      <c r="P390" s="746">
        <f t="shared" si="12"/>
        <v>1.08</v>
      </c>
      <c r="Q390" s="419"/>
      <c r="R390" s="197">
        <v>0</v>
      </c>
      <c r="S390" s="419"/>
      <c r="T390" s="197">
        <v>0.15</v>
      </c>
      <c r="U390" s="419"/>
      <c r="V390" s="653">
        <f t="shared" si="13"/>
        <v>32</v>
      </c>
      <c r="W390" s="419"/>
      <c r="X390" s="378" t="s">
        <v>413</v>
      </c>
      <c r="Y390" s="419"/>
      <c r="Z390" s="274" t="s">
        <v>414</v>
      </c>
      <c r="AA390" s="635"/>
      <c r="AB390" s="635"/>
      <c r="AC390" s="635"/>
      <c r="AE390" s="378"/>
      <c r="AF390" s="378"/>
    </row>
    <row r="391" spans="1:52" s="364" customFormat="1" ht="14.4" x14ac:dyDescent="0.3">
      <c r="A391" s="378"/>
      <c r="B391" s="316" t="s">
        <v>1241</v>
      </c>
      <c r="C391" s="158" t="s">
        <v>297</v>
      </c>
      <c r="D391" s="476" t="s">
        <v>435</v>
      </c>
      <c r="E391" s="749"/>
      <c r="F391" s="748">
        <v>351</v>
      </c>
      <c r="G391" s="749"/>
      <c r="H391" s="748" t="s">
        <v>1214</v>
      </c>
      <c r="I391" s="417"/>
      <c r="J391" s="158" t="s">
        <v>1356</v>
      </c>
      <c r="K391" s="417"/>
      <c r="L391" s="158" t="s">
        <v>1357</v>
      </c>
      <c r="M391" s="417"/>
      <c r="N391" s="446">
        <v>10</v>
      </c>
      <c r="O391" s="749"/>
      <c r="P391" s="750">
        <f t="shared" si="12"/>
        <v>1.76</v>
      </c>
      <c r="Q391" s="417"/>
      <c r="R391" s="199">
        <v>0</v>
      </c>
      <c r="S391" s="417"/>
      <c r="T391" s="199">
        <v>0.15</v>
      </c>
      <c r="U391" s="417"/>
      <c r="V391" s="675">
        <f t="shared" si="13"/>
        <v>53</v>
      </c>
      <c r="W391" s="417"/>
      <c r="X391" s="158" t="s">
        <v>413</v>
      </c>
      <c r="Y391" s="417"/>
      <c r="Z391" s="252" t="s">
        <v>414</v>
      </c>
      <c r="AA391" s="635"/>
      <c r="AB391" s="635"/>
      <c r="AC391" s="635"/>
      <c r="AE391" s="378"/>
      <c r="AF391" s="378"/>
    </row>
    <row r="392" spans="1:52" s="86" customFormat="1" ht="14.4" x14ac:dyDescent="0.3">
      <c r="A392" s="82"/>
      <c r="B392" s="85"/>
      <c r="C392" s="83"/>
      <c r="E392" s="362"/>
      <c r="G392" s="25"/>
      <c r="I392" s="87"/>
      <c r="K392" s="87"/>
      <c r="M392" s="87"/>
      <c r="O392" s="87"/>
      <c r="Q392" s="82"/>
      <c r="R392" s="82"/>
      <c r="S392" s="82"/>
      <c r="T392" s="82"/>
      <c r="U392" s="363"/>
      <c r="V392" s="363"/>
      <c r="W392" s="363"/>
      <c r="X392" s="363"/>
    </row>
    <row r="393" spans="1:52" s="18" customFormat="1" ht="14.4" x14ac:dyDescent="0.3">
      <c r="A393" s="403"/>
      <c r="B393" s="407"/>
      <c r="C393" s="67"/>
      <c r="E393" s="627"/>
      <c r="G393" s="655"/>
      <c r="I393" s="655"/>
      <c r="K393" s="655"/>
      <c r="M393" s="655"/>
      <c r="O393" s="655"/>
      <c r="Q393" s="403"/>
      <c r="R393" s="403"/>
      <c r="S393" s="403"/>
      <c r="T393" s="403"/>
      <c r="U393" s="621"/>
      <c r="V393" s="621"/>
      <c r="W393" s="621"/>
      <c r="X393" s="621"/>
      <c r="AK393" s="86"/>
    </row>
    <row r="394" spans="1:52" s="378" customFormat="1" ht="41.4" x14ac:dyDescent="0.3">
      <c r="A394" s="363"/>
      <c r="B394" s="108" t="s">
        <v>138</v>
      </c>
      <c r="C394" s="113" t="s">
        <v>291</v>
      </c>
      <c r="D394" s="113" t="s">
        <v>433</v>
      </c>
      <c r="E394" s="108"/>
      <c r="F394" s="538" t="s">
        <v>190</v>
      </c>
      <c r="G394" s="108"/>
      <c r="H394" s="538" t="s">
        <v>505</v>
      </c>
      <c r="I394" s="108"/>
      <c r="J394" s="324" t="s">
        <v>601</v>
      </c>
      <c r="K394" s="751"/>
      <c r="L394" s="538" t="s">
        <v>1346</v>
      </c>
      <c r="M394" s="108"/>
      <c r="N394" s="324" t="s">
        <v>1210</v>
      </c>
      <c r="O394" s="751"/>
      <c r="P394" s="538" t="s">
        <v>1347</v>
      </c>
      <c r="Q394" s="751"/>
      <c r="R394" s="538" t="s">
        <v>988</v>
      </c>
      <c r="S394" s="108"/>
      <c r="T394" s="324" t="s">
        <v>591</v>
      </c>
      <c r="U394" s="538"/>
      <c r="V394" s="324" t="s">
        <v>977</v>
      </c>
      <c r="W394" s="280"/>
      <c r="X394" s="168" t="s">
        <v>1266</v>
      </c>
      <c r="Y394" s="168"/>
      <c r="Z394" s="168" t="s">
        <v>1306</v>
      </c>
      <c r="AA394" s="647"/>
      <c r="AB394" s="110" t="s">
        <v>1267</v>
      </c>
      <c r="AC394" s="168"/>
      <c r="AD394" s="168" t="s">
        <v>1211</v>
      </c>
      <c r="AE394" s="298"/>
      <c r="AF394" s="142" t="s">
        <v>292</v>
      </c>
      <c r="AG394" s="125"/>
      <c r="AH394" s="142" t="s">
        <v>293</v>
      </c>
      <c r="AI394" s="18"/>
      <c r="AJ394" s="18"/>
      <c r="AK394" s="86"/>
      <c r="AL394" s="18"/>
      <c r="AN394" s="363"/>
      <c r="AO394" s="364"/>
      <c r="AP394" s="363"/>
      <c r="AQ394" s="645"/>
      <c r="AR394" s="642"/>
      <c r="AW394" s="363"/>
      <c r="AX394" s="363"/>
      <c r="AY394" s="363"/>
      <c r="AZ394" s="363"/>
    </row>
    <row r="395" spans="1:52" s="82" customFormat="1" ht="28.2" thickBot="1" x14ac:dyDescent="0.35">
      <c r="B395" s="320" t="s">
        <v>1348</v>
      </c>
      <c r="C395" s="171" t="s">
        <v>286</v>
      </c>
      <c r="D395" s="648"/>
      <c r="E395" s="650"/>
      <c r="F395" s="171" t="s">
        <v>1359</v>
      </c>
      <c r="G395" s="650"/>
      <c r="H395" s="171" t="s">
        <v>1349</v>
      </c>
      <c r="I395" s="650"/>
      <c r="J395" s="171"/>
      <c r="K395" s="173"/>
      <c r="L395" s="171" t="s">
        <v>1350</v>
      </c>
      <c r="M395" s="650"/>
      <c r="N395" s="171" t="s">
        <v>1212</v>
      </c>
      <c r="O395" s="173"/>
      <c r="P395" s="343" t="s">
        <v>1351</v>
      </c>
      <c r="Q395" s="173"/>
      <c r="R395" s="343" t="s">
        <v>1352</v>
      </c>
      <c r="S395" s="650"/>
      <c r="T395" s="171" t="s">
        <v>145</v>
      </c>
      <c r="U395" s="126"/>
      <c r="V395" s="117"/>
      <c r="W395" s="320"/>
      <c r="X395" s="117" t="s">
        <v>1353</v>
      </c>
      <c r="Y395" s="117"/>
      <c r="Z395" s="117" t="s">
        <v>1268</v>
      </c>
      <c r="AA395" s="651"/>
      <c r="AB395" s="143" t="s">
        <v>1354</v>
      </c>
      <c r="AC395" s="117"/>
      <c r="AD395" s="117" t="s">
        <v>999</v>
      </c>
      <c r="AE395" s="643"/>
      <c r="AF395" s="344" t="s">
        <v>287</v>
      </c>
      <c r="AG395" s="643"/>
      <c r="AH395" s="344" t="s">
        <v>288</v>
      </c>
      <c r="AI395" s="18"/>
      <c r="AJ395" s="18"/>
      <c r="AK395" s="86"/>
      <c r="AL395" s="18"/>
      <c r="AM395" s="635"/>
      <c r="AN395" s="635"/>
      <c r="AQ395" s="635"/>
      <c r="AR395" s="635"/>
      <c r="AS395" s="635"/>
      <c r="AT395" s="635"/>
      <c r="AU395" s="635"/>
      <c r="AV395" s="635"/>
      <c r="AW395" s="635"/>
      <c r="AX395" s="635"/>
      <c r="AY395" s="635"/>
      <c r="AZ395" s="635"/>
    </row>
    <row r="396" spans="1:52" s="82" customFormat="1" ht="28.2" thickTop="1" x14ac:dyDescent="0.3">
      <c r="B396" s="122" t="s">
        <v>1307</v>
      </c>
      <c r="C396" s="378" t="s">
        <v>297</v>
      </c>
      <c r="D396" s="57" t="s">
        <v>435</v>
      </c>
      <c r="E396" s="225"/>
      <c r="F396" s="378" t="s">
        <v>1355</v>
      </c>
      <c r="G396" s="225"/>
      <c r="H396" s="378" t="s">
        <v>1242</v>
      </c>
      <c r="I396" s="754"/>
      <c r="J396" s="744">
        <v>351</v>
      </c>
      <c r="K396" s="745"/>
      <c r="L396" s="799">
        <v>1</v>
      </c>
      <c r="M396" s="745"/>
      <c r="N396" s="744" t="s">
        <v>1214</v>
      </c>
      <c r="O396" s="745"/>
      <c r="P396" s="755" t="s">
        <v>1356</v>
      </c>
      <c r="Q396" s="745"/>
      <c r="R396" s="755" t="s">
        <v>1357</v>
      </c>
      <c r="S396" s="419"/>
      <c r="T396" s="378">
        <v>5</v>
      </c>
      <c r="U396" s="745"/>
      <c r="V396" s="746">
        <f t="shared" ref="V396:V430" si="14">ROUND(J396/1000*T396*0.5,2)</f>
        <v>0.88</v>
      </c>
      <c r="W396" s="419"/>
      <c r="X396" s="378" t="s">
        <v>1272</v>
      </c>
      <c r="Y396" s="419"/>
      <c r="Z396" s="677">
        <f t="shared" ref="Z396:Z430" si="15">IF((AND(LEFT(B396,9)="GuestRoom",F396="Hotel/Motel Guest Room",J396/L396&lt;500)),L396*30)</f>
        <v>30</v>
      </c>
      <c r="AA396" s="419"/>
      <c r="AB396" s="197" t="s">
        <v>342</v>
      </c>
      <c r="AC396" s="416"/>
      <c r="AD396" s="665">
        <f>Z396</f>
        <v>30</v>
      </c>
      <c r="AE396" s="419"/>
      <c r="AF396" s="371" t="s">
        <v>822</v>
      </c>
      <c r="AG396" s="419"/>
      <c r="AH396" s="360" t="s">
        <v>823</v>
      </c>
      <c r="AI396" s="18"/>
      <c r="AJ396" s="18"/>
      <c r="AK396" s="86"/>
      <c r="AL396" s="18"/>
      <c r="AM396" s="635"/>
      <c r="AN396" s="635"/>
      <c r="AQ396" s="635"/>
      <c r="AR396" s="635"/>
      <c r="AS396" s="635"/>
      <c r="AT396" s="635"/>
      <c r="AU396" s="635"/>
      <c r="AV396" s="635"/>
      <c r="AW396" s="635"/>
      <c r="AX396" s="635"/>
      <c r="AY396" s="635"/>
      <c r="AZ396" s="635"/>
    </row>
    <row r="397" spans="1:52" s="82" customFormat="1" ht="27.6" x14ac:dyDescent="0.3">
      <c r="B397" s="122" t="s">
        <v>1308</v>
      </c>
      <c r="C397" s="378" t="s">
        <v>297</v>
      </c>
      <c r="D397" s="57" t="s">
        <v>435</v>
      </c>
      <c r="E397" s="225"/>
      <c r="F397" s="378" t="s">
        <v>1355</v>
      </c>
      <c r="G397" s="225"/>
      <c r="H397" s="378" t="s">
        <v>1243</v>
      </c>
      <c r="I397" s="745"/>
      <c r="J397" s="744">
        <v>351</v>
      </c>
      <c r="K397" s="745"/>
      <c r="L397" s="799">
        <v>1</v>
      </c>
      <c r="M397" s="745"/>
      <c r="N397" s="744" t="s">
        <v>1214</v>
      </c>
      <c r="O397" s="745"/>
      <c r="P397" s="755" t="s">
        <v>1356</v>
      </c>
      <c r="Q397" s="745"/>
      <c r="R397" s="755" t="s">
        <v>1357</v>
      </c>
      <c r="S397" s="419"/>
      <c r="T397" s="378">
        <v>5</v>
      </c>
      <c r="U397" s="745"/>
      <c r="V397" s="746">
        <f t="shared" si="14"/>
        <v>0.88</v>
      </c>
      <c r="W397" s="419"/>
      <c r="X397" s="378" t="s">
        <v>1272</v>
      </c>
      <c r="Y397" s="419"/>
      <c r="Z397" s="677">
        <f t="shared" si="15"/>
        <v>30</v>
      </c>
      <c r="AA397" s="419"/>
      <c r="AB397" s="197" t="s">
        <v>342</v>
      </c>
      <c r="AC397" s="416"/>
      <c r="AD397" s="665">
        <f t="shared" ref="AD397:AD410" si="16">Z397</f>
        <v>30</v>
      </c>
      <c r="AE397" s="419"/>
      <c r="AF397" s="371" t="s">
        <v>822</v>
      </c>
      <c r="AG397" s="419"/>
      <c r="AH397" s="360" t="s">
        <v>823</v>
      </c>
      <c r="AI397" s="18"/>
      <c r="AJ397" s="18"/>
      <c r="AK397" s="86"/>
      <c r="AL397" s="18"/>
      <c r="AM397" s="635"/>
      <c r="AN397" s="635"/>
      <c r="AQ397" s="635"/>
      <c r="AR397" s="635"/>
      <c r="AS397" s="635"/>
      <c r="AT397" s="635"/>
      <c r="AU397" s="635"/>
      <c r="AV397" s="635"/>
      <c r="AW397" s="635"/>
      <c r="AX397" s="635"/>
      <c r="AY397" s="635"/>
      <c r="AZ397" s="635"/>
    </row>
    <row r="398" spans="1:52" s="82" customFormat="1" ht="27.6" x14ac:dyDescent="0.3">
      <c r="B398" s="122" t="s">
        <v>1309</v>
      </c>
      <c r="C398" s="378" t="s">
        <v>297</v>
      </c>
      <c r="D398" s="57" t="s">
        <v>435</v>
      </c>
      <c r="E398" s="225"/>
      <c r="F398" s="378" t="s">
        <v>1355</v>
      </c>
      <c r="G398" s="225"/>
      <c r="H398" s="378" t="s">
        <v>1244</v>
      </c>
      <c r="I398" s="745"/>
      <c r="J398" s="744">
        <v>351</v>
      </c>
      <c r="K398" s="745"/>
      <c r="L398" s="799">
        <v>1</v>
      </c>
      <c r="M398" s="745"/>
      <c r="N398" s="744" t="s">
        <v>1214</v>
      </c>
      <c r="O398" s="745"/>
      <c r="P398" s="755" t="s">
        <v>1356</v>
      </c>
      <c r="Q398" s="745"/>
      <c r="R398" s="755" t="s">
        <v>1357</v>
      </c>
      <c r="S398" s="419"/>
      <c r="T398" s="378">
        <v>5</v>
      </c>
      <c r="U398" s="745"/>
      <c r="V398" s="746">
        <f t="shared" si="14"/>
        <v>0.88</v>
      </c>
      <c r="W398" s="419"/>
      <c r="X398" s="378" t="s">
        <v>1272</v>
      </c>
      <c r="Y398" s="419"/>
      <c r="Z398" s="677">
        <f t="shared" si="15"/>
        <v>30</v>
      </c>
      <c r="AA398" s="419"/>
      <c r="AB398" s="197" t="s">
        <v>342</v>
      </c>
      <c r="AC398" s="416"/>
      <c r="AD398" s="665">
        <f t="shared" si="16"/>
        <v>30</v>
      </c>
      <c r="AE398" s="419"/>
      <c r="AF398" s="371" t="s">
        <v>822</v>
      </c>
      <c r="AG398" s="419"/>
      <c r="AH398" s="360" t="s">
        <v>823</v>
      </c>
      <c r="AI398" s="18"/>
      <c r="AJ398" s="18"/>
      <c r="AK398" s="86"/>
      <c r="AL398" s="18"/>
      <c r="AM398" s="635"/>
      <c r="AN398" s="635"/>
      <c r="AQ398" s="635"/>
      <c r="AR398" s="635"/>
      <c r="AS398" s="635"/>
      <c r="AT398" s="635"/>
      <c r="AU398" s="635"/>
      <c r="AV398" s="635"/>
      <c r="AW398" s="635"/>
      <c r="AX398" s="635"/>
      <c r="AY398" s="635"/>
      <c r="AZ398" s="635"/>
    </row>
    <row r="399" spans="1:52" s="82" customFormat="1" ht="27.6" x14ac:dyDescent="0.3">
      <c r="B399" s="122" t="s">
        <v>1310</v>
      </c>
      <c r="C399" s="378" t="s">
        <v>297</v>
      </c>
      <c r="D399" s="57" t="s">
        <v>435</v>
      </c>
      <c r="E399" s="225"/>
      <c r="F399" s="378" t="s">
        <v>1355</v>
      </c>
      <c r="G399" s="225"/>
      <c r="H399" s="378" t="s">
        <v>1245</v>
      </c>
      <c r="I399" s="745"/>
      <c r="J399" s="744">
        <v>351</v>
      </c>
      <c r="K399" s="745"/>
      <c r="L399" s="799">
        <v>1</v>
      </c>
      <c r="M399" s="745"/>
      <c r="N399" s="744" t="s">
        <v>1214</v>
      </c>
      <c r="O399" s="745"/>
      <c r="P399" s="755" t="s">
        <v>1356</v>
      </c>
      <c r="Q399" s="745"/>
      <c r="R399" s="755" t="s">
        <v>1357</v>
      </c>
      <c r="S399" s="419"/>
      <c r="T399" s="378">
        <v>5</v>
      </c>
      <c r="U399" s="745"/>
      <c r="V399" s="746">
        <f t="shared" si="14"/>
        <v>0.88</v>
      </c>
      <c r="W399" s="419"/>
      <c r="X399" s="378" t="s">
        <v>1272</v>
      </c>
      <c r="Y399" s="419"/>
      <c r="Z399" s="677">
        <f t="shared" si="15"/>
        <v>30</v>
      </c>
      <c r="AA399" s="419"/>
      <c r="AB399" s="197" t="s">
        <v>342</v>
      </c>
      <c r="AC399" s="416"/>
      <c r="AD399" s="665">
        <f t="shared" si="16"/>
        <v>30</v>
      </c>
      <c r="AE399" s="419"/>
      <c r="AF399" s="371" t="s">
        <v>822</v>
      </c>
      <c r="AG399" s="419"/>
      <c r="AH399" s="360" t="s">
        <v>823</v>
      </c>
      <c r="AI399" s="18"/>
      <c r="AJ399" s="18"/>
      <c r="AK399" s="86"/>
      <c r="AL399" s="18"/>
      <c r="AM399" s="635"/>
      <c r="AN399" s="635"/>
      <c r="AQ399" s="635"/>
      <c r="AR399" s="635"/>
      <c r="AS399" s="635"/>
      <c r="AT399" s="635"/>
      <c r="AU399" s="635"/>
      <c r="AV399" s="635"/>
      <c r="AW399" s="635"/>
      <c r="AX399" s="635"/>
      <c r="AY399" s="635"/>
      <c r="AZ399" s="635"/>
    </row>
    <row r="400" spans="1:52" s="82" customFormat="1" ht="27.6" x14ac:dyDescent="0.3">
      <c r="B400" s="122" t="s">
        <v>1311</v>
      </c>
      <c r="C400" s="378" t="s">
        <v>297</v>
      </c>
      <c r="D400" s="57" t="s">
        <v>435</v>
      </c>
      <c r="E400" s="225"/>
      <c r="F400" s="378" t="s">
        <v>1355</v>
      </c>
      <c r="G400" s="225"/>
      <c r="H400" s="378" t="s">
        <v>1246</v>
      </c>
      <c r="I400" s="745"/>
      <c r="J400" s="744">
        <v>351</v>
      </c>
      <c r="K400" s="745"/>
      <c r="L400" s="799">
        <v>1</v>
      </c>
      <c r="M400" s="745"/>
      <c r="N400" s="744" t="s">
        <v>1214</v>
      </c>
      <c r="O400" s="745"/>
      <c r="P400" s="755" t="s">
        <v>1356</v>
      </c>
      <c r="Q400" s="745"/>
      <c r="R400" s="755" t="s">
        <v>1357</v>
      </c>
      <c r="S400" s="419"/>
      <c r="T400" s="378">
        <v>5</v>
      </c>
      <c r="U400" s="745"/>
      <c r="V400" s="746">
        <f t="shared" si="14"/>
        <v>0.88</v>
      </c>
      <c r="W400" s="419"/>
      <c r="X400" s="378" t="s">
        <v>1272</v>
      </c>
      <c r="Y400" s="419"/>
      <c r="Z400" s="677">
        <f t="shared" si="15"/>
        <v>30</v>
      </c>
      <c r="AA400" s="419"/>
      <c r="AB400" s="197" t="s">
        <v>342</v>
      </c>
      <c r="AC400" s="416"/>
      <c r="AD400" s="665">
        <f t="shared" si="16"/>
        <v>30</v>
      </c>
      <c r="AE400" s="419"/>
      <c r="AF400" s="371" t="s">
        <v>822</v>
      </c>
      <c r="AG400" s="419"/>
      <c r="AH400" s="360" t="s">
        <v>823</v>
      </c>
      <c r="AI400" s="18"/>
      <c r="AJ400" s="18"/>
      <c r="AK400" s="86"/>
      <c r="AL400" s="18"/>
      <c r="AM400" s="635"/>
      <c r="AN400" s="635"/>
      <c r="AQ400" s="635"/>
      <c r="AR400" s="635"/>
      <c r="AS400" s="635"/>
      <c r="AT400" s="635"/>
      <c r="AU400" s="635"/>
      <c r="AV400" s="635"/>
      <c r="AW400" s="635"/>
      <c r="AX400" s="635"/>
      <c r="AY400" s="635"/>
      <c r="AZ400" s="635"/>
    </row>
    <row r="401" spans="1:52" s="82" customFormat="1" ht="27.6" x14ac:dyDescent="0.3">
      <c r="B401" s="122" t="s">
        <v>1312</v>
      </c>
      <c r="C401" s="378" t="s">
        <v>297</v>
      </c>
      <c r="D401" s="57" t="s">
        <v>435</v>
      </c>
      <c r="E401" s="225"/>
      <c r="F401" s="378" t="s">
        <v>1355</v>
      </c>
      <c r="G401" s="225"/>
      <c r="H401" s="378" t="s">
        <v>1247</v>
      </c>
      <c r="I401" s="745"/>
      <c r="J401" s="744">
        <v>351</v>
      </c>
      <c r="K401" s="745"/>
      <c r="L401" s="799">
        <v>1</v>
      </c>
      <c r="M401" s="745"/>
      <c r="N401" s="744" t="s">
        <v>1214</v>
      </c>
      <c r="O401" s="745"/>
      <c r="P401" s="755" t="s">
        <v>1356</v>
      </c>
      <c r="Q401" s="745"/>
      <c r="R401" s="755" t="s">
        <v>1357</v>
      </c>
      <c r="S401" s="419"/>
      <c r="T401" s="378">
        <v>5</v>
      </c>
      <c r="U401" s="745"/>
      <c r="V401" s="746">
        <f t="shared" si="14"/>
        <v>0.88</v>
      </c>
      <c r="W401" s="419"/>
      <c r="X401" s="378" t="s">
        <v>1272</v>
      </c>
      <c r="Y401" s="419"/>
      <c r="Z401" s="677">
        <f t="shared" si="15"/>
        <v>30</v>
      </c>
      <c r="AA401" s="419"/>
      <c r="AB401" s="197" t="s">
        <v>342</v>
      </c>
      <c r="AC401" s="416"/>
      <c r="AD401" s="665">
        <f t="shared" si="16"/>
        <v>30</v>
      </c>
      <c r="AE401" s="419"/>
      <c r="AF401" s="371" t="s">
        <v>822</v>
      </c>
      <c r="AG401" s="419"/>
      <c r="AH401" s="360" t="s">
        <v>823</v>
      </c>
      <c r="AI401" s="18"/>
      <c r="AJ401" s="18"/>
      <c r="AK401" s="86"/>
      <c r="AL401" s="18"/>
      <c r="AM401" s="635"/>
      <c r="AN401" s="635"/>
      <c r="AQ401" s="635"/>
      <c r="AR401" s="635"/>
      <c r="AS401" s="635"/>
      <c r="AT401" s="635"/>
      <c r="AU401" s="635"/>
      <c r="AV401" s="635"/>
      <c r="AW401" s="635"/>
      <c r="AX401" s="635"/>
      <c r="AY401" s="635"/>
      <c r="AZ401" s="635"/>
    </row>
    <row r="402" spans="1:52" s="82" customFormat="1" ht="27.6" x14ac:dyDescent="0.3">
      <c r="B402" s="122" t="s">
        <v>1313</v>
      </c>
      <c r="C402" s="378" t="s">
        <v>297</v>
      </c>
      <c r="D402" s="57" t="s">
        <v>435</v>
      </c>
      <c r="E402" s="225"/>
      <c r="F402" s="378" t="s">
        <v>1355</v>
      </c>
      <c r="G402" s="225"/>
      <c r="H402" s="378" t="s">
        <v>1187</v>
      </c>
      <c r="I402" s="745"/>
      <c r="J402" s="744">
        <v>1404.1</v>
      </c>
      <c r="K402" s="745"/>
      <c r="L402" s="799">
        <v>4</v>
      </c>
      <c r="M402" s="745"/>
      <c r="N402" s="744" t="s">
        <v>1214</v>
      </c>
      <c r="O402" s="745"/>
      <c r="P402" s="755" t="s">
        <v>1356</v>
      </c>
      <c r="Q402" s="745"/>
      <c r="R402" s="755" t="s">
        <v>1357</v>
      </c>
      <c r="S402" s="419"/>
      <c r="T402" s="378">
        <v>5</v>
      </c>
      <c r="U402" s="745"/>
      <c r="V402" s="746">
        <f t="shared" si="14"/>
        <v>3.51</v>
      </c>
      <c r="W402" s="419"/>
      <c r="X402" s="378" t="s">
        <v>1272</v>
      </c>
      <c r="Y402" s="419"/>
      <c r="Z402" s="677">
        <f t="shared" si="15"/>
        <v>120</v>
      </c>
      <c r="AA402" s="419"/>
      <c r="AB402" s="197" t="s">
        <v>342</v>
      </c>
      <c r="AC402" s="416"/>
      <c r="AD402" s="665">
        <f t="shared" si="16"/>
        <v>120</v>
      </c>
      <c r="AE402" s="419"/>
      <c r="AF402" s="371" t="s">
        <v>822</v>
      </c>
      <c r="AG402" s="419"/>
      <c r="AH402" s="360" t="s">
        <v>823</v>
      </c>
      <c r="AI402" s="18"/>
      <c r="AJ402" s="18"/>
      <c r="AK402" s="86"/>
      <c r="AL402" s="18"/>
      <c r="AM402" s="635"/>
      <c r="AN402" s="635"/>
      <c r="AQ402" s="635"/>
      <c r="AR402" s="635"/>
      <c r="AS402" s="635"/>
      <c r="AT402" s="635"/>
      <c r="AU402" s="635"/>
      <c r="AV402" s="635"/>
      <c r="AW402" s="635"/>
      <c r="AX402" s="635"/>
      <c r="AY402" s="635"/>
      <c r="AZ402" s="635"/>
    </row>
    <row r="403" spans="1:52" s="82" customFormat="1" ht="27.6" x14ac:dyDescent="0.3">
      <c r="B403" s="122" t="s">
        <v>1314</v>
      </c>
      <c r="C403" s="378" t="s">
        <v>297</v>
      </c>
      <c r="D403" s="57" t="s">
        <v>435</v>
      </c>
      <c r="E403" s="225"/>
      <c r="F403" s="378" t="s">
        <v>1355</v>
      </c>
      <c r="G403" s="225"/>
      <c r="H403" s="378" t="s">
        <v>1248</v>
      </c>
      <c r="I403" s="745"/>
      <c r="J403" s="744">
        <v>1134.0999999999999</v>
      </c>
      <c r="K403" s="745"/>
      <c r="L403" s="799">
        <v>3</v>
      </c>
      <c r="M403" s="745"/>
      <c r="N403" s="744" t="s">
        <v>1214</v>
      </c>
      <c r="O403" s="745"/>
      <c r="P403" s="755" t="s">
        <v>1356</v>
      </c>
      <c r="Q403" s="745"/>
      <c r="R403" s="755" t="s">
        <v>1357</v>
      </c>
      <c r="S403" s="419"/>
      <c r="T403" s="378">
        <v>5</v>
      </c>
      <c r="U403" s="745"/>
      <c r="V403" s="746">
        <f t="shared" si="14"/>
        <v>2.84</v>
      </c>
      <c r="W403" s="419"/>
      <c r="X403" s="378" t="s">
        <v>1272</v>
      </c>
      <c r="Y403" s="419"/>
      <c r="Z403" s="677">
        <f t="shared" si="15"/>
        <v>90</v>
      </c>
      <c r="AA403" s="419"/>
      <c r="AB403" s="197" t="s">
        <v>342</v>
      </c>
      <c r="AC403" s="416"/>
      <c r="AD403" s="665">
        <f t="shared" si="16"/>
        <v>90</v>
      </c>
      <c r="AE403" s="419"/>
      <c r="AF403" s="371" t="s">
        <v>822</v>
      </c>
      <c r="AG403" s="419"/>
      <c r="AH403" s="360" t="s">
        <v>823</v>
      </c>
      <c r="AI403" s="18"/>
      <c r="AJ403" s="18"/>
      <c r="AK403" s="86"/>
      <c r="AL403" s="18"/>
      <c r="AM403" s="635"/>
      <c r="AN403" s="635"/>
      <c r="AQ403" s="635"/>
      <c r="AR403" s="635"/>
      <c r="AS403" s="635"/>
      <c r="AT403" s="635"/>
      <c r="AU403" s="635"/>
      <c r="AV403" s="635"/>
      <c r="AW403" s="635"/>
      <c r="AX403" s="635"/>
      <c r="AY403" s="635"/>
      <c r="AZ403" s="635"/>
    </row>
    <row r="404" spans="1:52" s="82" customFormat="1" ht="27.6" x14ac:dyDescent="0.3">
      <c r="B404" s="122" t="s">
        <v>1315</v>
      </c>
      <c r="C404" s="378" t="s">
        <v>297</v>
      </c>
      <c r="D404" s="57" t="s">
        <v>435</v>
      </c>
      <c r="E404" s="225"/>
      <c r="F404" s="378" t="s">
        <v>1355</v>
      </c>
      <c r="G404" s="225"/>
      <c r="H404" s="378" t="s">
        <v>1249</v>
      </c>
      <c r="I404" s="745"/>
      <c r="J404" s="744">
        <v>1404.1</v>
      </c>
      <c r="K404" s="745"/>
      <c r="L404" s="799">
        <v>4</v>
      </c>
      <c r="M404" s="745"/>
      <c r="N404" s="744" t="s">
        <v>1214</v>
      </c>
      <c r="O404" s="745"/>
      <c r="P404" s="755" t="s">
        <v>1356</v>
      </c>
      <c r="Q404" s="745"/>
      <c r="R404" s="755" t="s">
        <v>1357</v>
      </c>
      <c r="S404" s="419"/>
      <c r="T404" s="378">
        <v>5</v>
      </c>
      <c r="U404" s="745"/>
      <c r="V404" s="746">
        <f t="shared" si="14"/>
        <v>3.51</v>
      </c>
      <c r="W404" s="419"/>
      <c r="X404" s="378" t="s">
        <v>1272</v>
      </c>
      <c r="Y404" s="419"/>
      <c r="Z404" s="677">
        <f t="shared" si="15"/>
        <v>120</v>
      </c>
      <c r="AA404" s="419"/>
      <c r="AB404" s="197" t="s">
        <v>342</v>
      </c>
      <c r="AC404" s="416"/>
      <c r="AD404" s="665">
        <f t="shared" si="16"/>
        <v>120</v>
      </c>
      <c r="AE404" s="419"/>
      <c r="AF404" s="371" t="s">
        <v>822</v>
      </c>
      <c r="AG404" s="419"/>
      <c r="AH404" s="360" t="s">
        <v>823</v>
      </c>
      <c r="AI404" s="18"/>
      <c r="AJ404" s="18"/>
      <c r="AK404" s="86"/>
      <c r="AL404" s="18"/>
      <c r="AM404" s="635"/>
      <c r="AN404" s="635"/>
      <c r="AQ404" s="635"/>
      <c r="AR404" s="635"/>
      <c r="AS404" s="635"/>
      <c r="AT404" s="635"/>
      <c r="AU404" s="635"/>
      <c r="AV404" s="635"/>
      <c r="AW404" s="635"/>
      <c r="AX404" s="635"/>
      <c r="AY404" s="635"/>
      <c r="AZ404" s="635"/>
    </row>
    <row r="405" spans="1:52" s="82" customFormat="1" ht="27.6" x14ac:dyDescent="0.3">
      <c r="B405" s="122" t="s">
        <v>1316</v>
      </c>
      <c r="C405" s="378" t="s">
        <v>297</v>
      </c>
      <c r="D405" s="57" t="s">
        <v>435</v>
      </c>
      <c r="E405" s="225"/>
      <c r="F405" s="378" t="s">
        <v>1355</v>
      </c>
      <c r="G405" s="225"/>
      <c r="H405" s="378" t="s">
        <v>1250</v>
      </c>
      <c r="I405" s="745"/>
      <c r="J405" s="744">
        <v>351</v>
      </c>
      <c r="K405" s="745"/>
      <c r="L405" s="799">
        <v>1</v>
      </c>
      <c r="M405" s="745"/>
      <c r="N405" s="744" t="s">
        <v>1214</v>
      </c>
      <c r="O405" s="745"/>
      <c r="P405" s="755" t="s">
        <v>1356</v>
      </c>
      <c r="Q405" s="745"/>
      <c r="R405" s="755" t="s">
        <v>1357</v>
      </c>
      <c r="S405" s="419"/>
      <c r="T405" s="378">
        <v>5</v>
      </c>
      <c r="U405" s="745"/>
      <c r="V405" s="746">
        <f t="shared" si="14"/>
        <v>0.88</v>
      </c>
      <c r="W405" s="419"/>
      <c r="X405" s="378" t="s">
        <v>1272</v>
      </c>
      <c r="Y405" s="419"/>
      <c r="Z405" s="677">
        <f t="shared" si="15"/>
        <v>30</v>
      </c>
      <c r="AA405" s="419"/>
      <c r="AB405" s="197" t="s">
        <v>342</v>
      </c>
      <c r="AC405" s="416"/>
      <c r="AD405" s="665">
        <f t="shared" si="16"/>
        <v>30</v>
      </c>
      <c r="AE405" s="419"/>
      <c r="AF405" s="371" t="s">
        <v>822</v>
      </c>
      <c r="AG405" s="419"/>
      <c r="AH405" s="360" t="s">
        <v>823</v>
      </c>
      <c r="AI405" s="18"/>
      <c r="AJ405" s="18"/>
      <c r="AK405" s="86"/>
      <c r="AL405" s="18"/>
      <c r="AM405" s="635"/>
      <c r="AN405" s="635"/>
      <c r="AQ405" s="635"/>
      <c r="AR405" s="635"/>
      <c r="AS405" s="635"/>
      <c r="AT405" s="635"/>
      <c r="AU405" s="635"/>
      <c r="AV405" s="635"/>
      <c r="AW405" s="635"/>
      <c r="AX405" s="635"/>
      <c r="AY405" s="635"/>
      <c r="AZ405" s="635"/>
    </row>
    <row r="406" spans="1:52" s="18" customFormat="1" ht="27.6" x14ac:dyDescent="0.3">
      <c r="A406" s="403"/>
      <c r="B406" s="122" t="s">
        <v>1317</v>
      </c>
      <c r="C406" s="378" t="s">
        <v>297</v>
      </c>
      <c r="D406" s="57" t="s">
        <v>435</v>
      </c>
      <c r="E406" s="225"/>
      <c r="F406" s="378" t="s">
        <v>1355</v>
      </c>
      <c r="G406" s="225"/>
      <c r="H406" s="378" t="s">
        <v>1251</v>
      </c>
      <c r="I406" s="745"/>
      <c r="J406" s="744">
        <v>351</v>
      </c>
      <c r="K406" s="745"/>
      <c r="L406" s="799">
        <v>1</v>
      </c>
      <c r="M406" s="745"/>
      <c r="N406" s="744" t="s">
        <v>1214</v>
      </c>
      <c r="O406" s="745"/>
      <c r="P406" s="755" t="s">
        <v>1356</v>
      </c>
      <c r="Q406" s="745"/>
      <c r="R406" s="755" t="s">
        <v>1357</v>
      </c>
      <c r="S406" s="419"/>
      <c r="T406" s="378">
        <v>5</v>
      </c>
      <c r="U406" s="745"/>
      <c r="V406" s="746">
        <f t="shared" si="14"/>
        <v>0.88</v>
      </c>
      <c r="W406" s="419"/>
      <c r="X406" s="378" t="s">
        <v>1272</v>
      </c>
      <c r="Y406" s="419"/>
      <c r="Z406" s="677">
        <f t="shared" si="15"/>
        <v>30</v>
      </c>
      <c r="AA406" s="419"/>
      <c r="AB406" s="197" t="s">
        <v>342</v>
      </c>
      <c r="AC406" s="416"/>
      <c r="AD406" s="665">
        <f t="shared" si="16"/>
        <v>30</v>
      </c>
      <c r="AE406" s="419"/>
      <c r="AF406" s="371" t="s">
        <v>822</v>
      </c>
      <c r="AG406" s="419"/>
      <c r="AH406" s="360" t="s">
        <v>823</v>
      </c>
      <c r="AK406" s="86"/>
    </row>
    <row r="407" spans="1:52" s="18" customFormat="1" ht="27.6" x14ac:dyDescent="0.3">
      <c r="A407" s="403"/>
      <c r="B407" s="122" t="s">
        <v>1318</v>
      </c>
      <c r="C407" s="378" t="s">
        <v>297</v>
      </c>
      <c r="D407" s="57" t="s">
        <v>435</v>
      </c>
      <c r="E407" s="225"/>
      <c r="F407" s="378" t="s">
        <v>1355</v>
      </c>
      <c r="G407" s="225"/>
      <c r="H407" s="378" t="s">
        <v>1252</v>
      </c>
      <c r="I407" s="745"/>
      <c r="J407" s="744">
        <v>1404</v>
      </c>
      <c r="K407" s="745"/>
      <c r="L407" s="799">
        <v>4</v>
      </c>
      <c r="M407" s="745"/>
      <c r="N407" s="744" t="s">
        <v>1214</v>
      </c>
      <c r="O407" s="745"/>
      <c r="P407" s="755" t="s">
        <v>1356</v>
      </c>
      <c r="Q407" s="745"/>
      <c r="R407" s="755" t="s">
        <v>1357</v>
      </c>
      <c r="S407" s="419"/>
      <c r="T407" s="378">
        <v>5</v>
      </c>
      <c r="U407" s="745"/>
      <c r="V407" s="746">
        <f t="shared" si="14"/>
        <v>3.51</v>
      </c>
      <c r="W407" s="419"/>
      <c r="X407" s="378" t="s">
        <v>1272</v>
      </c>
      <c r="Y407" s="419"/>
      <c r="Z407" s="677">
        <f t="shared" si="15"/>
        <v>120</v>
      </c>
      <c r="AA407" s="419"/>
      <c r="AB407" s="197" t="s">
        <v>342</v>
      </c>
      <c r="AC407" s="416"/>
      <c r="AD407" s="665">
        <f t="shared" si="16"/>
        <v>120</v>
      </c>
      <c r="AE407" s="419"/>
      <c r="AF407" s="371" t="s">
        <v>822</v>
      </c>
      <c r="AG407" s="419"/>
      <c r="AH407" s="360" t="s">
        <v>823</v>
      </c>
      <c r="AK407" s="86"/>
    </row>
    <row r="408" spans="1:52" s="18" customFormat="1" ht="27.6" x14ac:dyDescent="0.3">
      <c r="A408" s="403"/>
      <c r="B408" s="122" t="s">
        <v>1319</v>
      </c>
      <c r="C408" s="378" t="s">
        <v>297</v>
      </c>
      <c r="D408" s="57" t="s">
        <v>435</v>
      </c>
      <c r="E408" s="225"/>
      <c r="F408" s="378" t="s">
        <v>1355</v>
      </c>
      <c r="G408" s="225"/>
      <c r="H408" s="378" t="s">
        <v>1253</v>
      </c>
      <c r="I408" s="745"/>
      <c r="J408" s="744">
        <v>351</v>
      </c>
      <c r="K408" s="745"/>
      <c r="L408" s="799">
        <v>1</v>
      </c>
      <c r="M408" s="745"/>
      <c r="N408" s="744" t="s">
        <v>1214</v>
      </c>
      <c r="O408" s="745"/>
      <c r="P408" s="755" t="s">
        <v>1356</v>
      </c>
      <c r="Q408" s="745"/>
      <c r="R408" s="755" t="s">
        <v>1357</v>
      </c>
      <c r="S408" s="419"/>
      <c r="T408" s="378">
        <v>5</v>
      </c>
      <c r="U408" s="745"/>
      <c r="V408" s="746">
        <f t="shared" si="14"/>
        <v>0.88</v>
      </c>
      <c r="W408" s="419"/>
      <c r="X408" s="378" t="s">
        <v>1272</v>
      </c>
      <c r="Y408" s="419"/>
      <c r="Z408" s="677">
        <f t="shared" si="15"/>
        <v>30</v>
      </c>
      <c r="AA408" s="419"/>
      <c r="AB408" s="197" t="s">
        <v>342</v>
      </c>
      <c r="AC408" s="416"/>
      <c r="AD408" s="665">
        <f t="shared" si="16"/>
        <v>30</v>
      </c>
      <c r="AE408" s="419"/>
      <c r="AF408" s="371" t="s">
        <v>822</v>
      </c>
      <c r="AG408" s="419"/>
      <c r="AH408" s="360" t="s">
        <v>823</v>
      </c>
      <c r="AK408" s="86"/>
    </row>
    <row r="409" spans="1:52" s="18" customFormat="1" ht="27.6" x14ac:dyDescent="0.3">
      <c r="A409" s="403"/>
      <c r="B409" s="122" t="s">
        <v>1320</v>
      </c>
      <c r="C409" s="378" t="s">
        <v>297</v>
      </c>
      <c r="D409" s="57" t="s">
        <v>435</v>
      </c>
      <c r="E409" s="225"/>
      <c r="F409" s="378" t="s">
        <v>1355</v>
      </c>
      <c r="G409" s="225"/>
      <c r="H409" s="378" t="s">
        <v>1254</v>
      </c>
      <c r="I409" s="745"/>
      <c r="J409" s="744">
        <v>1404</v>
      </c>
      <c r="K409" s="745"/>
      <c r="L409" s="799">
        <v>4</v>
      </c>
      <c r="M409" s="745"/>
      <c r="N409" s="744" t="s">
        <v>1214</v>
      </c>
      <c r="O409" s="745"/>
      <c r="P409" s="755" t="s">
        <v>1356</v>
      </c>
      <c r="Q409" s="745"/>
      <c r="R409" s="755" t="s">
        <v>1357</v>
      </c>
      <c r="S409" s="419"/>
      <c r="T409" s="378">
        <v>5</v>
      </c>
      <c r="U409" s="745"/>
      <c r="V409" s="746">
        <f t="shared" si="14"/>
        <v>3.51</v>
      </c>
      <c r="W409" s="419"/>
      <c r="X409" s="378" t="s">
        <v>1272</v>
      </c>
      <c r="Y409" s="419"/>
      <c r="Z409" s="677">
        <f t="shared" si="15"/>
        <v>120</v>
      </c>
      <c r="AA409" s="419"/>
      <c r="AB409" s="197" t="s">
        <v>342</v>
      </c>
      <c r="AC409" s="416"/>
      <c r="AD409" s="665">
        <f t="shared" si="16"/>
        <v>120</v>
      </c>
      <c r="AE409" s="419"/>
      <c r="AF409" s="371" t="s">
        <v>822</v>
      </c>
      <c r="AG409" s="419"/>
      <c r="AH409" s="360" t="s">
        <v>823</v>
      </c>
      <c r="AK409" s="86"/>
    </row>
    <row r="410" spans="1:52" s="18" customFormat="1" ht="27.6" x14ac:dyDescent="0.3">
      <c r="A410" s="403"/>
      <c r="B410" s="122" t="s">
        <v>1321</v>
      </c>
      <c r="C410" s="378" t="s">
        <v>297</v>
      </c>
      <c r="D410" s="57" t="s">
        <v>435</v>
      </c>
      <c r="E410" s="225"/>
      <c r="F410" s="378" t="s">
        <v>1355</v>
      </c>
      <c r="G410" s="225"/>
      <c r="H410" s="378" t="s">
        <v>1255</v>
      </c>
      <c r="I410" s="745"/>
      <c r="J410" s="744">
        <v>351</v>
      </c>
      <c r="K410" s="745"/>
      <c r="L410" s="799">
        <v>1</v>
      </c>
      <c r="M410" s="745"/>
      <c r="N410" s="744" t="s">
        <v>1214</v>
      </c>
      <c r="O410" s="745"/>
      <c r="P410" s="755" t="s">
        <v>1356</v>
      </c>
      <c r="Q410" s="745"/>
      <c r="R410" s="755" t="s">
        <v>1357</v>
      </c>
      <c r="S410" s="419"/>
      <c r="T410" s="378">
        <v>5</v>
      </c>
      <c r="U410" s="745"/>
      <c r="V410" s="746">
        <f t="shared" si="14"/>
        <v>0.88</v>
      </c>
      <c r="W410" s="419"/>
      <c r="X410" s="378" t="s">
        <v>1272</v>
      </c>
      <c r="Y410" s="419"/>
      <c r="Z410" s="677">
        <f t="shared" si="15"/>
        <v>30</v>
      </c>
      <c r="AA410" s="419"/>
      <c r="AB410" s="197" t="s">
        <v>342</v>
      </c>
      <c r="AC410" s="416"/>
      <c r="AD410" s="665">
        <f t="shared" si="16"/>
        <v>30</v>
      </c>
      <c r="AE410" s="419"/>
      <c r="AF410" s="371" t="s">
        <v>822</v>
      </c>
      <c r="AG410" s="419"/>
      <c r="AH410" s="360" t="s">
        <v>823</v>
      </c>
      <c r="AK410" s="86"/>
    </row>
    <row r="411" spans="1:52" s="18" customFormat="1" ht="27.6" x14ac:dyDescent="0.3">
      <c r="A411" s="403"/>
      <c r="B411" s="135" t="s">
        <v>1271</v>
      </c>
      <c r="C411" s="378" t="s">
        <v>297</v>
      </c>
      <c r="D411" s="57" t="s">
        <v>435</v>
      </c>
      <c r="E411" s="225"/>
      <c r="F411" s="370" t="s">
        <v>1355</v>
      </c>
      <c r="G411" s="225"/>
      <c r="H411" s="370" t="s">
        <v>1269</v>
      </c>
      <c r="I411" s="745"/>
      <c r="J411" s="744">
        <v>351</v>
      </c>
      <c r="K411" s="745"/>
      <c r="L411" s="799">
        <v>1</v>
      </c>
      <c r="M411" s="745"/>
      <c r="N411" s="744" t="s">
        <v>1270</v>
      </c>
      <c r="O411" s="745"/>
      <c r="P411" s="755" t="s">
        <v>1356</v>
      </c>
      <c r="Q411" s="745"/>
      <c r="R411" s="755" t="s">
        <v>713</v>
      </c>
      <c r="S411" s="419"/>
      <c r="T411" s="378">
        <v>5</v>
      </c>
      <c r="U411" s="745"/>
      <c r="V411" s="746">
        <f t="shared" si="14"/>
        <v>0.88</v>
      </c>
      <c r="W411" s="419"/>
      <c r="X411" s="378" t="s">
        <v>1272</v>
      </c>
      <c r="Y411" s="419"/>
      <c r="Z411" s="677">
        <f t="shared" si="15"/>
        <v>30</v>
      </c>
      <c r="AA411" s="419"/>
      <c r="AB411" s="197" t="s">
        <v>342</v>
      </c>
      <c r="AC411" s="332" t="s">
        <v>14</v>
      </c>
      <c r="AD411" s="266" t="s">
        <v>14</v>
      </c>
      <c r="AE411" s="419"/>
      <c r="AF411" s="371" t="s">
        <v>822</v>
      </c>
      <c r="AG411" s="419"/>
      <c r="AH411" s="360" t="s">
        <v>823</v>
      </c>
      <c r="AK411" s="86"/>
    </row>
    <row r="412" spans="1:52" s="18" customFormat="1" ht="27.6" x14ac:dyDescent="0.3">
      <c r="A412" s="403"/>
      <c r="B412" s="135" t="s">
        <v>1274</v>
      </c>
      <c r="C412" s="378" t="s">
        <v>297</v>
      </c>
      <c r="D412" s="57" t="s">
        <v>435</v>
      </c>
      <c r="E412" s="225"/>
      <c r="F412" s="370" t="s">
        <v>1355</v>
      </c>
      <c r="G412" s="225"/>
      <c r="H412" s="370" t="s">
        <v>1273</v>
      </c>
      <c r="I412" s="745"/>
      <c r="J412" s="744">
        <v>1404.1</v>
      </c>
      <c r="K412" s="745"/>
      <c r="L412" s="799">
        <v>4</v>
      </c>
      <c r="M412" s="745"/>
      <c r="N412" s="744" t="s">
        <v>1270</v>
      </c>
      <c r="O412" s="745"/>
      <c r="P412" s="755" t="s">
        <v>1356</v>
      </c>
      <c r="Q412" s="745"/>
      <c r="R412" s="755" t="s">
        <v>713</v>
      </c>
      <c r="S412" s="419"/>
      <c r="T412" s="378">
        <v>5</v>
      </c>
      <c r="U412" s="745"/>
      <c r="V412" s="746">
        <f t="shared" si="14"/>
        <v>3.51</v>
      </c>
      <c r="W412" s="419"/>
      <c r="X412" s="378" t="s">
        <v>1272</v>
      </c>
      <c r="Y412" s="419"/>
      <c r="Z412" s="677">
        <f t="shared" si="15"/>
        <v>120</v>
      </c>
      <c r="AA412" s="419"/>
      <c r="AB412" s="197" t="s">
        <v>342</v>
      </c>
      <c r="AC412" s="332" t="s">
        <v>14</v>
      </c>
      <c r="AD412" s="266" t="s">
        <v>14</v>
      </c>
      <c r="AE412" s="419"/>
      <c r="AF412" s="371" t="s">
        <v>822</v>
      </c>
      <c r="AG412" s="419"/>
      <c r="AH412" s="360" t="s">
        <v>823</v>
      </c>
      <c r="AK412" s="86"/>
    </row>
    <row r="413" spans="1:52" s="18" customFormat="1" ht="27.6" x14ac:dyDescent="0.3">
      <c r="A413" s="403"/>
      <c r="B413" s="135" t="s">
        <v>1276</v>
      </c>
      <c r="C413" s="378" t="s">
        <v>297</v>
      </c>
      <c r="D413" s="57" t="s">
        <v>435</v>
      </c>
      <c r="E413" s="225"/>
      <c r="F413" s="370" t="s">
        <v>1355</v>
      </c>
      <c r="G413" s="225"/>
      <c r="H413" s="370" t="s">
        <v>1275</v>
      </c>
      <c r="I413" s="745"/>
      <c r="J413" s="744">
        <v>1134.0999999999999</v>
      </c>
      <c r="K413" s="745"/>
      <c r="L413" s="799">
        <v>3</v>
      </c>
      <c r="M413" s="745"/>
      <c r="N413" s="744" t="s">
        <v>1270</v>
      </c>
      <c r="O413" s="745"/>
      <c r="P413" s="755" t="s">
        <v>1356</v>
      </c>
      <c r="Q413" s="745"/>
      <c r="R413" s="755" t="s">
        <v>713</v>
      </c>
      <c r="S413" s="419"/>
      <c r="T413" s="378">
        <v>5</v>
      </c>
      <c r="U413" s="745"/>
      <c r="V413" s="746">
        <f t="shared" si="14"/>
        <v>2.84</v>
      </c>
      <c r="W413" s="419"/>
      <c r="X413" s="378" t="s">
        <v>1272</v>
      </c>
      <c r="Y413" s="419"/>
      <c r="Z413" s="677">
        <f t="shared" si="15"/>
        <v>90</v>
      </c>
      <c r="AA413" s="419"/>
      <c r="AB413" s="197" t="s">
        <v>342</v>
      </c>
      <c r="AC413" s="332" t="s">
        <v>14</v>
      </c>
      <c r="AD413" s="266" t="s">
        <v>14</v>
      </c>
      <c r="AE413" s="419"/>
      <c r="AF413" s="371" t="s">
        <v>822</v>
      </c>
      <c r="AG413" s="419"/>
      <c r="AH413" s="360" t="s">
        <v>823</v>
      </c>
      <c r="AK413" s="86"/>
    </row>
    <row r="414" spans="1:52" s="18" customFormat="1" ht="27.6" x14ac:dyDescent="0.3">
      <c r="A414" s="403"/>
      <c r="B414" s="135" t="s">
        <v>1278</v>
      </c>
      <c r="C414" s="378" t="s">
        <v>297</v>
      </c>
      <c r="D414" s="57" t="s">
        <v>435</v>
      </c>
      <c r="E414" s="225"/>
      <c r="F414" s="370" t="s">
        <v>1355</v>
      </c>
      <c r="G414" s="225"/>
      <c r="H414" s="370" t="s">
        <v>1277</v>
      </c>
      <c r="I414" s="745"/>
      <c r="J414" s="744">
        <v>1404.1</v>
      </c>
      <c r="K414" s="745"/>
      <c r="L414" s="799">
        <v>4</v>
      </c>
      <c r="M414" s="745"/>
      <c r="N414" s="744" t="s">
        <v>1270</v>
      </c>
      <c r="O414" s="745"/>
      <c r="P414" s="755" t="s">
        <v>1356</v>
      </c>
      <c r="Q414" s="745"/>
      <c r="R414" s="755" t="s">
        <v>713</v>
      </c>
      <c r="S414" s="419"/>
      <c r="T414" s="378">
        <v>5</v>
      </c>
      <c r="U414" s="745"/>
      <c r="V414" s="746">
        <f t="shared" si="14"/>
        <v>3.51</v>
      </c>
      <c r="W414" s="419"/>
      <c r="X414" s="378" t="s">
        <v>1272</v>
      </c>
      <c r="Y414" s="419"/>
      <c r="Z414" s="677">
        <f t="shared" si="15"/>
        <v>120</v>
      </c>
      <c r="AA414" s="419"/>
      <c r="AB414" s="197" t="s">
        <v>342</v>
      </c>
      <c r="AC414" s="332" t="s">
        <v>14</v>
      </c>
      <c r="AD414" s="266" t="s">
        <v>14</v>
      </c>
      <c r="AE414" s="419"/>
      <c r="AF414" s="371" t="s">
        <v>822</v>
      </c>
      <c r="AG414" s="419"/>
      <c r="AH414" s="360" t="s">
        <v>823</v>
      </c>
      <c r="AK414" s="86"/>
    </row>
    <row r="415" spans="1:52" s="18" customFormat="1" ht="27.6" x14ac:dyDescent="0.3">
      <c r="A415" s="403"/>
      <c r="B415" s="135" t="s">
        <v>1280</v>
      </c>
      <c r="C415" s="378" t="s">
        <v>297</v>
      </c>
      <c r="D415" s="57" t="s">
        <v>435</v>
      </c>
      <c r="E415" s="225"/>
      <c r="F415" s="370" t="s">
        <v>1355</v>
      </c>
      <c r="G415" s="225"/>
      <c r="H415" s="370" t="s">
        <v>1279</v>
      </c>
      <c r="I415" s="745"/>
      <c r="J415" s="744">
        <v>351</v>
      </c>
      <c r="K415" s="745"/>
      <c r="L415" s="799">
        <v>1</v>
      </c>
      <c r="M415" s="745"/>
      <c r="N415" s="744" t="s">
        <v>1270</v>
      </c>
      <c r="O415" s="745"/>
      <c r="P415" s="755" t="s">
        <v>1356</v>
      </c>
      <c r="Q415" s="745"/>
      <c r="R415" s="755" t="s">
        <v>713</v>
      </c>
      <c r="S415" s="419"/>
      <c r="T415" s="378">
        <v>5</v>
      </c>
      <c r="U415" s="745"/>
      <c r="V415" s="746">
        <f t="shared" si="14"/>
        <v>0.88</v>
      </c>
      <c r="W415" s="419"/>
      <c r="X415" s="378" t="s">
        <v>1272</v>
      </c>
      <c r="Y415" s="419"/>
      <c r="Z415" s="677">
        <f t="shared" si="15"/>
        <v>30</v>
      </c>
      <c r="AA415" s="419"/>
      <c r="AB415" s="197" t="s">
        <v>342</v>
      </c>
      <c r="AC415" s="332" t="s">
        <v>14</v>
      </c>
      <c r="AD415" s="266" t="s">
        <v>14</v>
      </c>
      <c r="AE415" s="419"/>
      <c r="AF415" s="371" t="s">
        <v>822</v>
      </c>
      <c r="AG415" s="419"/>
      <c r="AH415" s="360" t="s">
        <v>823</v>
      </c>
      <c r="AK415" s="86"/>
    </row>
    <row r="416" spans="1:52" s="18" customFormat="1" ht="27.6" x14ac:dyDescent="0.3">
      <c r="A416" s="403"/>
      <c r="B416" s="135" t="s">
        <v>1282</v>
      </c>
      <c r="C416" s="378" t="s">
        <v>297</v>
      </c>
      <c r="D416" s="57" t="s">
        <v>435</v>
      </c>
      <c r="E416" s="225"/>
      <c r="F416" s="370" t="s">
        <v>1355</v>
      </c>
      <c r="G416" s="225"/>
      <c r="H416" s="370" t="s">
        <v>1281</v>
      </c>
      <c r="I416" s="745"/>
      <c r="J416" s="744">
        <v>351</v>
      </c>
      <c r="K416" s="745"/>
      <c r="L416" s="799">
        <v>1</v>
      </c>
      <c r="M416" s="745"/>
      <c r="N416" s="744" t="s">
        <v>1270</v>
      </c>
      <c r="O416" s="745"/>
      <c r="P416" s="755" t="s">
        <v>1356</v>
      </c>
      <c r="Q416" s="745"/>
      <c r="R416" s="755" t="s">
        <v>713</v>
      </c>
      <c r="S416" s="419"/>
      <c r="T416" s="378">
        <v>5</v>
      </c>
      <c r="U416" s="745"/>
      <c r="V416" s="746">
        <f t="shared" si="14"/>
        <v>0.88</v>
      </c>
      <c r="W416" s="419"/>
      <c r="X416" s="378" t="s">
        <v>1272</v>
      </c>
      <c r="Y416" s="419"/>
      <c r="Z416" s="677">
        <f t="shared" si="15"/>
        <v>30</v>
      </c>
      <c r="AA416" s="419"/>
      <c r="AB416" s="197" t="s">
        <v>342</v>
      </c>
      <c r="AC416" s="332" t="s">
        <v>14</v>
      </c>
      <c r="AD416" s="266" t="s">
        <v>14</v>
      </c>
      <c r="AE416" s="419"/>
      <c r="AF416" s="371" t="s">
        <v>822</v>
      </c>
      <c r="AG416" s="419"/>
      <c r="AH416" s="360" t="s">
        <v>823</v>
      </c>
      <c r="AK416" s="86"/>
    </row>
    <row r="417" spans="1:37" s="18" customFormat="1" ht="27.6" x14ac:dyDescent="0.3">
      <c r="A417" s="403"/>
      <c r="B417" s="135" t="s">
        <v>1284</v>
      </c>
      <c r="C417" s="378" t="s">
        <v>297</v>
      </c>
      <c r="D417" s="57" t="s">
        <v>435</v>
      </c>
      <c r="E417" s="225"/>
      <c r="F417" s="370" t="s">
        <v>1355</v>
      </c>
      <c r="G417" s="225"/>
      <c r="H417" s="370" t="s">
        <v>1283</v>
      </c>
      <c r="I417" s="745"/>
      <c r="J417" s="744">
        <v>1404</v>
      </c>
      <c r="K417" s="745"/>
      <c r="L417" s="799">
        <v>4</v>
      </c>
      <c r="M417" s="745"/>
      <c r="N417" s="744" t="s">
        <v>1270</v>
      </c>
      <c r="O417" s="745"/>
      <c r="P417" s="755" t="s">
        <v>1356</v>
      </c>
      <c r="Q417" s="745"/>
      <c r="R417" s="755" t="s">
        <v>713</v>
      </c>
      <c r="S417" s="419"/>
      <c r="T417" s="378">
        <v>5</v>
      </c>
      <c r="U417" s="745"/>
      <c r="V417" s="746">
        <f t="shared" si="14"/>
        <v>3.51</v>
      </c>
      <c r="W417" s="419"/>
      <c r="X417" s="378" t="s">
        <v>1272</v>
      </c>
      <c r="Y417" s="419"/>
      <c r="Z417" s="677">
        <f t="shared" si="15"/>
        <v>120</v>
      </c>
      <c r="AA417" s="419"/>
      <c r="AB417" s="197" t="s">
        <v>342</v>
      </c>
      <c r="AC417" s="332" t="s">
        <v>14</v>
      </c>
      <c r="AD417" s="266" t="s">
        <v>14</v>
      </c>
      <c r="AE417" s="419"/>
      <c r="AF417" s="371" t="s">
        <v>822</v>
      </c>
      <c r="AG417" s="419"/>
      <c r="AH417" s="360" t="s">
        <v>823</v>
      </c>
      <c r="AK417" s="86"/>
    </row>
    <row r="418" spans="1:37" s="18" customFormat="1" ht="27.6" x14ac:dyDescent="0.3">
      <c r="A418" s="403"/>
      <c r="B418" s="135" t="s">
        <v>1286</v>
      </c>
      <c r="C418" s="378" t="s">
        <v>297</v>
      </c>
      <c r="D418" s="57" t="s">
        <v>435</v>
      </c>
      <c r="E418" s="225"/>
      <c r="F418" s="370" t="s">
        <v>1355</v>
      </c>
      <c r="G418" s="225"/>
      <c r="H418" s="370" t="s">
        <v>1285</v>
      </c>
      <c r="I418" s="745"/>
      <c r="J418" s="744">
        <v>351</v>
      </c>
      <c r="K418" s="745"/>
      <c r="L418" s="799">
        <v>1</v>
      </c>
      <c r="M418" s="745"/>
      <c r="N418" s="744" t="s">
        <v>1270</v>
      </c>
      <c r="O418" s="745"/>
      <c r="P418" s="755" t="s">
        <v>1356</v>
      </c>
      <c r="Q418" s="745"/>
      <c r="R418" s="755" t="s">
        <v>713</v>
      </c>
      <c r="S418" s="419"/>
      <c r="T418" s="378">
        <v>5</v>
      </c>
      <c r="U418" s="745"/>
      <c r="V418" s="746">
        <f t="shared" si="14"/>
        <v>0.88</v>
      </c>
      <c r="W418" s="419"/>
      <c r="X418" s="378" t="s">
        <v>1272</v>
      </c>
      <c r="Y418" s="419"/>
      <c r="Z418" s="677">
        <f t="shared" si="15"/>
        <v>30</v>
      </c>
      <c r="AA418" s="419"/>
      <c r="AB418" s="197" t="s">
        <v>342</v>
      </c>
      <c r="AC418" s="332" t="s">
        <v>14</v>
      </c>
      <c r="AD418" s="266" t="s">
        <v>14</v>
      </c>
      <c r="AE418" s="419"/>
      <c r="AF418" s="371" t="s">
        <v>822</v>
      </c>
      <c r="AG418" s="419"/>
      <c r="AH418" s="360" t="s">
        <v>823</v>
      </c>
      <c r="AK418" s="86"/>
    </row>
    <row r="419" spans="1:37" s="18" customFormat="1" ht="27.6" x14ac:dyDescent="0.3">
      <c r="A419" s="403"/>
      <c r="B419" s="135" t="s">
        <v>1288</v>
      </c>
      <c r="C419" s="378" t="s">
        <v>297</v>
      </c>
      <c r="D419" s="57" t="s">
        <v>435</v>
      </c>
      <c r="E419" s="225"/>
      <c r="F419" s="370" t="s">
        <v>1355</v>
      </c>
      <c r="G419" s="225"/>
      <c r="H419" s="370" t="s">
        <v>1287</v>
      </c>
      <c r="I419" s="745"/>
      <c r="J419" s="744">
        <v>1404</v>
      </c>
      <c r="K419" s="745"/>
      <c r="L419" s="799">
        <v>4</v>
      </c>
      <c r="M419" s="745"/>
      <c r="N419" s="744" t="s">
        <v>1270</v>
      </c>
      <c r="O419" s="745"/>
      <c r="P419" s="755" t="s">
        <v>1356</v>
      </c>
      <c r="Q419" s="745"/>
      <c r="R419" s="755" t="s">
        <v>713</v>
      </c>
      <c r="S419" s="419"/>
      <c r="T419" s="378">
        <v>5</v>
      </c>
      <c r="U419" s="745"/>
      <c r="V419" s="746">
        <f t="shared" si="14"/>
        <v>3.51</v>
      </c>
      <c r="W419" s="419"/>
      <c r="X419" s="378" t="s">
        <v>1272</v>
      </c>
      <c r="Y419" s="419"/>
      <c r="Z419" s="677">
        <f t="shared" si="15"/>
        <v>120</v>
      </c>
      <c r="AA419" s="419"/>
      <c r="AB419" s="197" t="s">
        <v>342</v>
      </c>
      <c r="AC419" s="332" t="s">
        <v>14</v>
      </c>
      <c r="AD419" s="266" t="s">
        <v>14</v>
      </c>
      <c r="AE419" s="419"/>
      <c r="AF419" s="371" t="s">
        <v>822</v>
      </c>
      <c r="AG419" s="419"/>
      <c r="AH419" s="360" t="s">
        <v>823</v>
      </c>
      <c r="AK419" s="86"/>
    </row>
    <row r="420" spans="1:37" s="18" customFormat="1" ht="27.6" x14ac:dyDescent="0.3">
      <c r="A420" s="403"/>
      <c r="B420" s="135" t="s">
        <v>1290</v>
      </c>
      <c r="C420" s="378" t="s">
        <v>297</v>
      </c>
      <c r="D420" s="57" t="s">
        <v>435</v>
      </c>
      <c r="E420" s="225"/>
      <c r="F420" s="370" t="s">
        <v>1355</v>
      </c>
      <c r="G420" s="225"/>
      <c r="H420" s="370" t="s">
        <v>1289</v>
      </c>
      <c r="I420" s="745"/>
      <c r="J420" s="744">
        <v>351</v>
      </c>
      <c r="K420" s="745"/>
      <c r="L420" s="799">
        <v>1</v>
      </c>
      <c r="M420" s="745"/>
      <c r="N420" s="744" t="s">
        <v>1270</v>
      </c>
      <c r="O420" s="745"/>
      <c r="P420" s="755" t="s">
        <v>1356</v>
      </c>
      <c r="Q420" s="745"/>
      <c r="R420" s="755" t="s">
        <v>713</v>
      </c>
      <c r="S420" s="419"/>
      <c r="T420" s="378">
        <v>5</v>
      </c>
      <c r="U420" s="745"/>
      <c r="V420" s="746">
        <f t="shared" si="14"/>
        <v>0.88</v>
      </c>
      <c r="W420" s="419"/>
      <c r="X420" s="378" t="s">
        <v>1272</v>
      </c>
      <c r="Y420" s="419"/>
      <c r="Z420" s="677">
        <f t="shared" si="15"/>
        <v>30</v>
      </c>
      <c r="AA420" s="419"/>
      <c r="AB420" s="197" t="s">
        <v>342</v>
      </c>
      <c r="AC420" s="332" t="s">
        <v>14</v>
      </c>
      <c r="AD420" s="266" t="s">
        <v>14</v>
      </c>
      <c r="AE420" s="419"/>
      <c r="AF420" s="371" t="s">
        <v>822</v>
      </c>
      <c r="AG420" s="419"/>
      <c r="AH420" s="360" t="s">
        <v>823</v>
      </c>
      <c r="AK420" s="86"/>
    </row>
    <row r="421" spans="1:37" s="18" customFormat="1" ht="27.6" x14ac:dyDescent="0.3">
      <c r="A421" s="403"/>
      <c r="B421" s="135" t="s">
        <v>1296</v>
      </c>
      <c r="C421" s="378" t="s">
        <v>297</v>
      </c>
      <c r="D421" s="57" t="s">
        <v>435</v>
      </c>
      <c r="E421" s="225"/>
      <c r="F421" s="370" t="s">
        <v>1355</v>
      </c>
      <c r="G421" s="225"/>
      <c r="H421" s="370" t="s">
        <v>1256</v>
      </c>
      <c r="I421" s="745"/>
      <c r="J421" s="744">
        <v>351</v>
      </c>
      <c r="K421" s="745"/>
      <c r="L421" s="799">
        <v>1</v>
      </c>
      <c r="M421" s="745"/>
      <c r="N421" s="744" t="s">
        <v>1214</v>
      </c>
      <c r="O421" s="745"/>
      <c r="P421" s="755" t="s">
        <v>1385</v>
      </c>
      <c r="Q421" s="745"/>
      <c r="R421" s="755" t="s">
        <v>1357</v>
      </c>
      <c r="S421" s="419"/>
      <c r="T421" s="378">
        <v>5</v>
      </c>
      <c r="U421" s="745"/>
      <c r="V421" s="746">
        <f t="shared" si="14"/>
        <v>0.88</v>
      </c>
      <c r="W421" s="419"/>
      <c r="X421" s="378" t="s">
        <v>1272</v>
      </c>
      <c r="Y421" s="419"/>
      <c r="Z421" s="677">
        <f t="shared" si="15"/>
        <v>30</v>
      </c>
      <c r="AA421" s="419"/>
      <c r="AB421" s="197" t="s">
        <v>342</v>
      </c>
      <c r="AC421" s="419"/>
      <c r="AD421" s="665">
        <f t="shared" ref="AD421:AD430" si="17">Z421</f>
        <v>30</v>
      </c>
      <c r="AE421" s="419"/>
      <c r="AF421" s="371" t="s">
        <v>822</v>
      </c>
      <c r="AG421" s="419"/>
      <c r="AH421" s="360" t="s">
        <v>823</v>
      </c>
      <c r="AK421" s="86"/>
    </row>
    <row r="422" spans="1:37" s="18" customFormat="1" ht="27.6" x14ac:dyDescent="0.3">
      <c r="A422" s="403"/>
      <c r="B422" s="135" t="s">
        <v>1297</v>
      </c>
      <c r="C422" s="378" t="s">
        <v>297</v>
      </c>
      <c r="D422" s="57" t="s">
        <v>435</v>
      </c>
      <c r="E422" s="225"/>
      <c r="F422" s="370" t="s">
        <v>1355</v>
      </c>
      <c r="G422" s="225"/>
      <c r="H422" s="370" t="s">
        <v>1257</v>
      </c>
      <c r="I422" s="745"/>
      <c r="J422" s="744">
        <v>1404.1</v>
      </c>
      <c r="K422" s="745"/>
      <c r="L422" s="799">
        <v>4</v>
      </c>
      <c r="M422" s="745"/>
      <c r="N422" s="744" t="s">
        <v>1214</v>
      </c>
      <c r="O422" s="745"/>
      <c r="P422" s="755" t="s">
        <v>1385</v>
      </c>
      <c r="Q422" s="745"/>
      <c r="R422" s="755" t="s">
        <v>1357</v>
      </c>
      <c r="S422" s="419"/>
      <c r="T422" s="378">
        <v>5</v>
      </c>
      <c r="U422" s="745"/>
      <c r="V422" s="746">
        <f t="shared" si="14"/>
        <v>3.51</v>
      </c>
      <c r="W422" s="419"/>
      <c r="X422" s="378" t="s">
        <v>1272</v>
      </c>
      <c r="Y422" s="419"/>
      <c r="Z422" s="677">
        <f t="shared" si="15"/>
        <v>120</v>
      </c>
      <c r="AA422" s="419"/>
      <c r="AB422" s="197" t="s">
        <v>342</v>
      </c>
      <c r="AC422" s="419"/>
      <c r="AD422" s="665">
        <f t="shared" si="17"/>
        <v>120</v>
      </c>
      <c r="AE422" s="419"/>
      <c r="AF422" s="371" t="s">
        <v>822</v>
      </c>
      <c r="AG422" s="419"/>
      <c r="AH422" s="360" t="s">
        <v>823</v>
      </c>
      <c r="AK422" s="86"/>
    </row>
    <row r="423" spans="1:37" s="18" customFormat="1" ht="27.6" x14ac:dyDescent="0.3">
      <c r="A423" s="403"/>
      <c r="B423" s="135" t="s">
        <v>1298</v>
      </c>
      <c r="C423" s="378" t="s">
        <v>297</v>
      </c>
      <c r="D423" s="57" t="s">
        <v>435</v>
      </c>
      <c r="E423" s="225"/>
      <c r="F423" s="370" t="s">
        <v>1355</v>
      </c>
      <c r="G423" s="225"/>
      <c r="H423" s="370" t="s">
        <v>1258</v>
      </c>
      <c r="I423" s="745"/>
      <c r="J423" s="744">
        <v>1134.0999999999999</v>
      </c>
      <c r="K423" s="745"/>
      <c r="L423" s="799">
        <v>3</v>
      </c>
      <c r="M423" s="745"/>
      <c r="N423" s="744" t="s">
        <v>1214</v>
      </c>
      <c r="O423" s="745"/>
      <c r="P423" s="755" t="s">
        <v>1385</v>
      </c>
      <c r="Q423" s="745"/>
      <c r="R423" s="755" t="s">
        <v>1357</v>
      </c>
      <c r="S423" s="419"/>
      <c r="T423" s="378">
        <v>5</v>
      </c>
      <c r="U423" s="745"/>
      <c r="V423" s="746">
        <f t="shared" si="14"/>
        <v>2.84</v>
      </c>
      <c r="W423" s="419"/>
      <c r="X423" s="378" t="s">
        <v>1272</v>
      </c>
      <c r="Y423" s="419"/>
      <c r="Z423" s="677">
        <f t="shared" si="15"/>
        <v>90</v>
      </c>
      <c r="AA423" s="419"/>
      <c r="AB423" s="197" t="s">
        <v>342</v>
      </c>
      <c r="AC423" s="419"/>
      <c r="AD423" s="665">
        <f t="shared" si="17"/>
        <v>90</v>
      </c>
      <c r="AE423" s="419"/>
      <c r="AF423" s="371" t="s">
        <v>822</v>
      </c>
      <c r="AG423" s="419"/>
      <c r="AH423" s="360" t="s">
        <v>823</v>
      </c>
      <c r="AK423" s="86"/>
    </row>
    <row r="424" spans="1:37" s="18" customFormat="1" ht="27.6" x14ac:dyDescent="0.3">
      <c r="A424" s="403"/>
      <c r="B424" s="135" t="s">
        <v>1299</v>
      </c>
      <c r="C424" s="378" t="s">
        <v>297</v>
      </c>
      <c r="D424" s="57" t="s">
        <v>435</v>
      </c>
      <c r="E424" s="225"/>
      <c r="F424" s="370" t="s">
        <v>1355</v>
      </c>
      <c r="G424" s="225"/>
      <c r="H424" s="370" t="s">
        <v>1259</v>
      </c>
      <c r="I424" s="745"/>
      <c r="J424" s="744">
        <v>1404.1</v>
      </c>
      <c r="K424" s="745"/>
      <c r="L424" s="799">
        <v>4</v>
      </c>
      <c r="M424" s="745"/>
      <c r="N424" s="744" t="s">
        <v>1214</v>
      </c>
      <c r="O424" s="745"/>
      <c r="P424" s="755" t="s">
        <v>1385</v>
      </c>
      <c r="Q424" s="745"/>
      <c r="R424" s="755" t="s">
        <v>1357</v>
      </c>
      <c r="S424" s="419"/>
      <c r="T424" s="378">
        <v>5</v>
      </c>
      <c r="U424" s="745"/>
      <c r="V424" s="746">
        <f t="shared" si="14"/>
        <v>3.51</v>
      </c>
      <c r="W424" s="419"/>
      <c r="X424" s="378" t="s">
        <v>1272</v>
      </c>
      <c r="Y424" s="419"/>
      <c r="Z424" s="677">
        <f t="shared" si="15"/>
        <v>120</v>
      </c>
      <c r="AA424" s="419"/>
      <c r="AB424" s="197" t="s">
        <v>342</v>
      </c>
      <c r="AC424" s="419"/>
      <c r="AD424" s="665">
        <f t="shared" si="17"/>
        <v>120</v>
      </c>
      <c r="AE424" s="419"/>
      <c r="AF424" s="371" t="s">
        <v>822</v>
      </c>
      <c r="AG424" s="419"/>
      <c r="AH424" s="360" t="s">
        <v>823</v>
      </c>
      <c r="AK424" s="86"/>
    </row>
    <row r="425" spans="1:37" s="18" customFormat="1" ht="27.6" x14ac:dyDescent="0.3">
      <c r="A425" s="403"/>
      <c r="B425" s="135" t="s">
        <v>1300</v>
      </c>
      <c r="C425" s="378" t="s">
        <v>297</v>
      </c>
      <c r="D425" s="57" t="s">
        <v>435</v>
      </c>
      <c r="E425" s="225"/>
      <c r="F425" s="370" t="s">
        <v>1355</v>
      </c>
      <c r="G425" s="225"/>
      <c r="H425" s="370" t="s">
        <v>1260</v>
      </c>
      <c r="I425" s="745"/>
      <c r="J425" s="744">
        <v>351</v>
      </c>
      <c r="K425" s="745"/>
      <c r="L425" s="799">
        <v>1</v>
      </c>
      <c r="M425" s="745"/>
      <c r="N425" s="744" t="s">
        <v>1214</v>
      </c>
      <c r="O425" s="745"/>
      <c r="P425" s="755" t="s">
        <v>1385</v>
      </c>
      <c r="Q425" s="745"/>
      <c r="R425" s="755" t="s">
        <v>1357</v>
      </c>
      <c r="S425" s="419"/>
      <c r="T425" s="378">
        <v>5</v>
      </c>
      <c r="U425" s="745"/>
      <c r="V425" s="746">
        <f t="shared" si="14"/>
        <v>0.88</v>
      </c>
      <c r="W425" s="419"/>
      <c r="X425" s="378" t="s">
        <v>1272</v>
      </c>
      <c r="Y425" s="419"/>
      <c r="Z425" s="677">
        <f t="shared" si="15"/>
        <v>30</v>
      </c>
      <c r="AA425" s="419"/>
      <c r="AB425" s="197" t="s">
        <v>342</v>
      </c>
      <c r="AC425" s="419"/>
      <c r="AD425" s="665">
        <f t="shared" si="17"/>
        <v>30</v>
      </c>
      <c r="AE425" s="419"/>
      <c r="AF425" s="371" t="s">
        <v>822</v>
      </c>
      <c r="AG425" s="419"/>
      <c r="AH425" s="360" t="s">
        <v>823</v>
      </c>
      <c r="AK425" s="86"/>
    </row>
    <row r="426" spans="1:37" s="18" customFormat="1" ht="27.6" x14ac:dyDescent="0.3">
      <c r="A426" s="403"/>
      <c r="B426" s="135" t="s">
        <v>1301</v>
      </c>
      <c r="C426" s="378" t="s">
        <v>297</v>
      </c>
      <c r="D426" s="57" t="s">
        <v>435</v>
      </c>
      <c r="E426" s="225"/>
      <c r="F426" s="370" t="s">
        <v>1355</v>
      </c>
      <c r="G426" s="225"/>
      <c r="H426" s="370" t="s">
        <v>1261</v>
      </c>
      <c r="I426" s="745"/>
      <c r="J426" s="744">
        <v>351</v>
      </c>
      <c r="K426" s="745"/>
      <c r="L426" s="799">
        <v>1</v>
      </c>
      <c r="M426" s="745"/>
      <c r="N426" s="744" t="s">
        <v>1214</v>
      </c>
      <c r="O426" s="745"/>
      <c r="P426" s="755" t="s">
        <v>1385</v>
      </c>
      <c r="Q426" s="745"/>
      <c r="R426" s="755" t="s">
        <v>1357</v>
      </c>
      <c r="S426" s="419"/>
      <c r="T426" s="378">
        <v>5</v>
      </c>
      <c r="U426" s="745"/>
      <c r="V426" s="746">
        <f t="shared" si="14"/>
        <v>0.88</v>
      </c>
      <c r="W426" s="419"/>
      <c r="X426" s="378" t="s">
        <v>1272</v>
      </c>
      <c r="Y426" s="419"/>
      <c r="Z426" s="677">
        <f t="shared" si="15"/>
        <v>30</v>
      </c>
      <c r="AA426" s="419"/>
      <c r="AB426" s="197" t="s">
        <v>342</v>
      </c>
      <c r="AC426" s="419"/>
      <c r="AD426" s="665">
        <f t="shared" si="17"/>
        <v>30</v>
      </c>
      <c r="AE426" s="419"/>
      <c r="AF426" s="371" t="s">
        <v>822</v>
      </c>
      <c r="AG426" s="419"/>
      <c r="AH426" s="360" t="s">
        <v>823</v>
      </c>
      <c r="AK426" s="86"/>
    </row>
    <row r="427" spans="1:37" s="18" customFormat="1" ht="27.6" x14ac:dyDescent="0.3">
      <c r="A427" s="403"/>
      <c r="B427" s="135" t="s">
        <v>1302</v>
      </c>
      <c r="C427" s="378" t="s">
        <v>297</v>
      </c>
      <c r="D427" s="57" t="s">
        <v>435</v>
      </c>
      <c r="E427" s="225"/>
      <c r="F427" s="370" t="s">
        <v>1355</v>
      </c>
      <c r="G427" s="225"/>
      <c r="H427" s="370" t="s">
        <v>1262</v>
      </c>
      <c r="I427" s="745"/>
      <c r="J427" s="744">
        <v>1404</v>
      </c>
      <c r="K427" s="745"/>
      <c r="L427" s="799">
        <v>4</v>
      </c>
      <c r="M427" s="745"/>
      <c r="N427" s="744" t="s">
        <v>1214</v>
      </c>
      <c r="O427" s="745"/>
      <c r="P427" s="755" t="s">
        <v>1385</v>
      </c>
      <c r="Q427" s="745"/>
      <c r="R427" s="755" t="s">
        <v>1357</v>
      </c>
      <c r="S427" s="419"/>
      <c r="T427" s="378">
        <v>5</v>
      </c>
      <c r="U427" s="745"/>
      <c r="V427" s="746">
        <f t="shared" si="14"/>
        <v>3.51</v>
      </c>
      <c r="W427" s="419"/>
      <c r="X427" s="378" t="s">
        <v>1272</v>
      </c>
      <c r="Y427" s="419"/>
      <c r="Z427" s="677">
        <f t="shared" si="15"/>
        <v>120</v>
      </c>
      <c r="AA427" s="419"/>
      <c r="AB427" s="197" t="s">
        <v>342</v>
      </c>
      <c r="AC427" s="419"/>
      <c r="AD427" s="665">
        <f t="shared" si="17"/>
        <v>120</v>
      </c>
      <c r="AE427" s="419"/>
      <c r="AF427" s="371" t="s">
        <v>822</v>
      </c>
      <c r="AG427" s="419"/>
      <c r="AH427" s="360" t="s">
        <v>823</v>
      </c>
      <c r="AK427" s="86"/>
    </row>
    <row r="428" spans="1:37" s="18" customFormat="1" ht="27.6" x14ac:dyDescent="0.3">
      <c r="A428" s="403"/>
      <c r="B428" s="135" t="s">
        <v>1303</v>
      </c>
      <c r="C428" s="378" t="s">
        <v>297</v>
      </c>
      <c r="D428" s="57" t="s">
        <v>435</v>
      </c>
      <c r="E428" s="225"/>
      <c r="F428" s="370" t="s">
        <v>1355</v>
      </c>
      <c r="G428" s="225"/>
      <c r="H428" s="370" t="s">
        <v>1263</v>
      </c>
      <c r="I428" s="745"/>
      <c r="J428" s="744">
        <v>351</v>
      </c>
      <c r="K428" s="745"/>
      <c r="L428" s="799">
        <v>1</v>
      </c>
      <c r="M428" s="745"/>
      <c r="N428" s="744" t="s">
        <v>1214</v>
      </c>
      <c r="O428" s="745"/>
      <c r="P428" s="755" t="s">
        <v>1385</v>
      </c>
      <c r="Q428" s="745"/>
      <c r="R428" s="755" t="s">
        <v>1357</v>
      </c>
      <c r="S428" s="419"/>
      <c r="T428" s="378">
        <v>5</v>
      </c>
      <c r="U428" s="745"/>
      <c r="V428" s="746">
        <f t="shared" si="14"/>
        <v>0.88</v>
      </c>
      <c r="W428" s="419"/>
      <c r="X428" s="378" t="s">
        <v>1272</v>
      </c>
      <c r="Y428" s="419"/>
      <c r="Z428" s="677">
        <f t="shared" si="15"/>
        <v>30</v>
      </c>
      <c r="AA428" s="419"/>
      <c r="AB428" s="197" t="s">
        <v>342</v>
      </c>
      <c r="AC428" s="419"/>
      <c r="AD428" s="665">
        <f t="shared" si="17"/>
        <v>30</v>
      </c>
      <c r="AE428" s="419"/>
      <c r="AF428" s="371" t="s">
        <v>822</v>
      </c>
      <c r="AG428" s="419"/>
      <c r="AH428" s="360" t="s">
        <v>823</v>
      </c>
      <c r="AK428" s="86"/>
    </row>
    <row r="429" spans="1:37" s="18" customFormat="1" ht="27.6" x14ac:dyDescent="0.3">
      <c r="A429" s="403"/>
      <c r="B429" s="135" t="s">
        <v>1304</v>
      </c>
      <c r="C429" s="378" t="s">
        <v>297</v>
      </c>
      <c r="D429" s="57" t="s">
        <v>435</v>
      </c>
      <c r="E429" s="225"/>
      <c r="F429" s="370" t="s">
        <v>1355</v>
      </c>
      <c r="G429" s="225"/>
      <c r="H429" s="370" t="s">
        <v>1264</v>
      </c>
      <c r="I429" s="745"/>
      <c r="J429" s="744">
        <v>1404</v>
      </c>
      <c r="K429" s="745"/>
      <c r="L429" s="799">
        <v>4</v>
      </c>
      <c r="M429" s="745"/>
      <c r="N429" s="744" t="s">
        <v>1214</v>
      </c>
      <c r="O429" s="745"/>
      <c r="P429" s="755" t="s">
        <v>1385</v>
      </c>
      <c r="Q429" s="745"/>
      <c r="R429" s="755" t="s">
        <v>1357</v>
      </c>
      <c r="S429" s="419"/>
      <c r="T429" s="378">
        <v>5</v>
      </c>
      <c r="U429" s="745"/>
      <c r="V429" s="746">
        <f t="shared" si="14"/>
        <v>3.51</v>
      </c>
      <c r="W429" s="419"/>
      <c r="X429" s="378" t="s">
        <v>1272</v>
      </c>
      <c r="Y429" s="419"/>
      <c r="Z429" s="677">
        <f t="shared" si="15"/>
        <v>120</v>
      </c>
      <c r="AA429" s="419"/>
      <c r="AB429" s="197" t="s">
        <v>342</v>
      </c>
      <c r="AC429" s="419"/>
      <c r="AD429" s="665">
        <f t="shared" si="17"/>
        <v>120</v>
      </c>
      <c r="AE429" s="419"/>
      <c r="AF429" s="371" t="s">
        <v>822</v>
      </c>
      <c r="AG429" s="419"/>
      <c r="AH429" s="360" t="s">
        <v>823</v>
      </c>
      <c r="AK429" s="86"/>
    </row>
    <row r="430" spans="1:37" s="18" customFormat="1" ht="27.6" x14ac:dyDescent="0.3">
      <c r="A430" s="403"/>
      <c r="B430" s="316" t="s">
        <v>1305</v>
      </c>
      <c r="C430" s="158" t="s">
        <v>297</v>
      </c>
      <c r="D430" s="476" t="s">
        <v>435</v>
      </c>
      <c r="E430" s="226"/>
      <c r="F430" s="229" t="s">
        <v>1355</v>
      </c>
      <c r="G430" s="226"/>
      <c r="H430" s="229" t="s">
        <v>1265</v>
      </c>
      <c r="I430" s="749"/>
      <c r="J430" s="748">
        <v>351</v>
      </c>
      <c r="K430" s="749"/>
      <c r="L430" s="800">
        <v>1</v>
      </c>
      <c r="M430" s="749"/>
      <c r="N430" s="748" t="s">
        <v>1214</v>
      </c>
      <c r="O430" s="749"/>
      <c r="P430" s="757" t="s">
        <v>1385</v>
      </c>
      <c r="Q430" s="749"/>
      <c r="R430" s="757" t="s">
        <v>1357</v>
      </c>
      <c r="S430" s="417"/>
      <c r="T430" s="158">
        <v>5</v>
      </c>
      <c r="U430" s="749"/>
      <c r="V430" s="750">
        <f t="shared" si="14"/>
        <v>0.88</v>
      </c>
      <c r="W430" s="417"/>
      <c r="X430" s="158" t="s">
        <v>1272</v>
      </c>
      <c r="Y430" s="417"/>
      <c r="Z430" s="663">
        <f t="shared" si="15"/>
        <v>30</v>
      </c>
      <c r="AA430" s="417"/>
      <c r="AB430" s="199" t="s">
        <v>342</v>
      </c>
      <c r="AC430" s="417"/>
      <c r="AD430" s="724">
        <f t="shared" si="17"/>
        <v>30</v>
      </c>
      <c r="AE430" s="417"/>
      <c r="AF430" s="160" t="s">
        <v>822</v>
      </c>
      <c r="AG430" s="417"/>
      <c r="AH430" s="654" t="s">
        <v>823</v>
      </c>
      <c r="AK430" s="86"/>
    </row>
    <row r="431" spans="1:37" s="621" customFormat="1" ht="14.4" x14ac:dyDescent="0.3">
      <c r="I431" s="627"/>
      <c r="M431" s="627"/>
      <c r="O431" s="657"/>
      <c r="P431" s="641"/>
      <c r="Q431" s="403"/>
      <c r="R431" s="403"/>
      <c r="S431" s="403"/>
      <c r="T431" s="403"/>
      <c r="AK431" s="86"/>
    </row>
    <row r="432" spans="1:37" s="86" customFormat="1" ht="14.4" x14ac:dyDescent="0.3">
      <c r="A432" s="82"/>
      <c r="B432" s="85"/>
      <c r="C432" s="83"/>
      <c r="E432" s="362"/>
      <c r="G432" s="25"/>
      <c r="I432" s="87"/>
      <c r="K432" s="87"/>
      <c r="M432" s="87"/>
      <c r="O432" s="87"/>
      <c r="Q432" s="87"/>
      <c r="S432" s="87"/>
      <c r="U432" s="363"/>
      <c r="V432" s="363"/>
      <c r="W432" s="363"/>
      <c r="X432" s="363"/>
    </row>
    <row r="433" spans="1:26" s="397" customFormat="1" ht="14.4" x14ac:dyDescent="0.3">
      <c r="A433" s="24"/>
      <c r="B433" s="24" t="s">
        <v>487</v>
      </c>
      <c r="E433" s="362"/>
      <c r="G433" s="362"/>
      <c r="I433" s="362"/>
      <c r="K433" s="362"/>
      <c r="M433" s="362"/>
      <c r="O433" s="121"/>
      <c r="P433" s="111"/>
      <c r="Q433" s="82"/>
      <c r="R433" s="82"/>
      <c r="S433" s="82"/>
      <c r="T433" s="82"/>
      <c r="U433" s="363"/>
      <c r="V433" s="363"/>
      <c r="W433" s="363"/>
      <c r="X433" s="363"/>
    </row>
    <row r="434" spans="1:26" s="397" customFormat="1" ht="27.6" x14ac:dyDescent="0.3">
      <c r="B434" s="108" t="s">
        <v>488</v>
      </c>
      <c r="C434" s="112"/>
      <c r="D434" s="113" t="s">
        <v>433</v>
      </c>
      <c r="E434" s="231"/>
      <c r="F434" s="116" t="s">
        <v>836</v>
      </c>
      <c r="G434" s="231"/>
      <c r="H434" s="116" t="s">
        <v>489</v>
      </c>
      <c r="I434" s="231"/>
      <c r="J434" s="109" t="s">
        <v>490</v>
      </c>
      <c r="K434" s="455"/>
      <c r="L434" s="456" t="s">
        <v>491</v>
      </c>
      <c r="M434" s="231"/>
      <c r="N434" s="109" t="s">
        <v>739</v>
      </c>
      <c r="O434" s="121"/>
      <c r="P434" s="111"/>
      <c r="Q434" s="82"/>
      <c r="R434" s="82"/>
      <c r="S434" s="82"/>
      <c r="T434" s="82"/>
      <c r="U434" s="363"/>
      <c r="V434" s="363"/>
      <c r="W434" s="363"/>
      <c r="X434" s="363"/>
    </row>
    <row r="435" spans="1:26" s="397" customFormat="1" ht="15" thickBot="1" x14ac:dyDescent="0.35">
      <c r="B435" s="212"/>
      <c r="C435" s="118"/>
      <c r="D435" s="376"/>
      <c r="E435" s="375"/>
      <c r="F435" s="354" t="s">
        <v>1057</v>
      </c>
      <c r="G435" s="375"/>
      <c r="H435" s="354" t="s">
        <v>1058</v>
      </c>
      <c r="I435" s="230"/>
      <c r="J435" s="355" t="s">
        <v>1059</v>
      </c>
      <c r="K435" s="211"/>
      <c r="L435" s="354" t="s">
        <v>611</v>
      </c>
      <c r="M435" s="230"/>
      <c r="N435" s="355" t="s">
        <v>1060</v>
      </c>
      <c r="O435" s="121"/>
      <c r="P435" s="111"/>
      <c r="Q435" s="82"/>
      <c r="R435" s="82"/>
      <c r="S435" s="82"/>
      <c r="T435" s="82"/>
      <c r="U435" s="363"/>
      <c r="V435" s="363"/>
      <c r="W435" s="363"/>
      <c r="X435" s="363"/>
    </row>
    <row r="436" spans="1:26" s="362" customFormat="1" ht="14.4" thickTop="1" x14ac:dyDescent="0.3">
      <c r="B436" s="356">
        <v>2</v>
      </c>
      <c r="C436" s="392"/>
      <c r="D436" s="458" t="s">
        <v>435</v>
      </c>
      <c r="E436" s="766"/>
      <c r="F436" s="767">
        <v>250993</v>
      </c>
      <c r="G436" s="165"/>
      <c r="H436" s="162">
        <v>0.82250000000000001</v>
      </c>
      <c r="I436" s="165"/>
      <c r="J436" s="155" t="s">
        <v>475</v>
      </c>
      <c r="K436" s="164"/>
      <c r="L436" s="160" t="s">
        <v>493</v>
      </c>
      <c r="M436" s="165"/>
      <c r="N436" s="155">
        <v>0.25</v>
      </c>
      <c r="O436" s="121"/>
      <c r="P436" s="121"/>
      <c r="Q436" s="82"/>
      <c r="R436" s="82"/>
      <c r="S436" s="82"/>
      <c r="T436" s="82"/>
      <c r="U436" s="364"/>
      <c r="V436" s="364"/>
      <c r="W436" s="364"/>
      <c r="X436" s="364"/>
    </row>
    <row r="437" spans="1:26" s="86" customFormat="1" ht="14.4" x14ac:dyDescent="0.3">
      <c r="A437" s="82"/>
      <c r="B437" s="85"/>
      <c r="C437" s="83"/>
      <c r="E437" s="362"/>
      <c r="G437" s="25"/>
      <c r="I437" s="87"/>
      <c r="K437" s="87"/>
      <c r="M437" s="87"/>
      <c r="O437" s="87"/>
      <c r="Q437" s="87"/>
      <c r="S437" s="87"/>
      <c r="U437" s="363"/>
      <c r="V437" s="363"/>
      <c r="W437" s="363"/>
      <c r="X437" s="363"/>
    </row>
    <row r="438" spans="1:26" s="86" customFormat="1" ht="14.4" x14ac:dyDescent="0.3">
      <c r="A438" s="24"/>
      <c r="B438" s="24" t="s">
        <v>729</v>
      </c>
      <c r="C438" s="83"/>
      <c r="E438" s="362"/>
      <c r="G438" s="25"/>
      <c r="I438" s="87"/>
      <c r="K438" s="87"/>
      <c r="M438" s="87"/>
      <c r="O438" s="87"/>
      <c r="Q438" s="87"/>
      <c r="S438" s="87"/>
      <c r="U438" s="363"/>
      <c r="V438" s="363"/>
      <c r="W438" s="363"/>
      <c r="X438" s="363"/>
    </row>
    <row r="439" spans="1:26" s="36" customFormat="1" ht="27.6" x14ac:dyDescent="0.3">
      <c r="A439" s="113"/>
      <c r="B439" s="125" t="s">
        <v>730</v>
      </c>
      <c r="C439" s="113" t="s">
        <v>742</v>
      </c>
      <c r="D439" s="113" t="s">
        <v>433</v>
      </c>
      <c r="E439" s="125"/>
      <c r="F439" s="142" t="s">
        <v>736</v>
      </c>
      <c r="G439" s="125"/>
      <c r="H439" s="142" t="s">
        <v>1389</v>
      </c>
      <c r="I439" s="113"/>
      <c r="J439" s="113" t="s">
        <v>1397</v>
      </c>
      <c r="K439" s="207"/>
      <c r="L439" s="113" t="s">
        <v>1291</v>
      </c>
      <c r="M439" s="207"/>
      <c r="N439" s="142" t="s">
        <v>771</v>
      </c>
      <c r="O439" s="113"/>
      <c r="P439" s="113" t="s">
        <v>734</v>
      </c>
      <c r="Q439" s="125"/>
      <c r="R439" s="142" t="s">
        <v>738</v>
      </c>
      <c r="S439" s="87"/>
      <c r="T439" s="86"/>
      <c r="U439" s="87"/>
      <c r="V439" s="86"/>
      <c r="W439" s="363"/>
      <c r="X439" s="363"/>
      <c r="Y439" s="363"/>
      <c r="Z439" s="363"/>
    </row>
    <row r="440" spans="1:26" s="448" customFormat="1" ht="15" thickBot="1" x14ac:dyDescent="0.35">
      <c r="B440" s="178"/>
      <c r="C440" s="171"/>
      <c r="D440" s="172"/>
      <c r="E440" s="173"/>
      <c r="F440" s="174" t="s">
        <v>1074</v>
      </c>
      <c r="G440" s="173"/>
      <c r="H440" s="174" t="s">
        <v>1390</v>
      </c>
      <c r="I440" s="171"/>
      <c r="J440" s="174" t="s">
        <v>1071</v>
      </c>
      <c r="K440" s="173"/>
      <c r="L440" s="174" t="s">
        <v>1072</v>
      </c>
      <c r="M440" s="173"/>
      <c r="N440" s="174" t="s">
        <v>1073</v>
      </c>
      <c r="O440" s="171"/>
      <c r="P440" s="171" t="s">
        <v>1076</v>
      </c>
      <c r="Q440" s="173"/>
      <c r="R440" s="174" t="s">
        <v>1075</v>
      </c>
      <c r="S440" s="87"/>
      <c r="T440" s="86"/>
      <c r="U440" s="87"/>
      <c r="V440" s="86"/>
      <c r="W440" s="363"/>
      <c r="X440" s="363"/>
      <c r="Y440" s="363"/>
      <c r="Z440" s="363"/>
    </row>
    <row r="441" spans="1:26" s="378" customFormat="1" ht="14.4" thickTop="1" x14ac:dyDescent="0.3">
      <c r="B441" s="316" t="s">
        <v>731</v>
      </c>
      <c r="C441" s="158" t="s">
        <v>743</v>
      </c>
      <c r="D441" s="158" t="s">
        <v>435</v>
      </c>
      <c r="E441" s="417"/>
      <c r="F441" s="158" t="s">
        <v>824</v>
      </c>
      <c r="G441" s="485"/>
      <c r="H441" s="151" t="s">
        <v>1376</v>
      </c>
      <c r="I441" s="417"/>
      <c r="J441" s="158" t="s">
        <v>737</v>
      </c>
      <c r="K441" s="768"/>
      <c r="L441" s="769">
        <v>302645</v>
      </c>
      <c r="M441" s="417"/>
      <c r="N441" s="663" t="str">
        <f>ROUND(12/0.78/3.412,2)&amp;" (0.78 kW/ton)"</f>
        <v>4.51 (0.78 kW/ton)</v>
      </c>
      <c r="O441" s="411" t="s">
        <v>14</v>
      </c>
      <c r="P441" s="412" t="s">
        <v>14</v>
      </c>
      <c r="Q441" s="417"/>
      <c r="R441" s="199">
        <v>0.15</v>
      </c>
      <c r="S441" s="87"/>
      <c r="T441" s="86"/>
      <c r="U441" s="87"/>
      <c r="V441" s="86"/>
      <c r="W441" s="364"/>
      <c r="X441" s="364"/>
      <c r="Y441" s="364"/>
      <c r="Z441" s="364"/>
    </row>
    <row r="442" spans="1:26" s="86" customFormat="1" ht="14.4" x14ac:dyDescent="0.3">
      <c r="A442" s="82"/>
      <c r="B442" s="85"/>
      <c r="C442" s="83"/>
      <c r="E442" s="362"/>
      <c r="G442" s="25"/>
      <c r="I442" s="87"/>
      <c r="K442" s="87"/>
      <c r="M442" s="87"/>
      <c r="O442" s="87"/>
      <c r="Q442" s="87"/>
      <c r="S442" s="87"/>
      <c r="U442" s="363"/>
      <c r="V442" s="363"/>
      <c r="W442" s="363"/>
      <c r="X442" s="363"/>
    </row>
    <row r="443" spans="1:26" s="86" customFormat="1" ht="14.4" x14ac:dyDescent="0.3">
      <c r="A443" s="82"/>
      <c r="B443" s="85"/>
      <c r="C443" s="83"/>
      <c r="E443" s="362"/>
      <c r="G443" s="25"/>
      <c r="I443" s="87"/>
      <c r="K443" s="87"/>
      <c r="M443" s="87"/>
      <c r="O443" s="87"/>
      <c r="Q443" s="87"/>
      <c r="S443" s="87"/>
      <c r="U443" s="363"/>
      <c r="V443" s="363"/>
      <c r="W443" s="363"/>
      <c r="X443" s="363"/>
    </row>
    <row r="444" spans="1:26" s="36" customFormat="1" ht="41.4" x14ac:dyDescent="0.3">
      <c r="A444" s="82"/>
      <c r="B444" s="125" t="s">
        <v>730</v>
      </c>
      <c r="C444" s="113" t="s">
        <v>742</v>
      </c>
      <c r="D444" s="113" t="s">
        <v>433</v>
      </c>
      <c r="E444" s="125"/>
      <c r="F444" s="142" t="s">
        <v>735</v>
      </c>
      <c r="G444" s="207"/>
      <c r="H444" s="142" t="s">
        <v>779</v>
      </c>
      <c r="I444" s="113"/>
      <c r="J444" s="113" t="s">
        <v>781</v>
      </c>
      <c r="K444" s="113"/>
      <c r="L444" s="168" t="s">
        <v>740</v>
      </c>
      <c r="M444" s="457"/>
      <c r="N444" s="110" t="s">
        <v>741</v>
      </c>
      <c r="Q444" s="87"/>
      <c r="R444" s="86"/>
    </row>
    <row r="445" spans="1:26" s="448" customFormat="1" ht="14.4" thickBot="1" x14ac:dyDescent="0.35">
      <c r="A445" s="82"/>
      <c r="B445" s="178"/>
      <c r="C445" s="171"/>
      <c r="D445" s="172"/>
      <c r="E445" s="173"/>
      <c r="F445" s="174" t="s">
        <v>783</v>
      </c>
      <c r="G445" s="173"/>
      <c r="H445" s="174" t="s">
        <v>767</v>
      </c>
      <c r="I445" s="171"/>
      <c r="J445" s="171" t="s">
        <v>766</v>
      </c>
      <c r="K445" s="171"/>
      <c r="L445" s="171" t="s">
        <v>935</v>
      </c>
      <c r="M445" s="173"/>
      <c r="N445" s="174" t="s">
        <v>934</v>
      </c>
      <c r="P445" s="180"/>
      <c r="Q445" s="87"/>
      <c r="R445" s="86"/>
    </row>
    <row r="446" spans="1:26" s="378" customFormat="1" ht="28.2" thickTop="1" x14ac:dyDescent="0.3">
      <c r="B446" s="316" t="s">
        <v>731</v>
      </c>
      <c r="C446" s="158" t="s">
        <v>743</v>
      </c>
      <c r="D446" s="158" t="s">
        <v>435</v>
      </c>
      <c r="E446" s="417"/>
      <c r="F446" s="160" t="s">
        <v>825</v>
      </c>
      <c r="G446" s="417"/>
      <c r="H446" s="160" t="s">
        <v>826</v>
      </c>
      <c r="I446" s="417"/>
      <c r="J446" s="160" t="s">
        <v>827</v>
      </c>
      <c r="K446" s="417"/>
      <c r="L446" s="158" t="s">
        <v>770</v>
      </c>
      <c r="M446" s="417"/>
      <c r="N446" s="199" t="s">
        <v>769</v>
      </c>
      <c r="Q446" s="87"/>
      <c r="R446" s="86"/>
    </row>
    <row r="447" spans="1:26" s="86" customFormat="1" ht="14.4" x14ac:dyDescent="0.3">
      <c r="A447" s="82"/>
      <c r="B447" s="85"/>
      <c r="C447" s="83"/>
      <c r="E447" s="362"/>
      <c r="G447" s="25"/>
      <c r="I447" s="87"/>
      <c r="K447" s="87"/>
      <c r="M447" s="87"/>
      <c r="O447" s="87"/>
      <c r="Q447" s="87"/>
      <c r="S447" s="87"/>
      <c r="U447" s="363"/>
      <c r="V447" s="363"/>
      <c r="W447" s="363"/>
      <c r="X447" s="363"/>
    </row>
    <row r="448" spans="1:26" s="86" customFormat="1" ht="14.4" x14ac:dyDescent="0.3">
      <c r="A448" s="82"/>
      <c r="B448" s="85"/>
      <c r="C448" s="83"/>
      <c r="E448" s="362"/>
      <c r="G448" s="25"/>
      <c r="I448" s="87"/>
      <c r="K448" s="87"/>
      <c r="M448" s="87"/>
      <c r="O448" s="87"/>
      <c r="Q448" s="87"/>
      <c r="S448" s="87"/>
      <c r="U448" s="363"/>
      <c r="V448" s="363"/>
      <c r="W448" s="363"/>
      <c r="X448" s="363"/>
    </row>
    <row r="449" spans="1:26" s="84" customFormat="1" ht="27.6" x14ac:dyDescent="0.3">
      <c r="B449" s="125" t="s">
        <v>750</v>
      </c>
      <c r="C449" s="113" t="s">
        <v>751</v>
      </c>
      <c r="D449" s="113" t="s">
        <v>433</v>
      </c>
      <c r="E449" s="125"/>
      <c r="F449" s="142" t="s">
        <v>760</v>
      </c>
      <c r="G449" s="113"/>
      <c r="H449" s="113" t="s">
        <v>761</v>
      </c>
      <c r="I449" s="125"/>
      <c r="J449" s="113" t="s">
        <v>1109</v>
      </c>
      <c r="K449" s="207"/>
      <c r="L449" s="113" t="s">
        <v>764</v>
      </c>
      <c r="M449" s="207"/>
      <c r="N449" s="142" t="s">
        <v>772</v>
      </c>
      <c r="O449" s="113"/>
      <c r="P449" s="113" t="s">
        <v>773</v>
      </c>
      <c r="Q449" s="113"/>
      <c r="R449" s="109" t="s">
        <v>492</v>
      </c>
      <c r="S449" s="113"/>
      <c r="T449" s="142" t="s">
        <v>1051</v>
      </c>
      <c r="U449" s="87"/>
      <c r="V449" s="86"/>
      <c r="W449" s="363"/>
      <c r="X449" s="363"/>
      <c r="Y449" s="363"/>
      <c r="Z449" s="363"/>
    </row>
    <row r="450" spans="1:26" s="397" customFormat="1" ht="15" thickBot="1" x14ac:dyDescent="0.35">
      <c r="A450" s="369"/>
      <c r="B450" s="178"/>
      <c r="C450" s="171"/>
      <c r="D450" s="172"/>
      <c r="E450" s="173"/>
      <c r="F450" s="355" t="s">
        <v>1061</v>
      </c>
      <c r="G450" s="171"/>
      <c r="H450" s="171" t="s">
        <v>1066</v>
      </c>
      <c r="I450" s="173"/>
      <c r="J450" s="174" t="s">
        <v>1110</v>
      </c>
      <c r="K450" s="173"/>
      <c r="L450" s="355" t="s">
        <v>1062</v>
      </c>
      <c r="M450" s="173"/>
      <c r="N450" s="355" t="s">
        <v>1063</v>
      </c>
      <c r="O450" s="171"/>
      <c r="P450" s="171" t="s">
        <v>1064</v>
      </c>
      <c r="Q450" s="171"/>
      <c r="R450" s="174" t="s">
        <v>1065</v>
      </c>
      <c r="S450" s="171"/>
      <c r="T450" s="174" t="s">
        <v>774</v>
      </c>
      <c r="U450" s="87"/>
      <c r="V450" s="86"/>
      <c r="W450" s="363"/>
      <c r="X450" s="363"/>
      <c r="Y450" s="363"/>
      <c r="Z450" s="363"/>
    </row>
    <row r="451" spans="1:26" s="364" customFormat="1" ht="14.4" thickTop="1" x14ac:dyDescent="0.3">
      <c r="A451" s="378"/>
      <c r="B451" s="135" t="s">
        <v>752</v>
      </c>
      <c r="C451" s="371" t="s">
        <v>758</v>
      </c>
      <c r="D451" s="378" t="s">
        <v>435</v>
      </c>
      <c r="E451" s="418"/>
      <c r="F451" s="371" t="s">
        <v>494</v>
      </c>
      <c r="G451" s="418"/>
      <c r="H451" s="378" t="s">
        <v>762</v>
      </c>
      <c r="I451" s="490" t="s">
        <v>919</v>
      </c>
      <c r="J451" s="770">
        <f>ROUND(F436/500.19/40,2)</f>
        <v>12.54</v>
      </c>
      <c r="K451" s="490" t="s">
        <v>919</v>
      </c>
      <c r="L451" s="595" t="str">
        <f>ROUND(19*J451/1000,2)&amp;" (19 W/gpm)"</f>
        <v>0.24 (19 W/gpm)</v>
      </c>
      <c r="M451" s="490" t="s">
        <v>919</v>
      </c>
      <c r="N451" s="771">
        <v>0.5</v>
      </c>
      <c r="O451" s="490" t="s">
        <v>919</v>
      </c>
      <c r="P451" s="770">
        <f>ROUND(19/745.6*3960*R451*0.7,1)</f>
        <v>60.4</v>
      </c>
      <c r="Q451" s="420"/>
      <c r="R451" s="367">
        <v>0.85499999999999998</v>
      </c>
      <c r="S451" s="409" t="s">
        <v>14</v>
      </c>
      <c r="T451" s="410" t="s">
        <v>14</v>
      </c>
      <c r="U451" s="378"/>
      <c r="V451" s="371"/>
      <c r="W451" s="378"/>
      <c r="X451" s="371"/>
      <c r="Y451" s="378"/>
      <c r="Z451" s="371"/>
    </row>
    <row r="452" spans="1:26" s="364" customFormat="1" x14ac:dyDescent="0.3">
      <c r="A452" s="378"/>
      <c r="B452" s="135" t="s">
        <v>754</v>
      </c>
      <c r="C452" s="371" t="s">
        <v>744</v>
      </c>
      <c r="D452" s="378" t="s">
        <v>435</v>
      </c>
      <c r="E452" s="418"/>
      <c r="F452" s="371" t="s">
        <v>494</v>
      </c>
      <c r="G452" s="418"/>
      <c r="H452" s="378" t="s">
        <v>762</v>
      </c>
      <c r="I452" s="581"/>
      <c r="J452" s="688">
        <f>ROUND(J459/500.19/10,3)</f>
        <v>73.926000000000002</v>
      </c>
      <c r="K452" s="581"/>
      <c r="L452" s="596" t="str">
        <f>ROUND(J452*P452/3960/(0.7*R452)*745.6/1000,2)&amp;" ("&amp;ROUND((P452/3960/(0.7*R452)*745.6),1)&amp;" W/gpm)"</f>
        <v>1.03 (14 W/gpm)</v>
      </c>
      <c r="M452" s="581"/>
      <c r="N452" s="705">
        <v>1.5</v>
      </c>
      <c r="O452" s="416"/>
      <c r="P452" s="304">
        <v>45</v>
      </c>
      <c r="Q452" s="416"/>
      <c r="R452" s="366">
        <v>0.86499999999999999</v>
      </c>
      <c r="S452" s="409" t="s">
        <v>14</v>
      </c>
      <c r="T452" s="410" t="s">
        <v>14</v>
      </c>
      <c r="U452" s="378"/>
      <c r="V452" s="371"/>
      <c r="W452" s="378"/>
      <c r="X452" s="371"/>
      <c r="Y452" s="378"/>
      <c r="Z452" s="371"/>
    </row>
    <row r="453" spans="1:26" s="370" customFormat="1" ht="27.6" x14ac:dyDescent="0.3">
      <c r="A453" s="378"/>
      <c r="B453" s="135" t="s">
        <v>756</v>
      </c>
      <c r="C453" s="371" t="s">
        <v>731</v>
      </c>
      <c r="D453" s="378" t="s">
        <v>435</v>
      </c>
      <c r="E453" s="418"/>
      <c r="F453" s="371" t="s">
        <v>494</v>
      </c>
      <c r="G453" s="418"/>
      <c r="H453" s="378" t="s">
        <v>763</v>
      </c>
      <c r="I453" s="581"/>
      <c r="J453" s="688">
        <f>ROUND(L441/500.19/20,3)</f>
        <v>30.253</v>
      </c>
      <c r="K453" s="581"/>
      <c r="L453" s="596" t="str">
        <f>ROUND(J453*P453/3960/(0.7*R453)*745.6/1000,2)&amp;" ("&amp;ROUND((P453/3960/(0.7*R453)*745.6),1)&amp;" W/gpm)"</f>
        <v>0.39 (12.8 W/gpm)</v>
      </c>
      <c r="M453" s="581"/>
      <c r="N453" s="705">
        <v>0.5</v>
      </c>
      <c r="O453" s="416"/>
      <c r="P453" s="588">
        <f>40+((0.03*L441)/12000)</f>
        <v>40.756612500000003</v>
      </c>
      <c r="Q453" s="416"/>
      <c r="R453" s="366">
        <v>0.85499999999999998</v>
      </c>
      <c r="S453" s="772"/>
      <c r="T453" s="773" t="s">
        <v>929</v>
      </c>
      <c r="U453" s="368"/>
      <c r="W453" s="368"/>
      <c r="Y453" s="368"/>
    </row>
    <row r="454" spans="1:26" s="370" customFormat="1" x14ac:dyDescent="0.3">
      <c r="A454" s="378"/>
      <c r="B454" s="284" t="s">
        <v>753</v>
      </c>
      <c r="C454" s="158" t="s">
        <v>759</v>
      </c>
      <c r="D454" s="158" t="s">
        <v>435</v>
      </c>
      <c r="E454" s="417"/>
      <c r="F454" s="229" t="s">
        <v>494</v>
      </c>
      <c r="G454" s="417"/>
      <c r="H454" s="229" t="s">
        <v>762</v>
      </c>
      <c r="I454" s="340"/>
      <c r="J454" s="774">
        <f>ROUND(F436/500.19/40,2)</f>
        <v>12.54</v>
      </c>
      <c r="K454" s="340"/>
      <c r="L454" s="775" t="str">
        <f>ROUND(19*J454/1000,2)&amp;" (19 W/gpm)"</f>
        <v>0.24 (19 W/gpm)</v>
      </c>
      <c r="M454" s="340"/>
      <c r="N454" s="776">
        <v>0.5</v>
      </c>
      <c r="O454" s="340"/>
      <c r="P454" s="777">
        <f>ROUND(19/745.6*3960*R454*0.7,1)</f>
        <v>60.4</v>
      </c>
      <c r="Q454" s="417"/>
      <c r="R454" s="166">
        <v>0.85499999999999998</v>
      </c>
      <c r="S454" s="411" t="s">
        <v>14</v>
      </c>
      <c r="T454" s="412" t="s">
        <v>14</v>
      </c>
      <c r="U454" s="368"/>
      <c r="W454" s="368"/>
      <c r="Y454" s="368"/>
    </row>
    <row r="455" spans="1:26" s="86" customFormat="1" x14ac:dyDescent="0.3">
      <c r="A455" s="82"/>
      <c r="B455" s="85"/>
      <c r="C455" s="83"/>
      <c r="E455" s="362"/>
      <c r="G455" s="25"/>
      <c r="I455" s="87"/>
      <c r="J455" s="676"/>
      <c r="K455" s="87"/>
      <c r="M455" s="87"/>
      <c r="O455" s="87"/>
      <c r="Q455" s="87"/>
      <c r="S455" s="87"/>
      <c r="U455" s="87"/>
      <c r="W455" s="87"/>
    </row>
    <row r="456" spans="1:26" s="86" customFormat="1" x14ac:dyDescent="0.3">
      <c r="A456" s="82"/>
      <c r="B456" s="85"/>
      <c r="C456" s="83"/>
      <c r="E456" s="362"/>
      <c r="G456" s="25"/>
      <c r="I456" s="87"/>
      <c r="J456" s="676"/>
      <c r="K456" s="87"/>
      <c r="M456" s="87"/>
      <c r="O456" s="87"/>
      <c r="Q456" s="87"/>
      <c r="S456" s="87"/>
      <c r="U456" s="87"/>
      <c r="W456" s="87"/>
    </row>
    <row r="457" spans="1:26" s="40" customFormat="1" ht="27.6" x14ac:dyDescent="0.3">
      <c r="A457" s="84"/>
      <c r="B457" s="125" t="s">
        <v>747</v>
      </c>
      <c r="C457" s="113" t="s">
        <v>742</v>
      </c>
      <c r="D457" s="113" t="s">
        <v>433</v>
      </c>
      <c r="E457" s="125"/>
      <c r="F457" s="142" t="s">
        <v>748</v>
      </c>
      <c r="G457" s="113"/>
      <c r="H457" s="113" t="s">
        <v>765</v>
      </c>
      <c r="I457" s="125"/>
      <c r="J457" s="113" t="s">
        <v>1111</v>
      </c>
      <c r="K457" s="207"/>
      <c r="L457" s="116" t="s">
        <v>777</v>
      </c>
      <c r="M457" s="207"/>
      <c r="N457" s="142" t="s">
        <v>776</v>
      </c>
      <c r="O457" s="113"/>
      <c r="P457" s="142" t="s">
        <v>1052</v>
      </c>
      <c r="Q457" s="449"/>
      <c r="S457" s="449"/>
      <c r="U457" s="449"/>
      <c r="W457" s="449"/>
      <c r="Y457" s="449"/>
    </row>
    <row r="458" spans="1:26" s="86" customFormat="1" ht="14.4" thickBot="1" x14ac:dyDescent="0.35">
      <c r="A458" s="82"/>
      <c r="B458" s="178"/>
      <c r="C458" s="172"/>
      <c r="D458" s="172"/>
      <c r="E458" s="173"/>
      <c r="F458" s="355" t="s">
        <v>1067</v>
      </c>
      <c r="G458" s="171"/>
      <c r="H458" s="355" t="s">
        <v>1112</v>
      </c>
      <c r="I458" s="173"/>
      <c r="J458" s="355" t="s">
        <v>1068</v>
      </c>
      <c r="K458" s="173"/>
      <c r="L458" s="355" t="s">
        <v>1069</v>
      </c>
      <c r="M458" s="173"/>
      <c r="N458" s="355" t="s">
        <v>1070</v>
      </c>
      <c r="O458" s="171"/>
      <c r="P458" s="174" t="s">
        <v>774</v>
      </c>
      <c r="Q458" s="87"/>
      <c r="S458" s="87"/>
      <c r="U458" s="87"/>
      <c r="W458" s="87"/>
      <c r="Y458" s="87"/>
    </row>
    <row r="459" spans="1:26" s="370" customFormat="1" ht="28.2" thickTop="1" x14ac:dyDescent="0.3">
      <c r="A459" s="378"/>
      <c r="B459" s="284" t="s">
        <v>744</v>
      </c>
      <c r="C459" s="158" t="s">
        <v>745</v>
      </c>
      <c r="D459" s="158" t="s">
        <v>435</v>
      </c>
      <c r="E459" s="417"/>
      <c r="F459" s="229" t="s">
        <v>749</v>
      </c>
      <c r="G459" s="417"/>
      <c r="H459" s="452" t="s">
        <v>482</v>
      </c>
      <c r="I459" s="768"/>
      <c r="J459" s="778">
        <v>369770</v>
      </c>
      <c r="K459" s="417"/>
      <c r="L459" s="593">
        <f>ROUND(J459/500.19/10,2)</f>
        <v>73.930000000000007</v>
      </c>
      <c r="M459" s="417"/>
      <c r="N459" s="454" t="str">
        <f>ROUNDUP(L459/60,2)&amp;" (60 gpm/HP)"</f>
        <v>1.24 (60 gpm/HP)</v>
      </c>
      <c r="O459" s="417"/>
      <c r="P459" s="193" t="s">
        <v>778</v>
      </c>
      <c r="Q459" s="368"/>
      <c r="S459" s="368"/>
      <c r="U459" s="368"/>
      <c r="W459" s="368"/>
      <c r="Y459" s="368"/>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Q27"/>
  <sheetViews>
    <sheetView zoomScale="85" zoomScaleNormal="85" workbookViewId="0">
      <selection activeCell="I6" sqref="I6"/>
    </sheetView>
  </sheetViews>
  <sheetFormatPr defaultColWidth="9.109375" defaultRowHeight="13.8" x14ac:dyDescent="0.3"/>
  <cols>
    <col min="1" max="1" width="3.6640625" style="369" customWidth="1"/>
    <col min="2" max="3" width="20.6640625" style="369" customWidth="1"/>
    <col min="4" max="4" width="2.6640625" style="378" customWidth="1"/>
    <col min="5" max="5" width="26.44140625" style="378" bestFit="1" customWidth="1"/>
    <col min="6" max="6" width="2.6640625" style="378" customWidth="1"/>
    <col min="7" max="7" width="28.109375" style="378" bestFit="1" customWidth="1"/>
    <col min="8" max="8" width="2.6640625" style="378" customWidth="1"/>
    <col min="9" max="9" width="22.33203125" style="378" customWidth="1"/>
    <col min="10" max="10" width="2.6640625" style="378" customWidth="1"/>
    <col min="11" max="11" width="20.6640625" style="378" customWidth="1"/>
    <col min="12" max="12" width="2.6640625" style="378" customWidth="1"/>
    <col min="13" max="13" width="25.6640625" style="378" customWidth="1"/>
    <col min="14" max="14" width="5.6640625" style="378" customWidth="1"/>
    <col min="15" max="15" width="25.6640625" style="378" customWidth="1"/>
    <col min="16" max="16" width="9.109375" style="378"/>
    <col min="17" max="17" width="25.6640625" style="378" customWidth="1"/>
    <col min="18" max="16384" width="9.109375" style="378"/>
  </cols>
  <sheetData>
    <row r="2" spans="1:17" s="369" customFormat="1" x14ac:dyDescent="0.3">
      <c r="B2" s="567" t="s">
        <v>5</v>
      </c>
      <c r="C2" s="567"/>
      <c r="D2" s="567"/>
      <c r="E2" s="567"/>
      <c r="F2" s="567"/>
      <c r="G2" s="567" t="s">
        <v>6</v>
      </c>
      <c r="L2" s="567"/>
      <c r="M2" s="568" t="s">
        <v>1101</v>
      </c>
    </row>
    <row r="3" spans="1:17" s="369" customFormat="1" x14ac:dyDescent="0.3">
      <c r="B3" s="369" t="s">
        <v>0</v>
      </c>
      <c r="E3" s="89" t="s">
        <v>1132</v>
      </c>
      <c r="G3" s="369" t="s">
        <v>8</v>
      </c>
      <c r="I3" s="89" t="str">
        <f>'Documentation Main Sheet'!I2</f>
        <v>r6055</v>
      </c>
      <c r="L3" s="569"/>
      <c r="M3" s="369" t="s">
        <v>1102</v>
      </c>
    </row>
    <row r="4" spans="1:17" s="369" customFormat="1" x14ac:dyDescent="0.3">
      <c r="B4" s="369" t="s">
        <v>1</v>
      </c>
      <c r="E4" s="369" t="str">
        <f>E3&amp;".cibd19"</f>
        <v>030006S-OffMed-Run04.cibd19</v>
      </c>
      <c r="G4" s="369" t="s">
        <v>110</v>
      </c>
      <c r="I4" s="369" t="str">
        <f>'Documentation Main Sheet'!I3</f>
        <v>Release package</v>
      </c>
      <c r="L4" s="570">
        <v>1</v>
      </c>
      <c r="M4" s="378" t="s">
        <v>1103</v>
      </c>
    </row>
    <row r="5" spans="1:17" s="369" customFormat="1" x14ac:dyDescent="0.3">
      <c r="B5" s="369" t="s">
        <v>54</v>
      </c>
      <c r="E5" s="369" t="s">
        <v>56</v>
      </c>
      <c r="G5" s="369" t="s">
        <v>7</v>
      </c>
      <c r="I5" s="369" t="str">
        <f>'Documentation Main Sheet'!I4</f>
        <v>CBECC-Com 209.1.0 release</v>
      </c>
      <c r="L5" s="571">
        <v>1</v>
      </c>
      <c r="M5" s="378" t="s">
        <v>1103</v>
      </c>
      <c r="N5" s="62"/>
    </row>
    <row r="6" spans="1:17" s="369" customFormat="1" x14ac:dyDescent="0.3">
      <c r="B6" s="369" t="s">
        <v>390</v>
      </c>
      <c r="E6" s="85" t="s">
        <v>395</v>
      </c>
      <c r="G6" s="369" t="s">
        <v>2</v>
      </c>
      <c r="I6" s="394">
        <v>43768</v>
      </c>
      <c r="L6" s="572">
        <v>1</v>
      </c>
      <c r="M6" s="381" t="s">
        <v>1104</v>
      </c>
    </row>
    <row r="7" spans="1:17" s="369" customFormat="1" x14ac:dyDescent="0.3">
      <c r="B7" s="369" t="s">
        <v>432</v>
      </c>
      <c r="E7" s="85" t="s">
        <v>393</v>
      </c>
      <c r="G7" s="369" t="s">
        <v>3</v>
      </c>
      <c r="I7" s="369" t="s">
        <v>1544</v>
      </c>
      <c r="J7" s="76"/>
      <c r="L7" s="573">
        <v>1</v>
      </c>
      <c r="M7" s="378" t="s">
        <v>1105</v>
      </c>
    </row>
    <row r="8" spans="1:17" s="369" customFormat="1" x14ac:dyDescent="0.3">
      <c r="B8" s="369" t="s">
        <v>952</v>
      </c>
      <c r="E8" s="85" t="s">
        <v>953</v>
      </c>
      <c r="J8" s="76"/>
      <c r="L8" s="796">
        <v>1</v>
      </c>
      <c r="M8" s="369" t="s">
        <v>1396</v>
      </c>
    </row>
    <row r="9" spans="1:17" s="369" customFormat="1" x14ac:dyDescent="0.3">
      <c r="B9" s="85"/>
      <c r="C9" s="85"/>
      <c r="E9" s="83"/>
      <c r="I9" s="76"/>
    </row>
    <row r="10" spans="1:17" s="86" customFormat="1" x14ac:dyDescent="0.3">
      <c r="A10" s="286"/>
      <c r="B10" s="287" t="s">
        <v>37</v>
      </c>
      <c r="C10" s="287"/>
      <c r="D10" s="286"/>
      <c r="E10" s="288"/>
      <c r="F10" s="286"/>
      <c r="G10" s="286"/>
      <c r="H10" s="289"/>
      <c r="I10" s="286"/>
      <c r="J10" s="286"/>
      <c r="K10" s="288"/>
      <c r="L10" s="286"/>
      <c r="M10" s="286"/>
      <c r="N10" s="286"/>
      <c r="O10" s="286"/>
      <c r="P10" s="286"/>
      <c r="Q10" s="286"/>
    </row>
    <row r="11" spans="1:17" s="82" customFormat="1" x14ac:dyDescent="0.3">
      <c r="A11" s="26"/>
      <c r="B11" s="44" t="s">
        <v>64</v>
      </c>
      <c r="C11" s="44"/>
      <c r="D11" s="84"/>
      <c r="F11" s="84"/>
      <c r="G11" s="77"/>
      <c r="H11" s="84"/>
      <c r="I11" s="84"/>
      <c r="J11" s="84"/>
      <c r="K11" s="369"/>
      <c r="L11" s="84"/>
      <c r="M11" s="84"/>
      <c r="N11" s="63"/>
    </row>
    <row r="12" spans="1:17" s="86" customFormat="1" x14ac:dyDescent="0.3">
      <c r="B12" s="84" t="s">
        <v>17</v>
      </c>
      <c r="C12" s="87"/>
      <c r="E12" s="25"/>
      <c r="G12" s="87"/>
      <c r="I12" s="87"/>
      <c r="J12" s="84"/>
      <c r="K12" s="87"/>
      <c r="L12" s="84"/>
      <c r="M12" s="87"/>
      <c r="N12" s="84"/>
      <c r="O12" s="77"/>
      <c r="P12" s="84"/>
      <c r="Q12" s="77"/>
    </row>
    <row r="13" spans="1:17" s="40" customFormat="1" ht="41.4" x14ac:dyDescent="0.3">
      <c r="A13" s="84"/>
      <c r="B13" s="132" t="s">
        <v>137</v>
      </c>
      <c r="C13" s="113" t="s">
        <v>31</v>
      </c>
      <c r="D13" s="132"/>
      <c r="E13" s="142" t="s">
        <v>49</v>
      </c>
      <c r="F13" s="112"/>
      <c r="G13" s="113" t="s">
        <v>11</v>
      </c>
      <c r="H13" s="132"/>
      <c r="I13" s="142" t="s">
        <v>495</v>
      </c>
      <c r="J13" s="115"/>
      <c r="K13" s="113" t="s">
        <v>496</v>
      </c>
      <c r="L13" s="138"/>
      <c r="M13" s="142" t="s">
        <v>497</v>
      </c>
      <c r="N13" s="115"/>
      <c r="O13" s="116" t="s">
        <v>498</v>
      </c>
      <c r="P13" s="138"/>
      <c r="Q13" s="109" t="s">
        <v>499</v>
      </c>
    </row>
    <row r="14" spans="1:17" s="75" customFormat="1" ht="28.2" thickBot="1" x14ac:dyDescent="0.35">
      <c r="A14" s="76"/>
      <c r="B14" s="126"/>
      <c r="C14" s="117" t="s">
        <v>23</v>
      </c>
      <c r="D14" s="133"/>
      <c r="E14" s="143" t="s">
        <v>50</v>
      </c>
      <c r="F14" s="119"/>
      <c r="G14" s="117" t="s">
        <v>25</v>
      </c>
      <c r="H14" s="139"/>
      <c r="I14" s="143" t="s">
        <v>24</v>
      </c>
      <c r="J14" s="118"/>
      <c r="K14" s="117" t="s">
        <v>140</v>
      </c>
      <c r="L14" s="139"/>
      <c r="M14" s="143" t="s">
        <v>141</v>
      </c>
      <c r="N14" s="118"/>
      <c r="O14" s="117" t="s">
        <v>142</v>
      </c>
      <c r="P14" s="126"/>
      <c r="Q14" s="143" t="s">
        <v>143</v>
      </c>
    </row>
    <row r="15" spans="1:17" s="63" customFormat="1" ht="28.2" thickTop="1" x14ac:dyDescent="0.3">
      <c r="A15" s="369"/>
      <c r="B15" s="615" t="s">
        <v>15</v>
      </c>
      <c r="C15" s="261" t="s">
        <v>58</v>
      </c>
      <c r="D15" s="614" t="s">
        <v>14</v>
      </c>
      <c r="E15" s="616" t="s">
        <v>14</v>
      </c>
      <c r="F15" s="499"/>
      <c r="G15" s="261" t="s">
        <v>16</v>
      </c>
      <c r="H15" s="359"/>
      <c r="I15" s="257">
        <v>0.189</v>
      </c>
      <c r="J15" s="618" t="s">
        <v>14</v>
      </c>
      <c r="K15" s="618" t="s">
        <v>14</v>
      </c>
      <c r="L15" s="614" t="s">
        <v>14</v>
      </c>
      <c r="M15" s="613" t="s">
        <v>14</v>
      </c>
      <c r="N15" s="618"/>
      <c r="O15" s="617"/>
      <c r="P15" s="614"/>
      <c r="Q15" s="616"/>
    </row>
    <row r="16" spans="1:17" x14ac:dyDescent="0.3">
      <c r="E16" s="83"/>
    </row>
    <row r="17" spans="1:17" x14ac:dyDescent="0.3">
      <c r="E17" s="83"/>
    </row>
    <row r="18" spans="1:17" s="63" customFormat="1" x14ac:dyDescent="0.3">
      <c r="A18" s="26"/>
      <c r="B18" s="382" t="s">
        <v>53</v>
      </c>
      <c r="C18" s="38"/>
      <c r="D18" s="40"/>
      <c r="E18" s="38"/>
      <c r="F18" s="40"/>
      <c r="G18" s="38"/>
      <c r="H18" s="40"/>
      <c r="I18" s="38"/>
      <c r="J18" s="40"/>
      <c r="K18" s="38"/>
      <c r="L18" s="40"/>
      <c r="M18" s="38"/>
      <c r="N18" s="40"/>
      <c r="O18" s="38"/>
      <c r="P18" s="369"/>
      <c r="Q18" s="38"/>
    </row>
    <row r="19" spans="1:17" s="63" customFormat="1" x14ac:dyDescent="0.3">
      <c r="A19" s="369"/>
      <c r="B19" s="84" t="s">
        <v>17</v>
      </c>
      <c r="C19" s="85"/>
      <c r="D19" s="76"/>
      <c r="E19" s="371"/>
      <c r="F19" s="76"/>
      <c r="G19" s="29"/>
      <c r="H19" s="369"/>
      <c r="I19" s="85"/>
      <c r="J19" s="369"/>
      <c r="K19" s="85"/>
      <c r="L19" s="369"/>
      <c r="M19" s="85"/>
      <c r="N19" s="369"/>
      <c r="O19" s="85"/>
      <c r="P19" s="369"/>
      <c r="Q19" s="85"/>
    </row>
    <row r="20" spans="1:17" s="40" customFormat="1" ht="27.6" x14ac:dyDescent="0.3">
      <c r="A20" s="84"/>
      <c r="B20" s="132" t="s">
        <v>137</v>
      </c>
      <c r="C20" s="113" t="s">
        <v>31</v>
      </c>
      <c r="D20" s="132"/>
      <c r="E20" s="110" t="s">
        <v>32</v>
      </c>
      <c r="F20" s="112"/>
      <c r="G20" s="168" t="s">
        <v>33</v>
      </c>
      <c r="H20" s="132"/>
      <c r="I20" s="110" t="s">
        <v>34</v>
      </c>
      <c r="J20" s="112"/>
      <c r="K20" s="168" t="s">
        <v>35</v>
      </c>
      <c r="L20" s="132"/>
      <c r="M20" s="110" t="s">
        <v>36</v>
      </c>
      <c r="N20" s="112"/>
      <c r="O20" s="110" t="s">
        <v>144</v>
      </c>
      <c r="P20" s="84"/>
      <c r="Q20" s="78"/>
    </row>
    <row r="21" spans="1:17" s="75" customFormat="1" ht="14.4" thickBot="1" x14ac:dyDescent="0.35">
      <c r="A21" s="76"/>
      <c r="B21" s="126"/>
      <c r="C21" s="117" t="s">
        <v>23</v>
      </c>
      <c r="D21" s="133"/>
      <c r="E21" s="519" t="s">
        <v>968</v>
      </c>
      <c r="F21" s="119"/>
      <c r="G21" s="519" t="s">
        <v>968</v>
      </c>
      <c r="H21" s="139"/>
      <c r="I21" s="519" t="s">
        <v>968</v>
      </c>
      <c r="J21" s="118"/>
      <c r="K21" s="519" t="s">
        <v>968</v>
      </c>
      <c r="L21" s="139"/>
      <c r="M21" s="519" t="s">
        <v>968</v>
      </c>
      <c r="N21" s="118"/>
      <c r="O21" s="519" t="s">
        <v>968</v>
      </c>
      <c r="P21" s="29"/>
      <c r="Q21" s="29"/>
    </row>
    <row r="22" spans="1:17" s="63" customFormat="1" ht="28.2" thickTop="1" x14ac:dyDescent="0.3">
      <c r="A22" s="60"/>
      <c r="B22" s="615" t="s">
        <v>15</v>
      </c>
      <c r="C22" s="261" t="s">
        <v>58</v>
      </c>
      <c r="D22" s="359"/>
      <c r="E22" s="509" t="s">
        <v>1133</v>
      </c>
      <c r="F22" s="499"/>
      <c r="G22" s="493" t="s">
        <v>1146</v>
      </c>
      <c r="H22" s="359"/>
      <c r="I22" s="509" t="s">
        <v>1176</v>
      </c>
      <c r="J22" s="359"/>
      <c r="K22" s="944" t="s">
        <v>1173</v>
      </c>
      <c r="L22" s="499"/>
      <c r="M22" s="493" t="s">
        <v>1174</v>
      </c>
      <c r="N22" s="614" t="s">
        <v>14</v>
      </c>
      <c r="O22" s="613" t="s">
        <v>14</v>
      </c>
      <c r="P22" s="369"/>
      <c r="Q22" s="66"/>
    </row>
    <row r="23" spans="1:17" x14ac:dyDescent="0.3">
      <c r="E23" s="83"/>
    </row>
    <row r="24" spans="1:17" x14ac:dyDescent="0.3">
      <c r="E24" s="83"/>
    </row>
    <row r="26" spans="1:17" x14ac:dyDescent="0.3">
      <c r="A26" s="26"/>
      <c r="B26" s="44" t="s">
        <v>1131</v>
      </c>
      <c r="C26" s="44"/>
      <c r="E26" s="83"/>
    </row>
    <row r="27" spans="1:17" ht="76.5" customHeight="1" x14ac:dyDescent="0.3">
      <c r="B27" s="1028" t="s">
        <v>1130</v>
      </c>
      <c r="C27" s="1029"/>
      <c r="D27" s="612"/>
      <c r="E27" s="611" t="s">
        <v>1129</v>
      </c>
    </row>
  </sheetData>
  <mergeCells count="1">
    <mergeCell ref="B27:C2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N27"/>
  <sheetViews>
    <sheetView zoomScale="85" zoomScaleNormal="85" workbookViewId="0"/>
  </sheetViews>
  <sheetFormatPr defaultColWidth="9.109375" defaultRowHeight="13.8" x14ac:dyDescent="0.3"/>
  <cols>
    <col min="1" max="1" width="3.6640625" style="19" customWidth="1"/>
    <col min="2" max="2" width="20.6640625" style="19" customWidth="1"/>
    <col min="3" max="3" width="2.6640625" style="106" customWidth="1"/>
    <col min="4" max="4" width="22.109375" style="21" bestFit="1" customWidth="1"/>
    <col min="5" max="5" width="2.6640625" style="106" customWidth="1"/>
    <col min="6" max="6" width="28.109375" style="21" bestFit="1" customWidth="1"/>
    <col min="7" max="7" width="2.6640625" style="106" customWidth="1"/>
    <col min="8" max="8" width="22.33203125" style="21" bestFit="1" customWidth="1"/>
    <col min="9" max="9" width="2.6640625" style="106" customWidth="1"/>
    <col min="10" max="10" width="20.6640625" style="21" customWidth="1"/>
    <col min="11" max="11" width="2.6640625" style="106" customWidth="1"/>
    <col min="12" max="12" width="13.5546875" style="21" bestFit="1" customWidth="1"/>
    <col min="13" max="13" width="5.6640625" style="21" customWidth="1"/>
    <col min="14" max="16384" width="9.109375" style="21"/>
  </cols>
  <sheetData>
    <row r="1" spans="1:13" s="378" customFormat="1" x14ac:dyDescent="0.3">
      <c r="A1" s="369"/>
      <c r="B1" s="369"/>
    </row>
    <row r="2" spans="1:13" s="19" customFormat="1" x14ac:dyDescent="0.3">
      <c r="B2" s="567" t="s">
        <v>5</v>
      </c>
      <c r="C2" s="567"/>
      <c r="D2" s="567"/>
      <c r="E2" s="567"/>
      <c r="F2" s="567" t="s">
        <v>6</v>
      </c>
      <c r="G2" s="103"/>
      <c r="I2" s="103"/>
      <c r="K2" s="567"/>
      <c r="L2" s="568" t="s">
        <v>1101</v>
      </c>
    </row>
    <row r="3" spans="1:13" s="19" customFormat="1" x14ac:dyDescent="0.3">
      <c r="B3" s="19" t="s">
        <v>0</v>
      </c>
      <c r="C3" s="103"/>
      <c r="D3" s="89" t="s">
        <v>1085</v>
      </c>
      <c r="E3" s="103"/>
      <c r="F3" s="19" t="s">
        <v>8</v>
      </c>
      <c r="G3" s="103"/>
      <c r="H3" s="89"/>
      <c r="I3" s="103"/>
      <c r="K3" s="569"/>
      <c r="L3" s="369" t="s">
        <v>1102</v>
      </c>
    </row>
    <row r="4" spans="1:13" s="19" customFormat="1" x14ac:dyDescent="0.3">
      <c r="B4" s="19" t="s">
        <v>1</v>
      </c>
      <c r="C4" s="103"/>
      <c r="D4" s="19" t="str">
        <f>D3&amp;".cibd"</f>
        <v>040006S-OffLrg-Run05 .cibd</v>
      </c>
      <c r="E4" s="103"/>
      <c r="F4" s="19" t="s">
        <v>110</v>
      </c>
      <c r="G4" s="103"/>
      <c r="H4" s="93" t="str">
        <f>'Documentation Main Sheet'!I3</f>
        <v>Release package</v>
      </c>
      <c r="I4" s="103"/>
      <c r="J4" s="369"/>
      <c r="K4" s="570">
        <v>1</v>
      </c>
      <c r="L4" s="378" t="s">
        <v>1103</v>
      </c>
    </row>
    <row r="5" spans="1:13" s="19" customFormat="1" x14ac:dyDescent="0.3">
      <c r="B5" s="19" t="s">
        <v>54</v>
      </c>
      <c r="C5" s="103"/>
      <c r="D5" s="19" t="s">
        <v>56</v>
      </c>
      <c r="E5" s="103"/>
      <c r="F5" s="19" t="s">
        <v>7</v>
      </c>
      <c r="G5" s="103"/>
      <c r="H5" s="93" t="str">
        <f>'Documentation Main Sheet'!I4</f>
        <v>CBECC-Com 209.1.0 release</v>
      </c>
      <c r="I5" s="103"/>
      <c r="J5" s="369"/>
      <c r="K5" s="571">
        <v>1</v>
      </c>
      <c r="L5" s="378" t="s">
        <v>1103</v>
      </c>
      <c r="M5" s="5"/>
    </row>
    <row r="6" spans="1:13" s="19" customFormat="1" x14ac:dyDescent="0.3">
      <c r="B6" s="103" t="s">
        <v>390</v>
      </c>
      <c r="C6" s="103"/>
      <c r="D6" s="85" t="s">
        <v>396</v>
      </c>
      <c r="E6" s="103"/>
      <c r="F6" s="19" t="s">
        <v>2</v>
      </c>
      <c r="G6" s="103"/>
      <c r="H6" s="394"/>
      <c r="I6" s="103"/>
      <c r="K6" s="572">
        <v>1</v>
      </c>
      <c r="L6" s="381" t="s">
        <v>1104</v>
      </c>
    </row>
    <row r="7" spans="1:13" s="19" customFormat="1" x14ac:dyDescent="0.3">
      <c r="B7" s="103" t="s">
        <v>432</v>
      </c>
      <c r="C7" s="103"/>
      <c r="D7" s="85" t="s">
        <v>397</v>
      </c>
      <c r="E7" s="103"/>
      <c r="F7" s="19" t="s">
        <v>3</v>
      </c>
      <c r="G7" s="103"/>
      <c r="H7" s="54" t="str">
        <f>'Documentation Main Sheet'!I6</f>
        <v>Jireh Peng</v>
      </c>
      <c r="I7" s="76"/>
      <c r="K7" s="573">
        <v>1</v>
      </c>
      <c r="L7" s="378" t="s">
        <v>1105</v>
      </c>
    </row>
    <row r="8" spans="1:13" s="19" customFormat="1" x14ac:dyDescent="0.3">
      <c r="B8" s="369" t="s">
        <v>952</v>
      </c>
      <c r="C8" s="369"/>
      <c r="D8" s="85" t="s">
        <v>953</v>
      </c>
      <c r="E8" s="103"/>
      <c r="G8" s="103"/>
      <c r="I8" s="76"/>
      <c r="K8" s="796">
        <v>1</v>
      </c>
      <c r="L8" s="369" t="s">
        <v>1396</v>
      </c>
    </row>
    <row r="9" spans="1:13" s="19" customFormat="1" x14ac:dyDescent="0.3">
      <c r="B9" s="51"/>
      <c r="C9" s="103"/>
      <c r="D9" s="83"/>
      <c r="E9" s="103"/>
      <c r="G9" s="103"/>
      <c r="H9" s="10"/>
      <c r="I9" s="103"/>
      <c r="K9" s="103"/>
    </row>
    <row r="10" spans="1:13" s="14" customFormat="1" x14ac:dyDescent="0.3">
      <c r="A10" s="286"/>
      <c r="B10" s="287" t="s">
        <v>37</v>
      </c>
      <c r="C10" s="286"/>
      <c r="D10" s="288"/>
      <c r="E10" s="286"/>
      <c r="F10" s="286"/>
      <c r="G10" s="289"/>
      <c r="H10" s="286"/>
      <c r="I10" s="286"/>
      <c r="J10" s="288"/>
      <c r="K10" s="286"/>
      <c r="L10" s="286"/>
    </row>
    <row r="11" spans="1:13" s="2" customFormat="1" x14ac:dyDescent="0.3">
      <c r="A11" s="26"/>
      <c r="B11" s="44" t="s">
        <v>64</v>
      </c>
      <c r="C11" s="84"/>
      <c r="E11" s="84"/>
      <c r="F11" s="37"/>
      <c r="G11" s="84"/>
      <c r="H11" s="8"/>
      <c r="I11" s="84"/>
      <c r="J11" s="19"/>
      <c r="K11" s="84"/>
      <c r="L11" s="8"/>
      <c r="M11" s="17"/>
    </row>
    <row r="12" spans="1:13" s="2" customFormat="1" x14ac:dyDescent="0.3">
      <c r="B12" s="3" t="s">
        <v>18</v>
      </c>
      <c r="C12" s="76"/>
      <c r="E12" s="76"/>
      <c r="G12" s="82"/>
      <c r="I12" s="82"/>
      <c r="K12" s="76"/>
      <c r="M12" s="14"/>
    </row>
    <row r="13" spans="1:13" s="3" customFormat="1" ht="27.6" x14ac:dyDescent="0.3">
      <c r="B13" s="216" t="s">
        <v>137</v>
      </c>
      <c r="C13" s="183"/>
      <c r="D13" s="116" t="s">
        <v>512</v>
      </c>
      <c r="E13" s="183"/>
      <c r="F13" s="116" t="s">
        <v>513</v>
      </c>
      <c r="G13" s="183"/>
      <c r="H13" s="116" t="s">
        <v>514</v>
      </c>
      <c r="I13" s="183"/>
      <c r="J13" s="116" t="s">
        <v>515</v>
      </c>
      <c r="K13" s="183"/>
      <c r="L13" s="109" t="s">
        <v>516</v>
      </c>
      <c r="M13" s="39"/>
    </row>
    <row r="14" spans="1:13" s="19" customFormat="1" ht="14.4" thickBot="1" x14ac:dyDescent="0.35">
      <c r="B14" s="236"/>
      <c r="C14" s="224"/>
      <c r="D14" s="118" t="s">
        <v>65</v>
      </c>
      <c r="E14" s="224"/>
      <c r="F14" s="118" t="s">
        <v>66</v>
      </c>
      <c r="G14" s="171"/>
      <c r="H14" s="215" t="s">
        <v>67</v>
      </c>
      <c r="I14" s="171"/>
      <c r="J14" s="215" t="s">
        <v>68</v>
      </c>
      <c r="K14" s="224"/>
      <c r="L14" s="101" t="s">
        <v>69</v>
      </c>
      <c r="M14" s="17"/>
    </row>
    <row r="15" spans="1:13" ht="14.4" thickTop="1" x14ac:dyDescent="0.3">
      <c r="A15" s="21"/>
      <c r="B15" s="233" t="s">
        <v>20</v>
      </c>
      <c r="C15" s="161"/>
      <c r="D15" s="234">
        <v>0.52</v>
      </c>
      <c r="E15" s="161"/>
      <c r="F15" s="234">
        <v>0.52</v>
      </c>
      <c r="G15" s="161"/>
      <c r="H15" s="234">
        <v>0.52</v>
      </c>
      <c r="I15" s="161"/>
      <c r="J15" s="234">
        <v>0.52</v>
      </c>
      <c r="K15" s="161"/>
      <c r="L15" s="235">
        <v>0.52</v>
      </c>
      <c r="M15" s="20"/>
    </row>
    <row r="16" spans="1:13" s="369" customFormat="1" x14ac:dyDescent="0.3">
      <c r="B16" s="83"/>
      <c r="D16" s="76"/>
      <c r="F16" s="76"/>
      <c r="G16" s="82"/>
      <c r="H16" s="75"/>
      <c r="I16" s="82"/>
      <c r="J16" s="75"/>
      <c r="L16" s="75"/>
      <c r="M16" s="63"/>
    </row>
    <row r="17" spans="1:14" s="378" customFormat="1" x14ac:dyDescent="0.3">
      <c r="A17" s="369"/>
      <c r="B17" s="401"/>
      <c r="C17" s="370"/>
      <c r="D17" s="370"/>
      <c r="E17" s="370"/>
      <c r="F17" s="370"/>
      <c r="G17" s="370"/>
      <c r="H17" s="370"/>
      <c r="I17" s="370"/>
      <c r="J17" s="370"/>
      <c r="K17" s="370"/>
      <c r="L17" s="12"/>
      <c r="M17" s="370"/>
    </row>
    <row r="18" spans="1:14" s="19" customFormat="1" x14ac:dyDescent="0.3">
      <c r="B18" s="51"/>
      <c r="C18" s="103"/>
      <c r="D18" s="83"/>
      <c r="E18" s="103"/>
      <c r="F18" s="10"/>
      <c r="G18" s="82"/>
      <c r="H18" s="4"/>
      <c r="I18" s="82"/>
      <c r="J18" s="4"/>
      <c r="K18" s="103"/>
      <c r="L18" s="4"/>
      <c r="M18" s="17"/>
    </row>
    <row r="19" spans="1:14" s="14" customFormat="1" x14ac:dyDescent="0.3">
      <c r="A19" s="290"/>
      <c r="B19" s="291" t="s">
        <v>48</v>
      </c>
      <c r="C19" s="290"/>
      <c r="D19" s="292"/>
      <c r="E19" s="290"/>
      <c r="F19" s="290"/>
      <c r="G19" s="292"/>
      <c r="H19" s="290"/>
      <c r="I19" s="290"/>
      <c r="J19" s="293"/>
      <c r="K19" s="290"/>
      <c r="L19" s="290"/>
    </row>
    <row r="20" spans="1:14" s="19" customFormat="1" x14ac:dyDescent="0.3">
      <c r="A20" s="71"/>
      <c r="B20" s="24" t="s">
        <v>64</v>
      </c>
      <c r="C20" s="84"/>
      <c r="D20" s="2"/>
      <c r="E20" s="84"/>
      <c r="F20" s="37"/>
      <c r="G20" s="84"/>
      <c r="H20" s="8"/>
      <c r="I20" s="84"/>
      <c r="J20" s="23"/>
      <c r="K20" s="84"/>
      <c r="L20" s="7"/>
      <c r="M20" s="35"/>
    </row>
    <row r="21" spans="1:14" s="19" customFormat="1" x14ac:dyDescent="0.3">
      <c r="B21" s="3" t="s">
        <v>18</v>
      </c>
      <c r="C21" s="103"/>
      <c r="E21" s="103"/>
      <c r="G21" s="103"/>
      <c r="H21" s="6"/>
      <c r="I21" s="103"/>
      <c r="J21" s="7"/>
      <c r="K21" s="103"/>
      <c r="L21" s="7"/>
      <c r="M21" s="7"/>
    </row>
    <row r="22" spans="1:14" s="83" customFormat="1" ht="27.6" x14ac:dyDescent="0.3">
      <c r="B22" s="216" t="s">
        <v>137</v>
      </c>
      <c r="C22" s="183"/>
      <c r="D22" s="116" t="s">
        <v>512</v>
      </c>
      <c r="E22" s="183"/>
      <c r="F22" s="116" t="s">
        <v>513</v>
      </c>
      <c r="G22" s="183"/>
      <c r="H22" s="116" t="s">
        <v>514</v>
      </c>
      <c r="I22" s="183"/>
      <c r="J22" s="116" t="s">
        <v>515</v>
      </c>
      <c r="K22" s="183"/>
      <c r="L22" s="109" t="s">
        <v>516</v>
      </c>
      <c r="M22" s="39"/>
    </row>
    <row r="23" spans="1:14" s="103" customFormat="1" ht="14.4" thickBot="1" x14ac:dyDescent="0.35">
      <c r="B23" s="236"/>
      <c r="C23" s="224"/>
      <c r="D23" s="118" t="s">
        <v>65</v>
      </c>
      <c r="E23" s="224"/>
      <c r="F23" s="118" t="s">
        <v>66</v>
      </c>
      <c r="G23" s="171"/>
      <c r="H23" s="215" t="s">
        <v>67</v>
      </c>
      <c r="I23" s="171"/>
      <c r="J23" s="215" t="s">
        <v>68</v>
      </c>
      <c r="K23" s="224"/>
      <c r="L23" s="101" t="s">
        <v>69</v>
      </c>
      <c r="M23" s="63"/>
    </row>
    <row r="24" spans="1:14" s="106" customFormat="1" ht="14.4" thickTop="1" x14ac:dyDescent="0.3">
      <c r="B24" s="233" t="s">
        <v>20</v>
      </c>
      <c r="C24" s="161"/>
      <c r="D24" s="234">
        <v>0.4</v>
      </c>
      <c r="E24" s="161"/>
      <c r="F24" s="234">
        <v>0.4</v>
      </c>
      <c r="G24" s="161"/>
      <c r="H24" s="234">
        <v>0.4</v>
      </c>
      <c r="I24" s="161"/>
      <c r="J24" s="234">
        <v>0.4</v>
      </c>
      <c r="K24" s="161"/>
      <c r="L24" s="235">
        <v>0.4</v>
      </c>
      <c r="M24" s="104"/>
      <c r="N24" s="67"/>
    </row>
    <row r="26" spans="1:14" x14ac:dyDescent="0.3">
      <c r="D26" s="83"/>
    </row>
    <row r="27" spans="1:14" x14ac:dyDescent="0.3">
      <c r="D27" s="8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N24"/>
  <sheetViews>
    <sheetView zoomScale="85" zoomScaleNormal="85" workbookViewId="0"/>
  </sheetViews>
  <sheetFormatPr defaultColWidth="9.109375" defaultRowHeight="13.8" x14ac:dyDescent="0.3"/>
  <cols>
    <col min="1" max="1" width="3.6640625" style="19" customWidth="1"/>
    <col min="2" max="2" width="24.6640625" style="19" bestFit="1" customWidth="1"/>
    <col min="3" max="3" width="2.6640625" style="103" customWidth="1"/>
    <col min="4" max="4" width="22.6640625" style="21" bestFit="1" customWidth="1"/>
    <col min="5" max="5" width="2.6640625" style="106" customWidth="1"/>
    <col min="6" max="6" width="28.109375" style="21" bestFit="1" customWidth="1"/>
    <col min="7" max="7" width="2.6640625" style="106" customWidth="1"/>
    <col min="8" max="8" width="25" style="21" bestFit="1" customWidth="1"/>
    <col min="9" max="9" width="2.6640625" style="106" customWidth="1"/>
    <col min="10" max="10" width="21.88671875" style="21" bestFit="1" customWidth="1"/>
    <col min="11" max="11" width="2.6640625" style="106" customWidth="1"/>
    <col min="12" max="12" width="13.5546875" style="21" bestFit="1" customWidth="1"/>
    <col min="13" max="13" width="5.5546875" style="21" bestFit="1" customWidth="1"/>
    <col min="14" max="16384" width="9.109375" style="21"/>
  </cols>
  <sheetData>
    <row r="1" spans="1:14" x14ac:dyDescent="0.3">
      <c r="A1" s="11"/>
      <c r="B1" s="11"/>
      <c r="C1" s="67"/>
      <c r="D1" s="11"/>
      <c r="E1" s="67"/>
      <c r="F1" s="11"/>
      <c r="G1" s="67"/>
      <c r="H1" s="11"/>
      <c r="I1" s="67"/>
      <c r="J1" s="11"/>
      <c r="K1" s="67"/>
      <c r="L1" s="11"/>
      <c r="M1" s="11"/>
      <c r="N1" s="11"/>
    </row>
    <row r="2" spans="1:14" s="19" customFormat="1" x14ac:dyDescent="0.3">
      <c r="B2" s="567" t="s">
        <v>5</v>
      </c>
      <c r="C2" s="567"/>
      <c r="D2" s="567"/>
      <c r="E2" s="567"/>
      <c r="F2" s="567" t="s">
        <v>6</v>
      </c>
      <c r="G2" s="103"/>
      <c r="I2" s="103"/>
      <c r="K2" s="567"/>
      <c r="L2" s="568" t="s">
        <v>1101</v>
      </c>
    </row>
    <row r="3" spans="1:14" s="19" customFormat="1" x14ac:dyDescent="0.3">
      <c r="B3" s="19" t="s">
        <v>0</v>
      </c>
      <c r="C3" s="103"/>
      <c r="D3" s="89" t="s">
        <v>1086</v>
      </c>
      <c r="E3" s="103"/>
      <c r="F3" s="19" t="s">
        <v>8</v>
      </c>
      <c r="G3" s="103"/>
      <c r="H3" s="89"/>
      <c r="I3" s="103"/>
      <c r="K3" s="569"/>
      <c r="L3" s="369" t="s">
        <v>1102</v>
      </c>
    </row>
    <row r="4" spans="1:14" s="19" customFormat="1" x14ac:dyDescent="0.3">
      <c r="B4" s="19" t="s">
        <v>1</v>
      </c>
      <c r="C4" s="103"/>
      <c r="D4" s="19" t="str">
        <f>D3&amp;".cibd"</f>
        <v>040006S-OffLrg-Run06 .cibd</v>
      </c>
      <c r="E4" s="103"/>
      <c r="F4" s="19" t="s">
        <v>110</v>
      </c>
      <c r="G4" s="103"/>
      <c r="H4" s="19" t="str">
        <f>'Documentation Main Sheet'!I3</f>
        <v>Release package</v>
      </c>
      <c r="I4" s="103"/>
      <c r="J4" s="369"/>
      <c r="K4" s="570">
        <v>1</v>
      </c>
      <c r="L4" s="378" t="s">
        <v>1103</v>
      </c>
    </row>
    <row r="5" spans="1:14" s="19" customFormat="1" x14ac:dyDescent="0.3">
      <c r="B5" s="19" t="s">
        <v>54</v>
      </c>
      <c r="C5" s="103"/>
      <c r="D5" s="19" t="s">
        <v>56</v>
      </c>
      <c r="E5" s="103"/>
      <c r="F5" s="19" t="s">
        <v>7</v>
      </c>
      <c r="G5" s="103"/>
      <c r="H5" s="54" t="str">
        <f>'Documentation Main Sheet'!I4</f>
        <v>CBECC-Com 209.1.0 release</v>
      </c>
      <c r="I5" s="103"/>
      <c r="J5" s="369"/>
      <c r="K5" s="571">
        <v>1</v>
      </c>
      <c r="L5" s="378" t="s">
        <v>1103</v>
      </c>
      <c r="M5" s="5"/>
    </row>
    <row r="6" spans="1:14" s="19" customFormat="1" x14ac:dyDescent="0.3">
      <c r="B6" s="103" t="s">
        <v>390</v>
      </c>
      <c r="C6" s="103"/>
      <c r="D6" s="85" t="s">
        <v>396</v>
      </c>
      <c r="E6" s="103"/>
      <c r="F6" s="19" t="s">
        <v>2</v>
      </c>
      <c r="G6" s="103"/>
      <c r="H6" s="394"/>
      <c r="I6" s="103"/>
      <c r="K6" s="572">
        <v>1</v>
      </c>
      <c r="L6" s="381" t="s">
        <v>1104</v>
      </c>
    </row>
    <row r="7" spans="1:14" s="19" customFormat="1" x14ac:dyDescent="0.3">
      <c r="B7" s="103" t="s">
        <v>432</v>
      </c>
      <c r="C7" s="103"/>
      <c r="D7" s="85" t="s">
        <v>397</v>
      </c>
      <c r="E7" s="103"/>
      <c r="F7" s="19" t="s">
        <v>3</v>
      </c>
      <c r="G7" s="103"/>
      <c r="H7" s="54" t="str">
        <f>'Documentation Main Sheet'!I6</f>
        <v>Jireh Peng</v>
      </c>
      <c r="I7" s="76"/>
      <c r="K7" s="573">
        <v>1</v>
      </c>
      <c r="L7" s="378" t="s">
        <v>1105</v>
      </c>
    </row>
    <row r="8" spans="1:14" s="19" customFormat="1" x14ac:dyDescent="0.3">
      <c r="B8" s="369" t="s">
        <v>952</v>
      </c>
      <c r="C8" s="369"/>
      <c r="D8" s="85" t="s">
        <v>953</v>
      </c>
      <c r="E8" s="103"/>
      <c r="G8" s="103"/>
      <c r="I8" s="76"/>
      <c r="K8" s="796">
        <v>1</v>
      </c>
      <c r="L8" s="369" t="s">
        <v>1396</v>
      </c>
    </row>
    <row r="9" spans="1:14" s="19" customFormat="1" x14ac:dyDescent="0.3">
      <c r="A9" s="369"/>
      <c r="B9" s="85"/>
      <c r="C9" s="369"/>
      <c r="D9" s="83"/>
      <c r="E9" s="369"/>
      <c r="F9" s="369"/>
      <c r="G9" s="369"/>
      <c r="H9" s="76"/>
      <c r="I9" s="369"/>
      <c r="J9" s="369"/>
      <c r="K9" s="369"/>
      <c r="L9" s="369"/>
    </row>
    <row r="10" spans="1:14" s="14" customFormat="1" x14ac:dyDescent="0.3">
      <c r="A10" s="286"/>
      <c r="B10" s="287" t="s">
        <v>37</v>
      </c>
      <c r="C10" s="287"/>
      <c r="D10" s="286"/>
      <c r="E10" s="286"/>
      <c r="F10" s="288"/>
      <c r="G10" s="286"/>
      <c r="H10" s="286"/>
      <c r="I10" s="286"/>
      <c r="J10" s="286"/>
      <c r="K10" s="289"/>
      <c r="L10" s="286"/>
      <c r="M10" s="93"/>
    </row>
    <row r="11" spans="1:14" s="2" customFormat="1" x14ac:dyDescent="0.3">
      <c r="A11" s="26"/>
      <c r="B11" s="44" t="s">
        <v>64</v>
      </c>
      <c r="C11" s="84"/>
      <c r="E11" s="84"/>
      <c r="G11" s="82"/>
      <c r="H11" s="8"/>
      <c r="I11" s="84"/>
      <c r="J11" s="8"/>
      <c r="K11" s="84"/>
      <c r="L11" s="8"/>
      <c r="M11" s="8"/>
      <c r="N11" s="40"/>
    </row>
    <row r="12" spans="1:14" s="2" customFormat="1" x14ac:dyDescent="0.3">
      <c r="B12" s="3" t="s">
        <v>18</v>
      </c>
      <c r="C12" s="83"/>
      <c r="D12" s="10"/>
      <c r="E12" s="76"/>
      <c r="G12" s="76"/>
      <c r="H12" s="10"/>
      <c r="I12" s="82"/>
      <c r="J12" s="10"/>
      <c r="K12" s="82"/>
      <c r="M12" s="10"/>
    </row>
    <row r="13" spans="1:14" s="83" customFormat="1" ht="27.6" x14ac:dyDescent="0.3">
      <c r="B13" s="216" t="s">
        <v>137</v>
      </c>
      <c r="C13" s="183"/>
      <c r="D13" s="116" t="s">
        <v>512</v>
      </c>
      <c r="E13" s="183"/>
      <c r="F13" s="116" t="s">
        <v>513</v>
      </c>
      <c r="G13" s="183"/>
      <c r="H13" s="116" t="s">
        <v>514</v>
      </c>
      <c r="I13" s="183"/>
      <c r="J13" s="116" t="s">
        <v>515</v>
      </c>
      <c r="K13" s="183"/>
      <c r="L13" s="109" t="s">
        <v>516</v>
      </c>
      <c r="M13" s="39"/>
      <c r="N13" s="15"/>
    </row>
    <row r="14" spans="1:14" s="103" customFormat="1" ht="14.4" thickBot="1" x14ac:dyDescent="0.35">
      <c r="B14" s="236"/>
      <c r="C14" s="224"/>
      <c r="D14" s="118" t="s">
        <v>65</v>
      </c>
      <c r="E14" s="224"/>
      <c r="F14" s="118" t="s">
        <v>66</v>
      </c>
      <c r="G14" s="171"/>
      <c r="H14" s="215" t="s">
        <v>67</v>
      </c>
      <c r="I14" s="171"/>
      <c r="J14" s="215" t="s">
        <v>68</v>
      </c>
      <c r="K14" s="224"/>
      <c r="L14" s="101" t="s">
        <v>69</v>
      </c>
      <c r="M14" s="63"/>
      <c r="N14" s="63"/>
    </row>
    <row r="15" spans="1:14" s="106" customFormat="1" ht="14.4" thickTop="1" x14ac:dyDescent="0.3">
      <c r="B15" s="233" t="s">
        <v>20</v>
      </c>
      <c r="C15" s="161"/>
      <c r="D15" s="234">
        <v>0.46</v>
      </c>
      <c r="E15" s="161"/>
      <c r="F15" s="234">
        <v>0.5</v>
      </c>
      <c r="G15" s="161"/>
      <c r="H15" s="234">
        <v>0.45</v>
      </c>
      <c r="I15" s="161"/>
      <c r="J15" s="234">
        <v>0.39</v>
      </c>
      <c r="K15" s="161"/>
      <c r="L15" s="235">
        <v>0.5</v>
      </c>
      <c r="M15" s="104"/>
      <c r="N15" s="104"/>
    </row>
    <row r="16" spans="1:14" s="19" customFormat="1" x14ac:dyDescent="0.3">
      <c r="B16" s="3"/>
      <c r="C16" s="83"/>
      <c r="D16" s="10"/>
      <c r="E16" s="103"/>
      <c r="F16" s="10"/>
      <c r="G16" s="82"/>
      <c r="H16" s="4"/>
      <c r="I16" s="82"/>
      <c r="J16" s="4"/>
      <c r="K16" s="82"/>
      <c r="L16" s="4"/>
    </row>
    <row r="17" spans="1:14" s="19" customFormat="1" x14ac:dyDescent="0.3">
      <c r="B17" s="51"/>
      <c r="C17" s="83"/>
      <c r="D17" s="83"/>
      <c r="E17" s="103"/>
      <c r="F17" s="10"/>
      <c r="G17" s="82"/>
      <c r="H17" s="4"/>
      <c r="I17" s="82"/>
      <c r="J17" s="4"/>
      <c r="K17" s="82"/>
      <c r="L17" s="4"/>
    </row>
    <row r="18" spans="1:14" s="14" customFormat="1" x14ac:dyDescent="0.3">
      <c r="A18" s="290"/>
      <c r="B18" s="291" t="s">
        <v>48</v>
      </c>
      <c r="C18" s="290"/>
      <c r="D18" s="292"/>
      <c r="E18" s="290"/>
      <c r="F18" s="290"/>
      <c r="G18" s="292"/>
      <c r="H18" s="290"/>
      <c r="I18" s="290"/>
      <c r="J18" s="293"/>
      <c r="K18" s="290"/>
      <c r="L18" s="290"/>
    </row>
    <row r="19" spans="1:14" s="2" customFormat="1" x14ac:dyDescent="0.3">
      <c r="A19" s="71"/>
      <c r="B19" s="24" t="s">
        <v>64</v>
      </c>
      <c r="C19" s="84"/>
      <c r="E19" s="84"/>
      <c r="G19" s="82"/>
      <c r="H19" s="8"/>
      <c r="I19" s="84"/>
      <c r="J19" s="8"/>
      <c r="K19" s="84"/>
      <c r="L19" s="8"/>
      <c r="M19" s="8"/>
      <c r="N19" s="40"/>
    </row>
    <row r="20" spans="1:14" s="19" customFormat="1" x14ac:dyDescent="0.3">
      <c r="B20" s="3" t="s">
        <v>18</v>
      </c>
      <c r="C20" s="83"/>
      <c r="E20" s="103"/>
      <c r="G20" s="103"/>
      <c r="H20" s="6"/>
      <c r="I20" s="103"/>
      <c r="J20" s="7"/>
      <c r="K20" s="7"/>
      <c r="L20" s="7"/>
      <c r="M20" s="7"/>
    </row>
    <row r="21" spans="1:14" s="83" customFormat="1" ht="27.6" x14ac:dyDescent="0.3">
      <c r="B21" s="216" t="s">
        <v>137</v>
      </c>
      <c r="C21" s="183"/>
      <c r="D21" s="116" t="s">
        <v>512</v>
      </c>
      <c r="E21" s="183"/>
      <c r="F21" s="116" t="s">
        <v>513</v>
      </c>
      <c r="G21" s="183"/>
      <c r="H21" s="116" t="s">
        <v>514</v>
      </c>
      <c r="I21" s="183"/>
      <c r="J21" s="116" t="s">
        <v>515</v>
      </c>
      <c r="K21" s="183"/>
      <c r="L21" s="109" t="s">
        <v>516</v>
      </c>
      <c r="M21" s="39"/>
      <c r="N21" s="15"/>
    </row>
    <row r="22" spans="1:14" s="103" customFormat="1" ht="14.4" thickBot="1" x14ac:dyDescent="0.35">
      <c r="B22" s="236"/>
      <c r="C22" s="224"/>
      <c r="D22" s="118" t="s">
        <v>65</v>
      </c>
      <c r="E22" s="224"/>
      <c r="F22" s="118" t="s">
        <v>66</v>
      </c>
      <c r="G22" s="171"/>
      <c r="H22" s="215" t="s">
        <v>67</v>
      </c>
      <c r="I22" s="171"/>
      <c r="J22" s="215" t="s">
        <v>68</v>
      </c>
      <c r="K22" s="224"/>
      <c r="L22" s="101" t="s">
        <v>69</v>
      </c>
      <c r="M22" s="63"/>
      <c r="N22" s="63"/>
    </row>
    <row r="23" spans="1:14" s="106" customFormat="1" ht="14.4" thickTop="1" x14ac:dyDescent="0.3">
      <c r="B23" s="233" t="s">
        <v>20</v>
      </c>
      <c r="C23" s="161"/>
      <c r="D23" s="234">
        <v>0.4</v>
      </c>
      <c r="E23" s="161"/>
      <c r="F23" s="234">
        <v>0.45</v>
      </c>
      <c r="G23" s="161"/>
      <c r="H23" s="234">
        <v>0.4</v>
      </c>
      <c r="I23" s="161"/>
      <c r="J23" s="234">
        <v>0.35</v>
      </c>
      <c r="K23" s="161"/>
      <c r="L23" s="235">
        <v>0.4</v>
      </c>
      <c r="M23" s="104"/>
      <c r="N23" s="67"/>
    </row>
    <row r="24" spans="1:14" x14ac:dyDescent="0.3">
      <c r="D24" s="378"/>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P23"/>
  <sheetViews>
    <sheetView zoomScale="85" zoomScaleNormal="85" workbookViewId="0"/>
  </sheetViews>
  <sheetFormatPr defaultColWidth="9.109375" defaultRowHeight="13.8" x14ac:dyDescent="0.3"/>
  <cols>
    <col min="1" max="1" width="3.6640625" style="19" customWidth="1"/>
    <col min="2" max="2" width="24.6640625" style="19" bestFit="1" customWidth="1"/>
    <col min="3" max="3" width="2.6640625" style="103" customWidth="1"/>
    <col min="4" max="4" width="22.6640625" style="21" bestFit="1" customWidth="1"/>
    <col min="5" max="5" width="2.6640625" style="106" customWidth="1"/>
    <col min="6" max="6" width="28.109375" style="21" bestFit="1" customWidth="1"/>
    <col min="7" max="7" width="2.6640625" style="106" customWidth="1"/>
    <col min="8" max="8" width="25" style="21" bestFit="1" customWidth="1"/>
    <col min="9" max="9" width="2.6640625" style="106" customWidth="1"/>
    <col min="10" max="10" width="18" style="21" bestFit="1" customWidth="1"/>
    <col min="11" max="11" width="2.6640625" style="19" customWidth="1"/>
    <col min="12" max="12" width="18.6640625" style="21" customWidth="1"/>
    <col min="13" max="13" width="2.6640625" style="21" customWidth="1"/>
    <col min="14" max="14" width="18.6640625" style="21" customWidth="1"/>
    <col min="15" max="16384" width="9.109375" style="21"/>
  </cols>
  <sheetData>
    <row r="1" spans="1:15" s="95" customFormat="1" x14ac:dyDescent="0.3">
      <c r="A1" s="67"/>
      <c r="B1" s="67"/>
      <c r="C1" s="67"/>
      <c r="D1" s="67"/>
      <c r="E1" s="67"/>
      <c r="F1" s="67"/>
      <c r="G1" s="67"/>
      <c r="H1" s="67"/>
      <c r="I1" s="67"/>
      <c r="J1" s="67"/>
      <c r="K1" s="67"/>
    </row>
    <row r="2" spans="1:15" s="19" customFormat="1" x14ac:dyDescent="0.3">
      <c r="B2" s="567" t="s">
        <v>5</v>
      </c>
      <c r="C2" s="567"/>
      <c r="D2" s="567"/>
      <c r="E2" s="567"/>
      <c r="F2" s="567" t="s">
        <v>6</v>
      </c>
      <c r="G2" s="103"/>
      <c r="I2" s="103"/>
      <c r="K2" s="567"/>
      <c r="L2" s="568" t="s">
        <v>1101</v>
      </c>
    </row>
    <row r="3" spans="1:15" s="19" customFormat="1" x14ac:dyDescent="0.3">
      <c r="B3" s="19" t="s">
        <v>0</v>
      </c>
      <c r="C3" s="103"/>
      <c r="D3" s="89" t="s">
        <v>1087</v>
      </c>
      <c r="E3" s="103"/>
      <c r="F3" s="19" t="s">
        <v>8</v>
      </c>
      <c r="G3" s="103"/>
      <c r="H3" s="89"/>
      <c r="I3" s="103"/>
      <c r="K3" s="569"/>
      <c r="L3" s="369" t="s">
        <v>1102</v>
      </c>
    </row>
    <row r="4" spans="1:15" s="19" customFormat="1" x14ac:dyDescent="0.3">
      <c r="B4" s="19" t="s">
        <v>1</v>
      </c>
      <c r="C4" s="103"/>
      <c r="D4" s="19" t="str">
        <f>D3&amp;".cibd"</f>
        <v>080006S-Whse-Run07.cibd</v>
      </c>
      <c r="E4" s="103"/>
      <c r="F4" s="19" t="s">
        <v>110</v>
      </c>
      <c r="G4" s="103"/>
      <c r="H4" s="19" t="str">
        <f>'Documentation Main Sheet'!I3</f>
        <v>Release package</v>
      </c>
      <c r="I4" s="103"/>
      <c r="J4" s="369"/>
      <c r="K4" s="570">
        <v>1</v>
      </c>
      <c r="L4" s="378" t="s">
        <v>1103</v>
      </c>
    </row>
    <row r="5" spans="1:15" s="19" customFormat="1" x14ac:dyDescent="0.3">
      <c r="B5" s="19" t="s">
        <v>54</v>
      </c>
      <c r="C5" s="103"/>
      <c r="D5" s="19" t="s">
        <v>56</v>
      </c>
      <c r="E5" s="103"/>
      <c r="F5" s="19" t="s">
        <v>7</v>
      </c>
      <c r="G5" s="103"/>
      <c r="H5" s="93" t="str">
        <f>'Documentation Main Sheet'!I4</f>
        <v>CBECC-Com 209.1.0 release</v>
      </c>
      <c r="I5" s="103"/>
      <c r="J5" s="369"/>
      <c r="K5" s="571">
        <v>1</v>
      </c>
      <c r="L5" s="378" t="s">
        <v>1103</v>
      </c>
    </row>
    <row r="6" spans="1:15" s="19" customFormat="1" x14ac:dyDescent="0.3">
      <c r="B6" s="103" t="s">
        <v>390</v>
      </c>
      <c r="C6" s="103"/>
      <c r="D6" s="85" t="s">
        <v>398</v>
      </c>
      <c r="E6" s="103"/>
      <c r="F6" s="19" t="s">
        <v>2</v>
      </c>
      <c r="G6" s="103"/>
      <c r="H6" s="394"/>
      <c r="I6" s="103"/>
      <c r="K6" s="572">
        <v>1</v>
      </c>
      <c r="L6" s="381" t="s">
        <v>1104</v>
      </c>
    </row>
    <row r="7" spans="1:15" s="19" customFormat="1" x14ac:dyDescent="0.3">
      <c r="B7" s="103" t="s">
        <v>432</v>
      </c>
      <c r="C7" s="103"/>
      <c r="D7" s="85" t="s">
        <v>139</v>
      </c>
      <c r="E7" s="103"/>
      <c r="F7" s="19" t="s">
        <v>3</v>
      </c>
      <c r="G7" s="103"/>
      <c r="H7" s="54" t="str">
        <f>'Documentation Main Sheet'!I6</f>
        <v>Jireh Peng</v>
      </c>
      <c r="I7" s="76"/>
      <c r="K7" s="573">
        <v>1</v>
      </c>
      <c r="L7" s="378" t="s">
        <v>1105</v>
      </c>
    </row>
    <row r="8" spans="1:15" s="19" customFormat="1" x14ac:dyDescent="0.3">
      <c r="B8" s="369" t="s">
        <v>952</v>
      </c>
      <c r="C8" s="369"/>
      <c r="D8" s="85" t="s">
        <v>953</v>
      </c>
      <c r="E8" s="103"/>
      <c r="G8" s="103"/>
      <c r="I8" s="76"/>
      <c r="K8" s="796">
        <v>1</v>
      </c>
      <c r="L8" s="369" t="s">
        <v>1396</v>
      </c>
    </row>
    <row r="9" spans="1:15" s="19" customFormat="1" x14ac:dyDescent="0.3">
      <c r="C9" s="103"/>
      <c r="E9" s="103"/>
      <c r="G9" s="103"/>
      <c r="I9" s="103"/>
    </row>
    <row r="10" spans="1:15" s="14" customFormat="1" x14ac:dyDescent="0.3">
      <c r="A10" s="286"/>
      <c r="B10" s="287" t="s">
        <v>37</v>
      </c>
      <c r="C10" s="287"/>
      <c r="D10" s="286"/>
      <c r="E10" s="286"/>
      <c r="F10" s="288"/>
      <c r="G10" s="286"/>
      <c r="H10" s="286"/>
      <c r="I10" s="286"/>
      <c r="J10" s="286"/>
      <c r="K10" s="15"/>
    </row>
    <row r="11" spans="1:15" s="2" customFormat="1" x14ac:dyDescent="0.3">
      <c r="A11" s="26"/>
      <c r="B11" s="44" t="s">
        <v>64</v>
      </c>
      <c r="C11" s="84"/>
      <c r="E11" s="84"/>
      <c r="G11" s="84"/>
      <c r="I11" s="84"/>
      <c r="J11" s="8"/>
      <c r="K11" s="3"/>
    </row>
    <row r="12" spans="1:15" s="2" customFormat="1" ht="13.5" customHeight="1" x14ac:dyDescent="0.3">
      <c r="B12" s="3" t="s">
        <v>18</v>
      </c>
      <c r="C12" s="84"/>
      <c r="E12" s="84"/>
      <c r="G12" s="82"/>
      <c r="H12" s="8"/>
      <c r="I12" s="84"/>
      <c r="J12" s="8"/>
      <c r="K12" s="3"/>
    </row>
    <row r="13" spans="1:15" s="3" customFormat="1" ht="27.6" x14ac:dyDescent="0.3">
      <c r="B13" s="216" t="s">
        <v>137</v>
      </c>
      <c r="C13" s="216"/>
      <c r="D13" s="109" t="s">
        <v>590</v>
      </c>
      <c r="E13" s="116"/>
      <c r="F13" s="116" t="s">
        <v>1118</v>
      </c>
      <c r="G13" s="108"/>
      <c r="H13" s="116" t="s">
        <v>1119</v>
      </c>
      <c r="I13" s="190"/>
      <c r="J13" s="116" t="s">
        <v>495</v>
      </c>
      <c r="K13" s="190"/>
      <c r="L13" s="315" t="s">
        <v>22</v>
      </c>
      <c r="M13" s="183"/>
      <c r="N13" s="315" t="s">
        <v>39</v>
      </c>
    </row>
    <row r="14" spans="1:15" s="19" customFormat="1" ht="14.4" thickBot="1" x14ac:dyDescent="0.35">
      <c r="B14" s="236"/>
      <c r="C14" s="236"/>
      <c r="D14" s="143" t="s">
        <v>156</v>
      </c>
      <c r="E14" s="117"/>
      <c r="F14" s="118" t="s">
        <v>1120</v>
      </c>
      <c r="G14" s="126"/>
      <c r="H14" s="118" t="s">
        <v>1121</v>
      </c>
      <c r="I14" s="237"/>
      <c r="J14" s="118" t="s">
        <v>27</v>
      </c>
      <c r="K14" s="173"/>
      <c r="L14" s="101" t="s">
        <v>28</v>
      </c>
      <c r="M14" s="171"/>
      <c r="N14" s="101" t="s">
        <v>29</v>
      </c>
      <c r="O14" s="3"/>
    </row>
    <row r="15" spans="1:15" ht="14.4" thickTop="1" x14ac:dyDescent="0.3">
      <c r="A15" s="21"/>
      <c r="B15" s="316" t="s">
        <v>139</v>
      </c>
      <c r="C15" s="165"/>
      <c r="D15" s="235">
        <v>7.0000000000000007E-2</v>
      </c>
      <c r="E15" s="598"/>
      <c r="F15" s="599" t="s">
        <v>1122</v>
      </c>
      <c r="G15" s="598"/>
      <c r="H15" s="599" t="s">
        <v>1123</v>
      </c>
      <c r="I15" s="165"/>
      <c r="J15" s="234">
        <v>0.55000000000000004</v>
      </c>
      <c r="K15" s="165"/>
      <c r="L15" s="235">
        <v>0.2</v>
      </c>
      <c r="M15" s="164"/>
      <c r="N15" s="235">
        <v>0.4</v>
      </c>
      <c r="O15" s="8"/>
    </row>
    <row r="16" spans="1:15" s="19" customFormat="1" x14ac:dyDescent="0.3">
      <c r="B16" s="3"/>
      <c r="C16" s="83"/>
      <c r="D16" s="10"/>
      <c r="E16" s="76"/>
      <c r="F16" s="76"/>
      <c r="G16" s="76"/>
      <c r="H16" s="76"/>
      <c r="I16" s="103"/>
      <c r="J16" s="10"/>
      <c r="K16" s="82"/>
      <c r="L16" s="4"/>
      <c r="M16" s="82"/>
      <c r="N16" s="4"/>
      <c r="O16" s="3"/>
    </row>
    <row r="17" spans="1:16" s="19" customFormat="1" x14ac:dyDescent="0.3">
      <c r="B17" s="51"/>
      <c r="C17" s="83"/>
      <c r="D17" s="83"/>
      <c r="E17" s="83"/>
      <c r="F17" s="83"/>
      <c r="G17" s="83"/>
      <c r="H17" s="83"/>
      <c r="I17" s="103"/>
      <c r="J17" s="10"/>
      <c r="K17" s="82"/>
      <c r="L17" s="4"/>
      <c r="M17" s="82"/>
      <c r="N17" s="4"/>
      <c r="O17" s="3"/>
    </row>
    <row r="18" spans="1:16" s="14" customFormat="1" x14ac:dyDescent="0.3">
      <c r="A18" s="290"/>
      <c r="B18" s="291" t="s">
        <v>48</v>
      </c>
      <c r="C18" s="290"/>
      <c r="D18" s="292"/>
      <c r="E18" s="292"/>
      <c r="F18" s="292"/>
      <c r="G18" s="292"/>
      <c r="H18" s="292"/>
      <c r="I18" s="290"/>
      <c r="J18" s="290"/>
      <c r="K18" s="292"/>
      <c r="L18" s="290"/>
      <c r="M18" s="290"/>
      <c r="N18" s="293"/>
    </row>
    <row r="19" spans="1:16" s="2" customFormat="1" x14ac:dyDescent="0.3">
      <c r="A19" s="71"/>
      <c r="B19" s="24" t="s">
        <v>64</v>
      </c>
      <c r="C19" s="84"/>
      <c r="E19" s="82"/>
      <c r="F19" s="82"/>
      <c r="G19" s="82"/>
      <c r="H19" s="82"/>
      <c r="I19" s="84"/>
      <c r="K19" s="84"/>
      <c r="M19" s="84"/>
      <c r="N19" s="8"/>
      <c r="O19" s="3"/>
    </row>
    <row r="20" spans="1:16" s="19" customFormat="1" x14ac:dyDescent="0.3">
      <c r="B20" s="3" t="s">
        <v>18</v>
      </c>
      <c r="C20" s="83"/>
      <c r="D20" s="10"/>
      <c r="E20" s="76"/>
      <c r="F20" s="76"/>
      <c r="G20" s="76"/>
      <c r="H20" s="76"/>
      <c r="I20" s="103"/>
      <c r="J20" s="10"/>
      <c r="K20" s="82"/>
      <c r="L20" s="4"/>
      <c r="M20" s="82"/>
      <c r="N20" s="4"/>
      <c r="O20" s="3"/>
    </row>
    <row r="21" spans="1:16" s="83" customFormat="1" ht="27.6" x14ac:dyDescent="0.3">
      <c r="B21" s="216" t="s">
        <v>137</v>
      </c>
      <c r="C21" s="216"/>
      <c r="D21" s="109" t="s">
        <v>590</v>
      </c>
      <c r="E21" s="116"/>
      <c r="F21" s="116" t="s">
        <v>1118</v>
      </c>
      <c r="G21" s="108"/>
      <c r="H21" s="116" t="s">
        <v>1119</v>
      </c>
      <c r="I21" s="190"/>
      <c r="J21" s="116" t="s">
        <v>495</v>
      </c>
      <c r="K21" s="190"/>
      <c r="L21" s="315" t="s">
        <v>22</v>
      </c>
      <c r="M21" s="183"/>
      <c r="N21" s="315" t="s">
        <v>39</v>
      </c>
    </row>
    <row r="22" spans="1:16" s="103" customFormat="1" ht="14.4" thickBot="1" x14ac:dyDescent="0.35">
      <c r="B22" s="236"/>
      <c r="C22" s="236"/>
      <c r="D22" s="143" t="s">
        <v>156</v>
      </c>
      <c r="E22" s="117"/>
      <c r="F22" s="117" t="s">
        <v>1120</v>
      </c>
      <c r="G22" s="126"/>
      <c r="H22" s="117" t="s">
        <v>1121</v>
      </c>
      <c r="I22" s="237"/>
      <c r="J22" s="118" t="s">
        <v>27</v>
      </c>
      <c r="K22" s="173"/>
      <c r="L22" s="101" t="s">
        <v>28</v>
      </c>
      <c r="M22" s="171"/>
      <c r="N22" s="101" t="s">
        <v>29</v>
      </c>
      <c r="O22" s="83"/>
    </row>
    <row r="23" spans="1:16" s="106" customFormat="1" ht="14.4" thickTop="1" x14ac:dyDescent="0.3">
      <c r="B23" s="316" t="s">
        <v>21</v>
      </c>
      <c r="C23" s="165"/>
      <c r="D23" s="235">
        <v>0.05</v>
      </c>
      <c r="E23" s="598"/>
      <c r="F23" s="599" t="s">
        <v>1122</v>
      </c>
      <c r="G23" s="598"/>
      <c r="H23" s="599" t="s">
        <v>1123</v>
      </c>
      <c r="I23" s="165"/>
      <c r="J23" s="234">
        <v>0.57999999999999996</v>
      </c>
      <c r="K23" s="165"/>
      <c r="L23" s="235">
        <v>0.25</v>
      </c>
      <c r="M23" s="164"/>
      <c r="N23" s="235">
        <v>0.49</v>
      </c>
      <c r="O23" s="84"/>
      <c r="P23" s="6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Documentation Main Sheet</vt:lpstr>
      <vt:lpstr>Test Status Summary</vt:lpstr>
      <vt:lpstr>020006S-OffSml-Run01</vt:lpstr>
      <vt:lpstr>020015S-OffSml-Run02</vt:lpstr>
      <vt:lpstr>070015S-HotSml-Run03</vt:lpstr>
      <vt:lpstr>030006S-OffMed-Run04</vt:lpstr>
      <vt:lpstr>040006S-OffLrg-Run05</vt:lpstr>
      <vt:lpstr>040006S-OffLrg-Run06</vt:lpstr>
      <vt:lpstr>080006S-Whse-Run07</vt:lpstr>
      <vt:lpstr>080006S-Whse-Run08</vt:lpstr>
      <vt:lpstr>040006S-OffLrg-Run11</vt:lpstr>
      <vt:lpstr>030006S-OffMed-Run12</vt:lpstr>
      <vt:lpstr>030006S-OffMed-Run13</vt:lpstr>
      <vt:lpstr>020006S-OffSml-Run14</vt:lpstr>
      <vt:lpstr>020006S-OffSml-Run18</vt:lpstr>
      <vt:lpstr>080006S-Whse-Run15</vt:lpstr>
      <vt:lpstr>050006S-RetlMed-Run16</vt:lpstr>
      <vt:lpstr>030006S-OffMed-Run19</vt:lpstr>
      <vt:lpstr>040006S-OffLrg-Run20</vt:lpstr>
      <vt:lpstr>080006S-Whse-Run21</vt:lpstr>
      <vt:lpstr>070015S-HotSml-Run22</vt:lpstr>
      <vt:lpstr>030006S-OffMed-Run23</vt:lpstr>
      <vt:lpstr>020006S-OffSml-Run24</vt:lpstr>
      <vt:lpstr>020006S-OffSml-Run25</vt:lpstr>
      <vt:lpstr>020006S-OffSml-Run26</vt:lpstr>
      <vt:lpstr>050006S-RetlMed-Run27</vt:lpstr>
      <vt:lpstr>050006S-RetlMed-Run28</vt:lpstr>
      <vt:lpstr>030006S-OffMed-Run29</vt:lpstr>
      <vt:lpstr>030006S-OffMed-Run30</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Sandeep</dc:creator>
  <cp:lastModifiedBy>Wichert, RJ@Energy</cp:lastModifiedBy>
  <cp:lastPrinted>2015-02-14T21:01:11Z</cp:lastPrinted>
  <dcterms:created xsi:type="dcterms:W3CDTF">2014-02-11T02:00:10Z</dcterms:created>
  <dcterms:modified xsi:type="dcterms:W3CDTF">2019-11-27T22:38:02Z</dcterms:modified>
</cp:coreProperties>
</file>