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rates\model\InputDataProcessing\CarbonPrice\"/>
    </mc:Choice>
  </mc:AlternateContent>
  <bookViews>
    <workbookView xWindow="0" yWindow="0" windowWidth="19200" windowHeight="11175"/>
  </bookViews>
  <sheets>
    <sheet name="Cover" sheetId="1" r:id="rId1"/>
    <sheet name="GHG Price Calculations" sheetId="4" r:id="rId2"/>
    <sheet name="Auction Data" sheetId="9" r:id="rId3"/>
  </sheets>
  <definedNames>
    <definedName name="_xlnm.Print_Area" localSheetId="2">'Auction Data'!$A$1:$I$43</definedName>
    <definedName name="_xlnm.Print_Area" localSheetId="1">'GHG Price Calculations'!$A$3:$S$39</definedName>
    <definedName name="_xlnm.Print_Titles" localSheetId="1">'GHG Price Calculations'!$A:$A,'GHG Price Calculations'!$5:$5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4" l="1"/>
  <c r="D11" i="4"/>
  <c r="E11" i="4"/>
  <c r="F11" i="4"/>
  <c r="G11" i="4"/>
  <c r="B11" i="4"/>
  <c r="D18" i="4" l="1"/>
  <c r="E18" i="4"/>
  <c r="F18" i="4"/>
  <c r="G18" i="4"/>
  <c r="H18" i="4"/>
  <c r="I18" i="4"/>
  <c r="J18" i="4"/>
  <c r="K18" i="4"/>
  <c r="L18" i="4"/>
  <c r="M18" i="4"/>
  <c r="N18" i="4"/>
  <c r="O18" i="4"/>
  <c r="P18" i="4"/>
  <c r="Q18" i="4"/>
  <c r="R18" i="4"/>
  <c r="S18" i="4"/>
  <c r="E34" i="9"/>
  <c r="E35" i="9" s="1"/>
  <c r="F29" i="9"/>
  <c r="F28" i="9"/>
  <c r="F27" i="9"/>
  <c r="F26" i="9"/>
  <c r="F25" i="9"/>
  <c r="F24" i="9"/>
  <c r="F23" i="9"/>
  <c r="F22" i="9"/>
  <c r="F21" i="9"/>
  <c r="F20" i="9"/>
  <c r="F19" i="9"/>
  <c r="F18" i="9"/>
  <c r="F17" i="9"/>
  <c r="F16" i="9"/>
  <c r="F15" i="9"/>
  <c r="F14" i="9"/>
  <c r="F13" i="9"/>
  <c r="A13" i="9"/>
  <c r="A17" i="9" s="1"/>
  <c r="A21" i="9" s="1"/>
  <c r="A25" i="9" s="1"/>
  <c r="F12" i="9"/>
  <c r="F11" i="9"/>
  <c r="F10" i="9"/>
  <c r="A10" i="9"/>
  <c r="F9" i="9"/>
  <c r="F8" i="9"/>
  <c r="F7" i="9"/>
  <c r="F6" i="9"/>
  <c r="F5" i="9"/>
  <c r="A11" i="9" l="1"/>
  <c r="E36" i="9"/>
  <c r="A14" i="9"/>
  <c r="A18" i="9" s="1"/>
  <c r="A22" i="9" s="1"/>
  <c r="A26" i="9" s="1"/>
  <c r="A25" i="4"/>
  <c r="A26" i="4"/>
  <c r="E37" i="9" l="1"/>
  <c r="A12" i="9"/>
  <c r="A15" i="9"/>
  <c r="A19" i="9" s="1"/>
  <c r="A23" i="9" s="1"/>
  <c r="A27" i="9" s="1"/>
  <c r="C18" i="4"/>
  <c r="E38" i="9" l="1"/>
  <c r="A16" i="9"/>
  <c r="A20" i="9" l="1"/>
  <c r="A24" i="9" l="1"/>
  <c r="A28" i="9" l="1"/>
  <c r="F34" i="9"/>
  <c r="G38" i="9"/>
  <c r="F38" i="9"/>
  <c r="F33" i="9"/>
  <c r="G33" i="9"/>
  <c r="H33" i="9" s="1"/>
  <c r="G36" i="9"/>
  <c r="F35" i="9" l="1"/>
  <c r="F36" i="9"/>
  <c r="H36" i="9" s="1"/>
  <c r="G35" i="9"/>
  <c r="G37" i="9"/>
  <c r="F37" i="9"/>
  <c r="H38" i="9"/>
  <c r="G34" i="9"/>
  <c r="H34" i="9" s="1"/>
  <c r="H37" i="9" l="1"/>
  <c r="H35" i="9"/>
  <c r="D27" i="4" l="1"/>
  <c r="C27" i="4"/>
  <c r="B27" i="4"/>
  <c r="B30" i="4"/>
  <c r="J30" i="4"/>
  <c r="C30" i="4"/>
  <c r="F27" i="4"/>
  <c r="G27" i="4"/>
  <c r="H27" i="4"/>
  <c r="D52" i="4" l="1"/>
  <c r="C52" i="4"/>
  <c r="D46" i="4"/>
  <c r="C46" i="4"/>
  <c r="A24" i="4"/>
  <c r="A23" i="4"/>
  <c r="K16" i="4"/>
  <c r="L16" i="4" s="1"/>
  <c r="M16" i="4" s="1"/>
  <c r="N16" i="4" s="1"/>
  <c r="O16" i="4" s="1"/>
  <c r="P16" i="4" s="1"/>
  <c r="Q16" i="4" s="1"/>
  <c r="R16" i="4" s="1"/>
  <c r="S16" i="4" s="1"/>
  <c r="K15" i="4"/>
  <c r="L15" i="4" s="1"/>
  <c r="M15" i="4" s="1"/>
  <c r="N15" i="4" s="1"/>
  <c r="O15" i="4" s="1"/>
  <c r="P15" i="4" s="1"/>
  <c r="Q15" i="4" s="1"/>
  <c r="R15" i="4" s="1"/>
  <c r="S15" i="4" s="1"/>
  <c r="K14" i="4"/>
  <c r="L14" i="4" s="1"/>
  <c r="M14" i="4" s="1"/>
  <c r="N14" i="4" s="1"/>
  <c r="O14" i="4" s="1"/>
  <c r="P14" i="4" s="1"/>
  <c r="Q14" i="4" s="1"/>
  <c r="R14" i="4" s="1"/>
  <c r="S14" i="4" s="1"/>
  <c r="K13" i="4"/>
  <c r="D13" i="4"/>
  <c r="D30" i="4" s="1"/>
  <c r="I12" i="4"/>
  <c r="I27" i="4" s="1"/>
  <c r="E27" i="4"/>
  <c r="G23" i="4"/>
  <c r="G24" i="4" s="1"/>
  <c r="F23" i="4"/>
  <c r="D6" i="4"/>
  <c r="C6" i="4"/>
  <c r="H7" i="4"/>
  <c r="H24" i="4" s="1"/>
  <c r="I7" i="4" l="1"/>
  <c r="I24" i="4" s="1"/>
  <c r="E13" i="4"/>
  <c r="E30" i="4" s="1"/>
  <c r="L13" i="4"/>
  <c r="L30" i="4" s="1"/>
  <c r="K30" i="4"/>
  <c r="B23" i="4"/>
  <c r="F6" i="4"/>
  <c r="C23" i="4"/>
  <c r="B6" i="4"/>
  <c r="G6" i="4"/>
  <c r="B45" i="4" s="1"/>
  <c r="D23" i="4"/>
  <c r="E23" i="4"/>
  <c r="E6" i="4"/>
  <c r="J12" i="4"/>
  <c r="J27" i="4" s="1"/>
  <c r="F13" i="4"/>
  <c r="F30" i="4" s="1"/>
  <c r="M13" i="4" l="1"/>
  <c r="M30" i="4" s="1"/>
  <c r="G7" i="4"/>
  <c r="G8" i="4"/>
  <c r="G9" i="4"/>
  <c r="D45" i="4"/>
  <c r="E45" i="4" s="1" a="1"/>
  <c r="B51" i="4"/>
  <c r="D51" i="4" s="1"/>
  <c r="E51" i="4" s="1" a="1"/>
  <c r="G13" i="4"/>
  <c r="G30" i="4" s="1"/>
  <c r="K12" i="4"/>
  <c r="K27" i="4" s="1"/>
  <c r="J7" i="4"/>
  <c r="J24" i="4" s="1"/>
  <c r="N13" i="4" l="1"/>
  <c r="N30" i="4" s="1"/>
  <c r="F46" i="4"/>
  <c r="E46" i="4"/>
  <c r="F45" i="4"/>
  <c r="E45" i="4"/>
  <c r="F47" i="4"/>
  <c r="E47" i="4"/>
  <c r="F52" i="4"/>
  <c r="E52" i="4"/>
  <c r="F51" i="4"/>
  <c r="E51" i="4"/>
  <c r="F53" i="4"/>
  <c r="E53" i="4"/>
  <c r="L12" i="4"/>
  <c r="L27" i="4" s="1"/>
  <c r="K7" i="4"/>
  <c r="K24" i="4" s="1"/>
  <c r="H13" i="4"/>
  <c r="H30" i="4" s="1"/>
  <c r="O13" i="4" l="1"/>
  <c r="O30" i="4" s="1"/>
  <c r="J9" i="4"/>
  <c r="J26" i="4" s="1"/>
  <c r="K9" i="4"/>
  <c r="K26" i="4" s="1"/>
  <c r="I9" i="4"/>
  <c r="I26" i="4" s="1"/>
  <c r="H9" i="4"/>
  <c r="H26" i="4" s="1"/>
  <c r="L7" i="4"/>
  <c r="L24" i="4" s="1"/>
  <c r="M12" i="4"/>
  <c r="M27" i="4" s="1"/>
  <c r="I8" i="4"/>
  <c r="I25" i="4" s="1"/>
  <c r="H8" i="4"/>
  <c r="H25" i="4" s="1"/>
  <c r="K8" i="4"/>
  <c r="K25" i="4" s="1"/>
  <c r="J8" i="4"/>
  <c r="J25" i="4" s="1"/>
  <c r="I13" i="4"/>
  <c r="I30" i="4" s="1"/>
  <c r="P13" i="4" l="1"/>
  <c r="P30" i="4" s="1"/>
  <c r="L8" i="4"/>
  <c r="L25" i="4" s="1"/>
  <c r="N12" i="4"/>
  <c r="N27" i="4" s="1"/>
  <c r="M7" i="4"/>
  <c r="L9" i="4"/>
  <c r="L26" i="4" s="1"/>
  <c r="Q13" i="4" l="1"/>
  <c r="Q30" i="4" s="1"/>
  <c r="M24" i="4"/>
  <c r="M9" i="4"/>
  <c r="M26" i="4" s="1"/>
  <c r="M8" i="4"/>
  <c r="M25" i="4" s="1"/>
  <c r="O12" i="4"/>
  <c r="O27" i="4" s="1"/>
  <c r="N7" i="4"/>
  <c r="R13" i="4" l="1"/>
  <c r="R30" i="4" s="1"/>
  <c r="N24" i="4"/>
  <c r="N8" i="4"/>
  <c r="N25" i="4" s="1"/>
  <c r="N9" i="4"/>
  <c r="N26" i="4" s="1"/>
  <c r="O7" i="4"/>
  <c r="P12" i="4"/>
  <c r="P27" i="4" s="1"/>
  <c r="S13" i="4" l="1"/>
  <c r="S30" i="4" s="1"/>
  <c r="O24" i="4"/>
  <c r="O8" i="4"/>
  <c r="O25" i="4" s="1"/>
  <c r="O9" i="4"/>
  <c r="O26" i="4" s="1"/>
  <c r="P7" i="4"/>
  <c r="Q12" i="4"/>
  <c r="Q27" i="4" s="1"/>
  <c r="P24" i="4" l="1"/>
  <c r="P8" i="4"/>
  <c r="P25" i="4" s="1"/>
  <c r="P9" i="4"/>
  <c r="P26" i="4" s="1"/>
  <c r="Q7" i="4"/>
  <c r="R12" i="4"/>
  <c r="R27" i="4" s="1"/>
  <c r="R7" i="4" l="1"/>
  <c r="S12" i="4"/>
  <c r="S27" i="4" s="1"/>
  <c r="Q24" i="4"/>
  <c r="Q9" i="4"/>
  <c r="Q26" i="4" s="1"/>
  <c r="Q8" i="4"/>
  <c r="Q25" i="4" s="1"/>
  <c r="S7" i="4" l="1"/>
  <c r="R24" i="4"/>
  <c r="R8" i="4"/>
  <c r="R25" i="4" s="1"/>
  <c r="R9" i="4"/>
  <c r="R26" i="4" s="1"/>
  <c r="S24" i="4" l="1"/>
  <c r="S9" i="4"/>
  <c r="S8" i="4"/>
  <c r="S25" i="4" l="1"/>
  <c r="S26" i="4"/>
</calcChain>
</file>

<file path=xl/sharedStrings.xml><?xml version="1.0" encoding="utf-8"?>
<sst xmlns="http://schemas.openxmlformats.org/spreadsheetml/2006/main" count="78" uniqueCount="76">
  <si>
    <t>PROPOSED AMENDMENTS TO THE CALIFORNIA CAP ON GREENHOUSE GAS EMISSIONS AND</t>
  </si>
  <si>
    <t>MARKET-BASED COMPLIANCE MECHANISMS</t>
  </si>
  <si>
    <t>Preliminary 2019 IEPR Carbon Price Projections</t>
  </si>
  <si>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</si>
  <si>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r>
      <t>Annual Average Auction Sale Price</t>
    </r>
    <r>
      <rPr>
        <vertAlign val="superscript"/>
        <sz val="11"/>
        <color theme="1"/>
        <rFont val="Calibri"/>
        <family val="2"/>
        <scheme val="minor"/>
      </rPr>
      <t>2</t>
    </r>
  </si>
  <si>
    <r>
      <t xml:space="preserve">Tier 1 APCR / post-2020 price ceiling </t>
    </r>
    <r>
      <rPr>
        <vertAlign val="superscript"/>
        <sz val="11"/>
        <color theme="1"/>
        <rFont val="Calibri"/>
        <family val="2"/>
        <scheme val="minor"/>
      </rPr>
      <t>4</t>
    </r>
  </si>
  <si>
    <t>Post 2020 Price Ceiling</t>
  </si>
  <si>
    <t>CPI Annual Rate of Change</t>
  </si>
  <si>
    <r>
      <t xml:space="preserve">Carbon Price </t>
    </r>
    <r>
      <rPr>
        <b/>
        <sz val="11"/>
        <color indexed="8"/>
        <rFont val="Calibri"/>
        <family val="2"/>
      </rPr>
      <t>(2018$/metric ton CO</t>
    </r>
    <r>
      <rPr>
        <b/>
        <vertAlign val="subscript"/>
        <sz val="11"/>
        <color indexed="8"/>
        <rFont val="Calibri"/>
        <family val="2"/>
      </rPr>
      <t>2</t>
    </r>
    <r>
      <rPr>
        <b/>
        <sz val="11"/>
        <color indexed="8"/>
        <rFont val="Calibri"/>
        <family val="2"/>
      </rPr>
      <t>e)</t>
    </r>
  </si>
  <si>
    <t>Reserve Price</t>
  </si>
  <si>
    <t>Tier 1 APCR / Post-2020 Price Ceiling</t>
  </si>
  <si>
    <t>Regression Estimates for exponential curves</t>
  </si>
  <si>
    <t>Current and Target Price in 2030</t>
  </si>
  <si>
    <t>Mid case</t>
  </si>
  <si>
    <t>Fitted exponential coefs</t>
  </si>
  <si>
    <t>Mid</t>
  </si>
  <si>
    <t>t</t>
  </si>
  <si>
    <t>APCR</t>
  </si>
  <si>
    <t>high price</t>
  </si>
  <si>
    <r>
      <rPr>
        <vertAlign val="superscript"/>
        <sz val="11"/>
        <color theme="1"/>
        <rFont val="Calibri"/>
        <family val="2"/>
      </rPr>
      <t>3</t>
    </r>
    <r>
      <rPr>
        <sz val="11"/>
        <color theme="1"/>
        <rFont val="Calibri"/>
        <family val="2"/>
      </rPr>
      <t>Price increases in calendar years subsequent to 2018 will be equal to the offer price for each tier from the previous calendar year increased by five percent plus the rate of inflation as measured by the Consumer Price Index for All Urban Consumers.</t>
    </r>
  </si>
  <si>
    <t>Post 2020 Tier Price 1</t>
  </si>
  <si>
    <t>Post 2020 Tier Price 2</t>
  </si>
  <si>
    <t>Annual Average Auction Sale Price</t>
  </si>
  <si>
    <r>
      <rPr>
        <vertAlign val="superscript"/>
        <sz val="11"/>
        <color theme="1"/>
        <rFont val="Calibri"/>
        <family val="2"/>
      </rPr>
      <t>2</t>
    </r>
    <r>
      <rPr>
        <sz val="11"/>
        <color theme="1"/>
        <rFont val="Calibri"/>
        <family val="2"/>
      </rPr>
      <t xml:space="preserve"> 2013 through 2018 prices are the volume-weighed average Vintage Settlement Price of all  auctions (February, May, August and November). </t>
    </r>
  </si>
  <si>
    <r>
      <t>Annual Auction Reserve  Price</t>
    </r>
    <r>
      <rPr>
        <vertAlign val="superscript"/>
        <sz val="11"/>
        <color theme="1"/>
        <rFont val="Calibri"/>
        <family val="2"/>
        <scheme val="minor"/>
      </rPr>
      <t>3</t>
    </r>
  </si>
  <si>
    <r>
      <t xml:space="preserve">GDP Implicit Deflator Series  2018=1 </t>
    </r>
    <r>
      <rPr>
        <vertAlign val="superscript"/>
        <sz val="11"/>
        <color theme="1"/>
        <rFont val="Calibri"/>
        <family val="2"/>
        <scheme val="minor"/>
      </rPr>
      <t>5</t>
    </r>
  </si>
  <si>
    <t>price</t>
  </si>
  <si>
    <t>revenues</t>
  </si>
  <si>
    <t>volume</t>
  </si>
  <si>
    <t>Annual</t>
  </si>
  <si>
    <t xml:space="preserve">Source: http://www.arb.ca.gov/cc/capandtrade/auction/auction.htm </t>
  </si>
  <si>
    <r>
      <rPr>
        <b/>
        <sz val="12"/>
        <rFont val="Arial"/>
        <family val="2"/>
      </rPr>
      <t>November 2012 Auction #1</t>
    </r>
  </si>
  <si>
    <r>
      <rPr>
        <b/>
        <sz val="12"/>
        <rFont val="Arial"/>
        <family val="2"/>
      </rPr>
      <t>February 2013 Auction #2</t>
    </r>
  </si>
  <si>
    <r>
      <rPr>
        <b/>
        <sz val="12"/>
        <rFont val="Arial"/>
        <family val="2"/>
      </rPr>
      <t>May 2013 Auction #3</t>
    </r>
  </si>
  <si>
    <r>
      <rPr>
        <b/>
        <sz val="12"/>
        <rFont val="Arial"/>
        <family val="2"/>
      </rPr>
      <t>August 2013 Auction #4</t>
    </r>
  </si>
  <si>
    <r>
      <rPr>
        <b/>
        <sz val="12"/>
        <rFont val="Arial"/>
        <family val="2"/>
      </rPr>
      <t>November 2013 Auction #5</t>
    </r>
  </si>
  <si>
    <r>
      <rPr>
        <b/>
        <sz val="12"/>
        <rFont val="Arial"/>
        <family val="2"/>
      </rPr>
      <t>February 2014 Auction #6</t>
    </r>
  </si>
  <si>
    <r>
      <rPr>
        <b/>
        <sz val="12"/>
        <rFont val="Arial"/>
        <family val="2"/>
      </rPr>
      <t>May 2014 Auction #7</t>
    </r>
  </si>
  <si>
    <r>
      <rPr>
        <b/>
        <sz val="12"/>
        <rFont val="Arial"/>
        <family val="2"/>
      </rPr>
      <t>August 2014 Auction #8</t>
    </r>
  </si>
  <si>
    <r>
      <rPr>
        <b/>
        <sz val="12"/>
        <rFont val="Arial"/>
        <family val="2"/>
      </rPr>
      <t>November 2014 Joint Auction #1</t>
    </r>
  </si>
  <si>
    <r>
      <rPr>
        <b/>
        <sz val="12"/>
        <rFont val="Arial"/>
        <family val="2"/>
      </rPr>
      <t>February 2015 Joint Auction #2</t>
    </r>
  </si>
  <si>
    <r>
      <rPr>
        <b/>
        <sz val="12"/>
        <rFont val="Arial"/>
        <family val="2"/>
      </rPr>
      <t>May 2015 Joint Auction #3</t>
    </r>
  </si>
  <si>
    <r>
      <rPr>
        <b/>
        <sz val="12"/>
        <rFont val="Arial"/>
        <family val="2"/>
      </rPr>
      <t>August 2015 Joint Auction #4</t>
    </r>
  </si>
  <si>
    <r>
      <rPr>
        <b/>
        <sz val="12"/>
        <rFont val="Arial"/>
        <family val="2"/>
      </rPr>
      <t>November 2015 Joint Auction #5</t>
    </r>
  </si>
  <si>
    <r>
      <rPr>
        <b/>
        <sz val="12"/>
        <rFont val="Arial"/>
        <family val="2"/>
      </rPr>
      <t>February 2016 Joint Auction #6</t>
    </r>
  </si>
  <si>
    <r>
      <rPr>
        <b/>
        <sz val="12"/>
        <rFont val="Arial"/>
        <family val="2"/>
      </rPr>
      <t>May 2016 Joint Auction #7</t>
    </r>
  </si>
  <si>
    <r>
      <rPr>
        <b/>
        <sz val="12"/>
        <rFont val="Arial"/>
        <family val="2"/>
      </rPr>
      <t>August 2016 Joint Auction #8</t>
    </r>
  </si>
  <si>
    <r>
      <rPr>
        <b/>
        <sz val="12"/>
        <rFont val="Arial"/>
        <family val="2"/>
      </rPr>
      <t>November 2016 Joint Auction #9</t>
    </r>
  </si>
  <si>
    <r>
      <rPr>
        <b/>
        <sz val="12"/>
        <rFont val="Arial"/>
        <family val="2"/>
      </rPr>
      <t>February 2017 Joint Auction #10</t>
    </r>
  </si>
  <si>
    <r>
      <rPr>
        <b/>
        <sz val="12"/>
        <rFont val="Arial"/>
        <family val="2"/>
      </rPr>
      <t>May 2017 Joint Auction #11</t>
    </r>
  </si>
  <si>
    <r>
      <rPr>
        <b/>
        <sz val="12"/>
        <rFont val="Arial"/>
        <family val="2"/>
      </rPr>
      <t>August 2017 Joint Auction #12</t>
    </r>
  </si>
  <si>
    <r>
      <rPr>
        <b/>
        <sz val="12"/>
        <rFont val="Arial"/>
        <family val="2"/>
      </rPr>
      <t>November 2017 Joint Auction #13</t>
    </r>
  </si>
  <si>
    <t>August 2018 Joint Auction #16</t>
  </si>
  <si>
    <t>November 2018 Joint Auction #17</t>
  </si>
  <si>
    <r>
      <rPr>
        <b/>
        <sz val="12"/>
        <rFont val="Arial"/>
        <family val="2"/>
      </rPr>
      <t>Advance Auction Settlement Price</t>
    </r>
  </si>
  <si>
    <r>
      <rPr>
        <b/>
        <sz val="12"/>
        <rFont val="Arial"/>
        <family val="2"/>
      </rPr>
      <t>Total Future Vintage Allowances Sold</t>
    </r>
  </si>
  <si>
    <r>
      <rPr>
        <b/>
        <sz val="12"/>
        <rFont val="Arial"/>
        <family val="2"/>
      </rPr>
      <t>Total Future Vintage Allowances Offered</t>
    </r>
  </si>
  <si>
    <t>Revenues</t>
  </si>
  <si>
    <r>
      <rPr>
        <b/>
        <sz val="12"/>
        <rFont val="Arial"/>
        <family val="2"/>
      </rPr>
      <t>Current Auction Settlement Price</t>
    </r>
  </si>
  <si>
    <r>
      <rPr>
        <b/>
        <sz val="12"/>
        <rFont val="Arial"/>
        <family val="2"/>
      </rPr>
      <t>Total Current Vintage Allowances Sold</t>
    </r>
  </si>
  <si>
    <r>
      <rPr>
        <b/>
        <sz val="12"/>
        <rFont val="Arial"/>
        <family val="2"/>
      </rPr>
      <t>Total Current Vintage Allowances Offered</t>
    </r>
  </si>
  <si>
    <r>
      <rPr>
        <b/>
        <sz val="12"/>
        <rFont val="Arial"/>
        <family val="2"/>
      </rPr>
      <t>Auction Name</t>
    </r>
  </si>
  <si>
    <r>
      <rPr>
        <b/>
        <sz val="12"/>
        <rFont val="Arial"/>
        <family val="2"/>
      </rPr>
      <t>SUMMARY OF JOINT AUCTION SETTLEMENT PRICES AND RESULTS</t>
    </r>
  </si>
  <si>
    <r>
      <rPr>
        <b/>
        <sz val="12"/>
        <rFont val="Arial"/>
        <family val="2"/>
      </rPr>
      <t>CALIFORNIA CAP-AND-TRADE PROGRAM</t>
    </r>
  </si>
  <si>
    <r>
      <rPr>
        <vertAlign val="superscript"/>
        <sz val="12"/>
        <color indexed="8"/>
        <rFont val="Calibri"/>
        <family val="2"/>
      </rPr>
      <t>4</t>
    </r>
    <r>
      <rPr>
        <sz val="12"/>
        <color indexed="8"/>
        <rFont val="Calibri"/>
        <family val="2"/>
      </rPr>
      <t xml:space="preserve"> </t>
    </r>
    <r>
      <rPr>
        <sz val="11"/>
        <color indexed="8"/>
        <rFont val="Calibri"/>
        <family val="2"/>
      </rPr>
      <t xml:space="preserve"> 17 CCR § § 95915. Price Ceiling Sales.</t>
    </r>
  </si>
  <si>
    <r>
      <rPr>
        <vertAlign val="superscript"/>
        <sz val="11"/>
        <color indexed="8"/>
        <rFont val="Calibri"/>
        <family val="2"/>
      </rPr>
      <t>1</t>
    </r>
    <r>
      <rPr>
        <sz val="11"/>
        <color indexed="8"/>
        <rFont val="Calibri"/>
        <family val="2"/>
      </rPr>
      <t xml:space="preserve">The low consumption (high price) scenario assumes that prices reach the Tier 2 price by 2030.  In the high consumption (low price) scenario, prices escalate at the rate of the auction reserve price (CPI +5%). In the mid case, prices are assumed to reach Tier 1 Price in 2030.
</t>
    </r>
  </si>
  <si>
    <r>
      <rPr>
        <vertAlign val="superscript"/>
        <sz val="12"/>
        <color indexed="8"/>
        <rFont val="Calibri"/>
        <family val="2"/>
      </rPr>
      <t>5</t>
    </r>
    <r>
      <rPr>
        <sz val="11"/>
        <color indexed="8"/>
        <rFont val="Calibri"/>
        <family val="2"/>
      </rPr>
      <t xml:space="preserve"> 2019 IEPR  Moody's Analytics, January 2019.</t>
    </r>
  </si>
  <si>
    <t>Low Price (High Demand Scenario)</t>
  </si>
  <si>
    <t>Mid Price (Mid Demand Scenario)</t>
  </si>
  <si>
    <t>High Price (Low Demand Scenario)</t>
  </si>
  <si>
    <t>May 2018 Joint Auction #15</t>
  </si>
  <si>
    <t>February 2018 Joint Auction #14</t>
  </si>
  <si>
    <t>NOTE: Auction revenues will include consigned allowances, so revenues column include proceeds distributed to utilities</t>
  </si>
  <si>
    <t xml:space="preserve">State versus consignment revenues may be found at: </t>
  </si>
  <si>
    <t>https://www.arb.ca.gov/cc/capandtrade/auction/proceeds_summary.pdf</t>
  </si>
  <si>
    <r>
      <t>CPI: Urban Consumer - All Items, (Index, 2018=1)</t>
    </r>
    <r>
      <rPr>
        <vertAlign val="superscript"/>
        <sz val="11"/>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</si>
</sst>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_(* #,##0.000000000000000000_);_(* \(#,##0.000000000000000000\);_(* &quot;-&quot;??_);_(@_)"/>
    <numFmt numFmtId="165" formatCode="_(* #,##0.0000_);_(* \(#,##0.0000\);_(* &quot;-&quot;??_);_(@_)"/>
    <numFmt numFmtId="166" formatCode="0.00000000000"/>
    <numFmt numFmtId="167" formatCode="0.0000"/>
    <numFmt numFmtId="168" formatCode="0.000"/>
    <numFmt numFmtId="169" formatCode="_(* #,##0.000_);_(* \(#,##0.000\);_(* &quot;-&quot;??_);_(@_)"/>
    <numFmt numFmtId="170" formatCode="_(* #,##0.0_);_(* \(#,##0.0\);_(* &quot;-&quot;??_);_(@_)"/>
    <numFmt numFmtId="171" formatCode="0_);\(0\)"/>
    <numFmt numFmtId="172" formatCode="\$0.0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b/>
      <sz val="11"/>
      <color indexed="8"/>
      <name val="Calibri"/>
      <family val="2"/>
    </font>
    <font>
      <b/>
      <vertAlign val="subscript"/>
      <sz val="11"/>
      <color indexed="8"/>
      <name val="Calibri"/>
      <family val="2"/>
    </font>
    <font>
      <b/>
      <vertAlign val="superscript"/>
      <sz val="11"/>
      <color indexed="8"/>
      <name val="Calibri"/>
      <family val="2"/>
    </font>
    <font>
      <vertAlign val="superscript"/>
      <sz val="11"/>
      <color theme="1"/>
      <name val="Calibri"/>
      <family val="2"/>
      <scheme val="minor"/>
    </font>
    <font>
      <sz val="11"/>
      <color indexed="8"/>
      <name val="Calibri"/>
      <family val="2"/>
    </font>
    <font>
      <vertAlign val="superscript"/>
      <sz val="11"/>
      <color indexed="8"/>
      <name val="Calibri"/>
      <family val="2"/>
    </font>
    <font>
      <sz val="11"/>
      <color theme="1"/>
      <name val="Calibri"/>
      <family val="2"/>
    </font>
    <font>
      <vertAlign val="superscript"/>
      <sz val="11"/>
      <color theme="1"/>
      <name val="Calibri"/>
      <family val="2"/>
    </font>
    <font>
      <vertAlign val="superscript"/>
      <sz val="12"/>
      <color indexed="8"/>
      <name val="Calibri"/>
      <family val="2"/>
    </font>
    <font>
      <sz val="12"/>
      <color indexed="8"/>
      <name val="Calibri"/>
      <family val="2"/>
    </font>
    <font>
      <sz val="10"/>
      <color rgb="FF000000"/>
      <name val="Times New Roman"/>
      <family val="1"/>
    </font>
    <font>
      <sz val="12"/>
      <color rgb="FF000000"/>
      <name val="Arial"/>
      <family val="2"/>
    </font>
    <font>
      <b/>
      <sz val="12"/>
      <name val="Arial"/>
      <family val="2"/>
    </font>
    <font>
      <sz val="12"/>
      <color indexed="8"/>
      <name val="Arial"/>
      <family val="2"/>
    </font>
    <font>
      <b/>
      <sz val="12"/>
      <color indexed="8"/>
      <name val="Arial"/>
      <family val="2"/>
    </font>
    <font>
      <b/>
      <sz val="11"/>
      <name val="Arial"/>
      <family val="2"/>
    </font>
    <font>
      <b/>
      <sz val="14"/>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B8CCE3"/>
      </patternFill>
    </fill>
    <fill>
      <patternFill patternType="solid">
        <fgColor rgb="FF4F81BC"/>
      </patternFill>
    </fill>
    <fill>
      <patternFill patternType="solid">
        <fgColor rgb="FFB8CCE3"/>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cellStyleXfs>
  <cellXfs count="87">
    <xf numFmtId="0" fontId="0" fillId="0" borderId="0" xfId="0"/>
    <xf numFmtId="164" fontId="0" fillId="0" borderId="0" xfId="1" applyNumberFormat="1" applyFont="1"/>
    <xf numFmtId="165" fontId="0" fillId="0" borderId="0" xfId="1" applyNumberFormat="1" applyFont="1"/>
    <xf numFmtId="0" fontId="2" fillId="0" borderId="0" xfId="0" applyFont="1"/>
    <xf numFmtId="166" fontId="0" fillId="0" borderId="0" xfId="1" applyNumberFormat="1" applyFont="1"/>
    <xf numFmtId="166" fontId="0" fillId="0" borderId="0" xfId="0" applyNumberFormat="1"/>
    <xf numFmtId="43" fontId="0" fillId="0" borderId="0" xfId="0" applyNumberFormat="1"/>
    <xf numFmtId="0" fontId="0" fillId="0" borderId="0" xfId="0" applyFill="1"/>
    <xf numFmtId="43" fontId="0" fillId="0" borderId="0" xfId="1" applyFont="1" applyFill="1"/>
    <xf numFmtId="2" fontId="0" fillId="0" borderId="0" xfId="0" applyNumberFormat="1"/>
    <xf numFmtId="168" fontId="0" fillId="0" borderId="0" xfId="0" applyNumberFormat="1"/>
    <xf numFmtId="0" fontId="0" fillId="2" borderId="0" xfId="0" applyFill="1"/>
    <xf numFmtId="43" fontId="0" fillId="0" borderId="0" xfId="1" applyFont="1"/>
    <xf numFmtId="2" fontId="0" fillId="0" borderId="0" xfId="0" applyNumberFormat="1" applyFont="1"/>
    <xf numFmtId="167" fontId="1" fillId="0" borderId="0" xfId="2" applyNumberFormat="1" applyFont="1" applyFill="1"/>
    <xf numFmtId="43" fontId="1" fillId="0" borderId="0" xfId="1" applyFont="1" applyFill="1"/>
    <xf numFmtId="169" fontId="1" fillId="0" borderId="0" xfId="1" applyNumberFormat="1" applyFont="1" applyFill="1"/>
    <xf numFmtId="10" fontId="1" fillId="0" borderId="0" xfId="2" applyNumberFormat="1" applyFont="1" applyFill="1"/>
    <xf numFmtId="2" fontId="0" fillId="0" borderId="0" xfId="0" applyNumberFormat="1" applyFill="1"/>
    <xf numFmtId="167" fontId="0" fillId="0" borderId="0" xfId="0" applyNumberFormat="1"/>
    <xf numFmtId="0" fontId="8" fillId="0" borderId="0" xfId="0" applyFont="1"/>
    <xf numFmtId="0" fontId="0" fillId="0" borderId="0" xfId="0" applyAlignment="1">
      <alignment horizontal="left" indent="2"/>
    </xf>
    <xf numFmtId="0" fontId="8" fillId="0" borderId="1" xfId="0" applyFont="1" applyBorder="1"/>
    <xf numFmtId="0" fontId="0" fillId="0" borderId="2" xfId="0" applyBorder="1"/>
    <xf numFmtId="0" fontId="0" fillId="0" borderId="3" xfId="0" applyBorder="1"/>
    <xf numFmtId="0" fontId="0" fillId="0" borderId="4" xfId="0" applyBorder="1"/>
    <xf numFmtId="0" fontId="2" fillId="0" borderId="0" xfId="0" applyFont="1" applyBorder="1"/>
    <xf numFmtId="0" fontId="0" fillId="0" borderId="0" xfId="0" applyBorder="1"/>
    <xf numFmtId="0" fontId="0" fillId="0" borderId="5" xfId="0" applyBorder="1"/>
    <xf numFmtId="0" fontId="0" fillId="0" borderId="4" xfId="0" applyBorder="1" applyAlignment="1">
      <alignment horizontal="right" indent="5"/>
    </xf>
    <xf numFmtId="170" fontId="0" fillId="0" borderId="0" xfId="0" applyNumberFormat="1" applyBorder="1"/>
    <xf numFmtId="171" fontId="0" fillId="0" borderId="0" xfId="0" applyNumberFormat="1" applyFill="1" applyBorder="1" applyAlignment="1">
      <alignment horizontal="left" vertical="top"/>
    </xf>
    <xf numFmtId="168" fontId="0" fillId="0" borderId="0" xfId="0" applyNumberFormat="1" applyFill="1" applyBorder="1" applyAlignment="1">
      <alignment horizontal="left" vertical="top"/>
    </xf>
    <xf numFmtId="168" fontId="2" fillId="0" borderId="0" xfId="1" applyNumberFormat="1" applyFont="1" applyFill="1" applyBorder="1" applyAlignment="1">
      <alignment horizontal="left" vertical="top"/>
    </xf>
    <xf numFmtId="168" fontId="2" fillId="0" borderId="5" xfId="1" applyNumberFormat="1" applyFont="1" applyFill="1" applyBorder="1" applyAlignment="1">
      <alignment horizontal="left" vertical="top"/>
    </xf>
    <xf numFmtId="168" fontId="0" fillId="0" borderId="5" xfId="0" applyNumberFormat="1" applyFill="1" applyBorder="1" applyAlignment="1">
      <alignment horizontal="left" vertical="top"/>
    </xf>
    <xf numFmtId="43" fontId="0" fillId="0" borderId="0" xfId="0" applyNumberFormat="1" applyBorder="1"/>
    <xf numFmtId="170" fontId="2" fillId="0" borderId="0" xfId="0" applyNumberFormat="1" applyFont="1" applyBorder="1"/>
    <xf numFmtId="0" fontId="0" fillId="0" borderId="4" xfId="0" applyBorder="1" applyAlignment="1">
      <alignment horizontal="right"/>
    </xf>
    <xf numFmtId="168" fontId="0" fillId="0" borderId="0" xfId="0" applyNumberFormat="1" applyBorder="1"/>
    <xf numFmtId="168" fontId="0" fillId="0" borderId="5" xfId="0" applyNumberFormat="1" applyBorder="1"/>
    <xf numFmtId="168" fontId="2" fillId="0" borderId="0" xfId="0" applyNumberFormat="1" applyFont="1" applyBorder="1"/>
    <xf numFmtId="168" fontId="0" fillId="0" borderId="6" xfId="0" applyNumberFormat="1" applyFill="1" applyBorder="1" applyAlignment="1">
      <alignment horizontal="left" vertical="top"/>
    </xf>
    <xf numFmtId="168" fontId="0" fillId="0" borderId="7" xfId="0" applyNumberFormat="1" applyFill="1" applyBorder="1" applyAlignment="1">
      <alignment horizontal="left" vertical="top"/>
    </xf>
    <xf numFmtId="0" fontId="0" fillId="0" borderId="8" xfId="0" applyBorder="1" applyAlignment="1">
      <alignment horizontal="right" indent="5"/>
    </xf>
    <xf numFmtId="170" fontId="2" fillId="0" borderId="6" xfId="0" applyNumberFormat="1" applyFont="1" applyBorder="1"/>
    <xf numFmtId="171" fontId="0" fillId="0" borderId="6" xfId="0" applyNumberFormat="1" applyFill="1" applyBorder="1" applyAlignment="1">
      <alignment horizontal="left" vertical="top"/>
    </xf>
    <xf numFmtId="43" fontId="2" fillId="0" borderId="0" xfId="1" applyFont="1" applyFill="1"/>
    <xf numFmtId="43" fontId="2" fillId="0" borderId="0" xfId="1" applyFont="1"/>
    <xf numFmtId="169" fontId="0" fillId="0" borderId="0" xfId="1" applyNumberFormat="1" applyFont="1"/>
    <xf numFmtId="0" fontId="14" fillId="0" borderId="0" xfId="3" applyFill="1" applyBorder="1" applyAlignment="1">
      <alignment horizontal="left" vertical="top"/>
    </xf>
    <xf numFmtId="0" fontId="14" fillId="0" borderId="0" xfId="3" applyFont="1" applyFill="1" applyBorder="1" applyAlignment="1">
      <alignment horizontal="left" vertical="top"/>
    </xf>
    <xf numFmtId="0" fontId="16" fillId="0" borderId="9" xfId="3" applyFont="1" applyFill="1" applyBorder="1" applyAlignment="1">
      <alignment horizontal="left" vertical="top" wrapText="1"/>
    </xf>
    <xf numFmtId="0" fontId="16" fillId="3" borderId="9" xfId="3" applyFont="1" applyFill="1" applyBorder="1" applyAlignment="1">
      <alignment horizontal="left" vertical="top" wrapText="1"/>
    </xf>
    <xf numFmtId="0" fontId="16" fillId="0" borderId="10" xfId="3" applyFont="1" applyFill="1" applyBorder="1" applyAlignment="1">
      <alignment horizontal="left" vertical="top" wrapText="1"/>
    </xf>
    <xf numFmtId="0" fontId="16" fillId="3" borderId="10" xfId="3" applyFont="1" applyFill="1" applyBorder="1" applyAlignment="1">
      <alignment horizontal="left" vertical="top" wrapText="1"/>
    </xf>
    <xf numFmtId="0" fontId="16" fillId="4" borderId="10" xfId="3" applyFont="1" applyFill="1" applyBorder="1" applyAlignment="1">
      <alignment horizontal="left" vertical="top" wrapText="1"/>
    </xf>
    <xf numFmtId="0" fontId="18" fillId="5" borderId="9" xfId="0" applyFont="1" applyFill="1" applyBorder="1" applyAlignment="1">
      <alignment horizontal="left" vertical="top" wrapText="1"/>
    </xf>
    <xf numFmtId="0" fontId="18" fillId="0" borderId="11" xfId="0" applyFont="1" applyBorder="1" applyAlignment="1">
      <alignment horizontal="left" vertical="top" wrapText="1"/>
    </xf>
    <xf numFmtId="0" fontId="19" fillId="0" borderId="0" xfId="3" applyFont="1" applyFill="1" applyBorder="1" applyAlignment="1">
      <alignment horizontal="center" vertical="top"/>
    </xf>
    <xf numFmtId="0" fontId="16" fillId="0" borderId="0" xfId="3" applyFont="1" applyFill="1" applyBorder="1" applyAlignment="1">
      <alignment horizontal="left" vertical="top"/>
    </xf>
    <xf numFmtId="43" fontId="0" fillId="0" borderId="0" xfId="1" applyNumberFormat="1" applyFont="1"/>
    <xf numFmtId="0" fontId="20" fillId="0" borderId="0" xfId="0" applyFont="1"/>
    <xf numFmtId="0" fontId="0" fillId="0" borderId="0" xfId="0" applyFill="1" applyAlignment="1">
      <alignment wrapText="1"/>
    </xf>
    <xf numFmtId="0" fontId="8" fillId="0" borderId="0" xfId="0" applyFont="1" applyAlignment="1">
      <alignment horizontal="left" wrapText="1"/>
    </xf>
    <xf numFmtId="0" fontId="0" fillId="0" borderId="0" xfId="0" applyAlignment="1">
      <alignment wrapText="1"/>
    </xf>
    <xf numFmtId="0" fontId="3" fillId="0" borderId="0" xfId="0" applyFont="1" applyFill="1" applyAlignment="1">
      <alignment horizontal="left" wrapText="1"/>
    </xf>
    <xf numFmtId="0" fontId="3" fillId="0" borderId="0" xfId="0" applyFont="1" applyFill="1" applyAlignment="1">
      <alignment horizontal="left"/>
    </xf>
    <xf numFmtId="0" fontId="8" fillId="0" borderId="0" xfId="0" applyFont="1" applyAlignment="1">
      <alignment horizontal="left" vertical="top" wrapText="1"/>
    </xf>
    <xf numFmtId="0" fontId="10" fillId="0" borderId="0" xfId="0" applyFont="1" applyAlignment="1">
      <alignment horizontal="left" vertical="top" wrapText="1"/>
    </xf>
    <xf numFmtId="0" fontId="14" fillId="0" borderId="0" xfId="3" applyFill="1" applyBorder="1" applyAlignment="1">
      <alignment horizontal="center"/>
    </xf>
    <xf numFmtId="0" fontId="14" fillId="0" borderId="0" xfId="3" applyFill="1" applyBorder="1" applyAlignment="1">
      <alignment horizontal="center" vertical="top"/>
    </xf>
    <xf numFmtId="43" fontId="14" fillId="0" borderId="0" xfId="1" applyFont="1" applyFill="1" applyBorder="1" applyAlignment="1">
      <alignment horizontal="center"/>
    </xf>
    <xf numFmtId="0" fontId="16" fillId="4" borderId="9" xfId="3" applyFont="1" applyFill="1" applyBorder="1" applyAlignment="1">
      <alignment horizontal="center" wrapText="1"/>
    </xf>
    <xf numFmtId="43" fontId="16" fillId="4" borderId="9" xfId="1" applyFont="1" applyFill="1" applyBorder="1" applyAlignment="1">
      <alignment horizontal="center" wrapText="1"/>
    </xf>
    <xf numFmtId="3" fontId="17" fillId="0" borderId="11" xfId="0" applyNumberFormat="1" applyFont="1" applyBorder="1" applyAlignment="1">
      <alignment horizontal="center" wrapText="1"/>
    </xf>
    <xf numFmtId="172" fontId="15" fillId="0" borderId="9" xfId="3" applyNumberFormat="1" applyFont="1" applyFill="1" applyBorder="1" applyAlignment="1">
      <alignment horizontal="center" wrapText="1"/>
    </xf>
    <xf numFmtId="43" fontId="15" fillId="0" borderId="9" xfId="1" applyFont="1" applyFill="1" applyBorder="1" applyAlignment="1">
      <alignment horizontal="center" wrapText="1"/>
    </xf>
    <xf numFmtId="3" fontId="17" fillId="5" borderId="9" xfId="0" applyNumberFormat="1" applyFont="1" applyFill="1" applyBorder="1" applyAlignment="1">
      <alignment horizontal="center" wrapText="1"/>
    </xf>
    <xf numFmtId="172" fontId="15" fillId="3" borderId="9" xfId="3" applyNumberFormat="1" applyFont="1" applyFill="1" applyBorder="1" applyAlignment="1">
      <alignment horizontal="center" wrapText="1"/>
    </xf>
    <xf numFmtId="3" fontId="15" fillId="3" borderId="9" xfId="3" applyNumberFormat="1" applyFont="1" applyFill="1" applyBorder="1" applyAlignment="1">
      <alignment horizontal="center" wrapText="1"/>
    </xf>
    <xf numFmtId="3" fontId="15" fillId="0" borderId="9" xfId="3" applyNumberFormat="1" applyFont="1" applyFill="1" applyBorder="1" applyAlignment="1">
      <alignment horizontal="center" wrapText="1"/>
    </xf>
    <xf numFmtId="0" fontId="14" fillId="0" borderId="0" xfId="3" applyFont="1" applyFill="1" applyBorder="1" applyAlignment="1">
      <alignment horizontal="center" vertical="top"/>
    </xf>
    <xf numFmtId="0" fontId="0" fillId="0" borderId="0" xfId="0" applyAlignment="1">
      <alignment horizontal="center"/>
    </xf>
    <xf numFmtId="0" fontId="14" fillId="2" borderId="0" xfId="3" applyFill="1" applyBorder="1" applyAlignment="1">
      <alignment horizontal="left" vertical="top"/>
    </xf>
    <xf numFmtId="0" fontId="21" fillId="0" borderId="0" xfId="0" applyFont="1"/>
    <xf numFmtId="0" fontId="21" fillId="0" borderId="0" xfId="3" applyFont="1" applyFill="1" applyBorder="1" applyAlignment="1">
      <alignment horizontal="left" vertical="top"/>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9522</xdr:rowOff>
    </xdr:from>
    <xdr:to>
      <xdr:col>11</xdr:col>
      <xdr:colOff>455084</xdr:colOff>
      <xdr:row>55</xdr:row>
      <xdr:rowOff>158749</xdr:rowOff>
    </xdr:to>
    <xdr:sp macro="" textlink="">
      <xdr:nvSpPr>
        <xdr:cNvPr id="2" name="TextBox 1"/>
        <xdr:cNvSpPr txBox="1"/>
      </xdr:nvSpPr>
      <xdr:spPr>
        <a:xfrm>
          <a:off x="0" y="9522"/>
          <a:ext cx="6593417" cy="10817227"/>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2019 IEPR Preliminary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Allowance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3-13-19</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200" b="0" i="0" u="none" strike="noStrike" kern="0" cap="none" spc="0" normalizeH="0" baseline="0" noProof="0">
              <a:ln>
                <a:noFill/>
              </a:ln>
              <a:solidFill>
                <a:sysClr val="windowText" lastClr="000000"/>
              </a:solidFill>
              <a:effectLst/>
              <a:uLnTx/>
              <a:uFillTx/>
              <a:latin typeface="Calibri"/>
            </a:rPr>
            <a:t> </a:t>
          </a:r>
          <a:r>
            <a:rPr lang="en-US" sz="1200" b="0" i="0" u="none" strike="noStrike">
              <a:effectLst/>
              <a:latin typeface="Calibri" panose="020F0502020204030204" pitchFamily="34" charset="0"/>
              <a:ea typeface="+mn-ea"/>
              <a:cs typeface="+mn-cs"/>
            </a:rPr>
            <a:t>This spreadsheet presents preliminary low, mid and high California</a:t>
          </a:r>
          <a:r>
            <a:rPr lang="en-US" sz="1200" b="0" i="0" u="none" strike="noStrike" baseline="0">
              <a:effectLst/>
              <a:latin typeface="Calibri" panose="020F0502020204030204" pitchFamily="34" charset="0"/>
              <a:ea typeface="+mn-ea"/>
              <a:cs typeface="+mn-cs"/>
            </a:rPr>
            <a:t> Greenhouse Gas Allowance </a:t>
          </a:r>
          <a:r>
            <a:rPr lang="en-US" sz="1200" b="0" i="0" u="none" strike="noStrike">
              <a:effectLst/>
              <a:latin typeface="Calibri" panose="020F0502020204030204" pitchFamily="34" charset="0"/>
              <a:ea typeface="+mn-ea"/>
              <a:cs typeface="+mn-cs"/>
            </a:rPr>
            <a:t>price projections for</a:t>
          </a:r>
          <a:r>
            <a:rPr lang="en-US" sz="1200" b="0" i="0" u="none" strike="noStrike" baseline="0">
              <a:effectLst/>
              <a:latin typeface="Calibri" panose="020F0502020204030204" pitchFamily="34" charset="0"/>
              <a:ea typeface="+mn-ea"/>
              <a:cs typeface="+mn-cs"/>
            </a:rPr>
            <a:t> the </a:t>
          </a:r>
          <a:r>
            <a:rPr lang="en-US" sz="1200" b="0" i="1" u="none" strike="noStrike">
              <a:effectLst/>
              <a:latin typeface="Calibri" panose="020F0502020204030204" pitchFamily="34" charset="0"/>
              <a:ea typeface="+mn-ea"/>
              <a:cs typeface="+mn-cs"/>
            </a:rPr>
            <a:t>2019 IEPR </a:t>
          </a:r>
          <a:r>
            <a:rPr lang="en-US" sz="1200" b="0" i="0" u="none" strike="noStrike">
              <a:effectLst/>
              <a:latin typeface="Calibri" panose="020F0502020204030204" pitchFamily="34" charset="0"/>
              <a:ea typeface="+mn-ea"/>
              <a:cs typeface="+mn-cs"/>
            </a:rPr>
            <a:t>common scenarios.</a:t>
          </a:r>
          <a:r>
            <a:rPr lang="en-US" sz="1200" b="0" i="0" u="none" strike="noStrike" baseline="0">
              <a:effectLst/>
              <a:latin typeface="Calibri" panose="020F0502020204030204" pitchFamily="34" charset="0"/>
              <a:ea typeface="+mn-ea"/>
              <a:cs typeface="+mn-cs"/>
            </a:rPr>
            <a:t> </a:t>
          </a:r>
          <a:r>
            <a:rPr lang="en-US" sz="1200" b="0" i="0">
              <a:latin typeface="Calibri" panose="020F0502020204030204" pitchFamily="34" charset="0"/>
            </a:rPr>
            <a:t>T</a:t>
          </a:r>
          <a:r>
            <a:rPr lang="en-US" sz="1200" b="0" i="0" u="none" strike="noStrike">
              <a:effectLst/>
              <a:latin typeface="Calibri" panose="020F0502020204030204" pitchFamily="34" charset="0"/>
              <a:ea typeface="+mn-ea"/>
              <a:cs typeface="+mn-cs"/>
            </a:rPr>
            <a:t>hese projections are consistent</a:t>
          </a:r>
          <a:r>
            <a:rPr lang="en-US" sz="1200" b="0" i="0" u="none" strike="noStrike" baseline="0">
              <a:effectLst/>
              <a:latin typeface="Calibri" panose="020F0502020204030204" pitchFamily="34" charset="0"/>
              <a:ea typeface="+mn-ea"/>
              <a:cs typeface="+mn-cs"/>
            </a:rPr>
            <a:t> with amendments to Regulations for the </a:t>
          </a:r>
          <a:r>
            <a:rPr lang="en-US" sz="1200" b="0" i="0">
              <a:effectLst/>
              <a:latin typeface="Calibri" panose="020F0502020204030204" pitchFamily="34" charset="0"/>
              <a:ea typeface="+mn-ea"/>
              <a:cs typeface="+mn-cs"/>
            </a:rPr>
            <a:t>California Cap on Greenhouse Gas Emissions and Market-Based Compliance Mechanisms</a:t>
          </a:r>
          <a:r>
            <a:rPr lang="en-US" sz="1200" b="0" i="0" u="none" baseline="0">
              <a:effectLst/>
              <a:latin typeface="Calibri" panose="020F0502020204030204" pitchFamily="34" charset="0"/>
              <a:ea typeface="+mn-ea"/>
              <a:cs typeface="+mn-cs"/>
            </a:rPr>
            <a:t> approved by the</a:t>
          </a:r>
          <a:r>
            <a:rPr lang="en-US" sz="1200" b="0" i="0" u="none">
              <a:effectLst/>
              <a:latin typeface="Calibri" panose="020F0502020204030204" pitchFamily="34" charset="0"/>
              <a:ea typeface="+mn-ea"/>
              <a:cs typeface="+mn-cs"/>
            </a:rPr>
            <a:t> </a:t>
          </a:r>
          <a:r>
            <a:rPr lang="en-US" sz="1200" b="0" i="0" baseline="0">
              <a:effectLst/>
              <a:latin typeface="Calibri" panose="020F0502020204030204" pitchFamily="34" charset="0"/>
              <a:ea typeface="+mn-ea"/>
              <a:cs typeface="+mn-cs"/>
            </a:rPr>
            <a:t>California </a:t>
          </a:r>
          <a:r>
            <a:rPr lang="en-US" sz="1200" b="0" i="0">
              <a:effectLst/>
              <a:latin typeface="Calibri" panose="020F0502020204030204" pitchFamily="34" charset="0"/>
              <a:ea typeface="+mn-ea"/>
              <a:cs typeface="+mn-cs"/>
            </a:rPr>
            <a:t>Air Resource Board</a:t>
          </a:r>
          <a:r>
            <a:rPr lang="en-US" sz="1200" b="0" i="0" baseline="0">
              <a:effectLst/>
              <a:latin typeface="Calibri" panose="020F0502020204030204" pitchFamily="34" charset="0"/>
              <a:ea typeface="+mn-ea"/>
              <a:cs typeface="+mn-cs"/>
            </a:rPr>
            <a:t>  (CARB) December 13, 2018</a:t>
          </a:r>
          <a:r>
            <a:rPr lang="en-US" sz="1200" b="0" i="0">
              <a:latin typeface="Calibri" panose="020F0502020204030204" pitchFamily="34" charset="0"/>
            </a:rPr>
            <a:t>. </a:t>
          </a:r>
          <a:r>
            <a:rPr lang="en-US" sz="1200" b="0" i="0">
              <a:effectLst/>
              <a:latin typeface="Calibri" panose="020F0502020204030204" pitchFamily="34" charset="0"/>
              <a:ea typeface="+mn-ea"/>
              <a:cs typeface="+mn-cs"/>
            </a:rPr>
            <a:t>The adopted regulations have the following  features: </a:t>
          </a:r>
        </a:p>
        <a:p>
          <a:pPr marL="171450" indent="-171450">
            <a:buFont typeface="Arial" panose="020B0604020202020204" pitchFamily="34" charset="0"/>
            <a:buChar char="•"/>
          </a:pPr>
          <a:r>
            <a:rPr lang="en-US" sz="1200" b="0" i="0">
              <a:effectLst/>
              <a:latin typeface="Calibri" panose="020F0502020204030204" pitchFamily="34" charset="0"/>
              <a:ea typeface="+mn-ea"/>
              <a:cs typeface="+mn-cs"/>
            </a:rPr>
            <a:t> A $65 (nominal) price ceiling value in 2021. </a:t>
          </a:r>
        </a:p>
        <a:p>
          <a:pPr marL="171450" lvl="0" indent="-171450">
            <a:buFont typeface="Arial" panose="020B0604020202020204" pitchFamily="34" charset="0"/>
            <a:buChar char="•"/>
          </a:pPr>
          <a:r>
            <a:rPr lang="en-US" sz="1200" b="0" i="0">
              <a:effectLst/>
              <a:latin typeface="Calibri" panose="020F0502020204030204" pitchFamily="34" charset="0"/>
              <a:ea typeface="+mn-ea"/>
              <a:cs typeface="+mn-cs"/>
            </a:rPr>
            <a:t>A new post-2020 Reserve Tier 1 price fixed at the halfway point of the Auction Reserve Price (floor price) and price ceiling in all years ($41.40 in 2021). </a:t>
          </a:r>
        </a:p>
        <a:p>
          <a:pPr marL="171450" lvl="0" indent="-171450">
            <a:buFont typeface="Arial" panose="020B0604020202020204" pitchFamily="34" charset="0"/>
            <a:buChar char="•"/>
          </a:pPr>
          <a:r>
            <a:rPr lang="en-US" sz="1200" b="0" i="0">
              <a:effectLst/>
              <a:latin typeface="Calibri" panose="020F0502020204030204" pitchFamily="34" charset="0"/>
              <a:ea typeface="+mn-ea"/>
              <a:cs typeface="+mn-cs"/>
            </a:rPr>
            <a:t>A new post-2020 Reserve Tier 2 price fixed at the three-quarter point of the Auction Reserve Price and the price ceiling in all years ($53.2 in 2021). </a:t>
          </a:r>
        </a:p>
        <a:p>
          <a:pPr marL="171450" lvl="0" indent="-171450">
            <a:buFont typeface="Arial" panose="020B0604020202020204" pitchFamily="34" charset="0"/>
            <a:buChar char="•"/>
          </a:pPr>
          <a:r>
            <a:rPr lang="en-US" sz="1200" b="0" i="0">
              <a:effectLst/>
              <a:latin typeface="Calibri" panose="020F0502020204030204" pitchFamily="34" charset="0"/>
              <a:ea typeface="+mn-ea"/>
              <a:cs typeface="+mn-cs"/>
            </a:rPr>
            <a:t>After 2021, tier prices and the price ceiling escalate annually at 5 percent plus inflation. The Auction Reserve Price, currently $15.62, escalates at the same rate.</a:t>
          </a:r>
        </a:p>
        <a:p>
          <a:r>
            <a:rPr lang="en-US" sz="1200" b="0" i="0">
              <a:effectLst/>
              <a:latin typeface="Calibri" panose="020F0502020204030204" pitchFamily="34" charset="0"/>
              <a:ea typeface="+mn-ea"/>
              <a:cs typeface="+mn-cs"/>
            </a:rPr>
            <a:t>When prices reach a given tier price, regulated entities may purchase from a pool of allowances set aside for that tier.  The regulation reallocates allowances from the current reserve to each tier and to the price ceiling. If prices reach the ceiling, CARB must make unlimited allowances available</a:t>
          </a:r>
          <a:r>
            <a:rPr lang="en-US" sz="1100" b="0" i="0">
              <a:effectLst/>
              <a:latin typeface="+mn-lt"/>
              <a:ea typeface="+mn-ea"/>
              <a:cs typeface="+mn-cs"/>
            </a:rPr>
            <a:t>available at </a:t>
          </a:r>
          <a:r>
            <a:rPr lang="en-US" sz="1200" b="0" i="0">
              <a:effectLst/>
              <a:latin typeface="+mn-lt"/>
              <a:ea typeface="+mn-ea"/>
              <a:cs typeface="+mn-cs"/>
            </a:rPr>
            <a:t>the price ceiling, although CARB has indicated it believes the price ceiling is extremely unlikely to be reached</a:t>
          </a:r>
          <a:r>
            <a:rPr lang="en-US" sz="1200" b="0" i="0">
              <a:effectLst/>
              <a:latin typeface="Calibri" panose="020F0502020204030204" pitchFamily="34" charset="0"/>
              <a:ea typeface="+mn-ea"/>
              <a:cs typeface="+mn-cs"/>
            </a:rPr>
            <a:t>. Meanwhile, a</a:t>
          </a:r>
          <a:r>
            <a:rPr lang="en-US" sz="1200" b="0" i="0" baseline="0">
              <a:effectLst/>
              <a:latin typeface="Calibri" panose="020F0502020204030204" pitchFamily="34" charset="0"/>
              <a:ea typeface="+mn-ea"/>
              <a:cs typeface="+mn-cs"/>
            </a:rPr>
            <a:t> greater supply of</a:t>
          </a:r>
          <a:r>
            <a:rPr lang="en-US" sz="1200" b="0" i="0">
              <a:effectLst/>
              <a:latin typeface="Calibri" panose="020F0502020204030204" pitchFamily="34" charset="0"/>
              <a:ea typeface="+mn-ea"/>
              <a:cs typeface="+mn-cs"/>
            </a:rPr>
            <a:t> allowances at Tier 1 and Tier 2 will slow price increases at those levels. For the </a:t>
          </a:r>
          <a:r>
            <a:rPr lang="en-US" sz="1200" b="0" i="1">
              <a:effectLst/>
              <a:latin typeface="Calibri" panose="020F0502020204030204" pitchFamily="34" charset="0"/>
              <a:ea typeface="+mn-ea"/>
              <a:cs typeface="+mn-cs"/>
            </a:rPr>
            <a:t>2019 IEPR </a:t>
          </a:r>
          <a:r>
            <a:rPr lang="en-US" sz="1200" b="0" i="0">
              <a:effectLst/>
              <a:latin typeface="Calibri" panose="020F0502020204030204" pitchFamily="34" charset="0"/>
              <a:ea typeface="+mn-ea"/>
              <a:cs typeface="+mn-cs"/>
            </a:rPr>
            <a:t>scenarios, therefore, staff uses the Tier 2 price in 2030 for the low</a:t>
          </a:r>
          <a:r>
            <a:rPr lang="en-US" sz="1200" b="0" i="0" baseline="0">
              <a:effectLst/>
              <a:latin typeface="Calibri" panose="020F0502020204030204" pitchFamily="34" charset="0"/>
              <a:ea typeface="+mn-ea"/>
              <a:cs typeface="+mn-cs"/>
            </a:rPr>
            <a:t> demand (high price)</a:t>
          </a:r>
          <a:r>
            <a:rPr lang="en-US" sz="1200" b="0" i="0">
              <a:effectLst/>
              <a:latin typeface="Calibri" panose="020F0502020204030204" pitchFamily="34" charset="0"/>
              <a:ea typeface="+mn-ea"/>
              <a:cs typeface="+mn-cs"/>
            </a:rPr>
            <a:t> case, the Tier 1 price for</a:t>
          </a:r>
          <a:r>
            <a:rPr lang="en-US" sz="1200" b="0" i="0" baseline="0">
              <a:effectLst/>
              <a:latin typeface="Calibri" panose="020F0502020204030204" pitchFamily="34" charset="0"/>
              <a:ea typeface="+mn-ea"/>
              <a:cs typeface="+mn-cs"/>
            </a:rPr>
            <a:t> the mid case</a:t>
          </a:r>
          <a:r>
            <a:rPr lang="en-US" sz="1200" b="0" i="0">
              <a:effectLst/>
              <a:latin typeface="Calibri" panose="020F0502020204030204" pitchFamily="34" charset="0"/>
              <a:ea typeface="+mn-ea"/>
              <a:cs typeface="+mn-cs"/>
            </a:rPr>
            <a:t>, and continue to use the Auction Reserve Price in the high demand (low price) case.</a:t>
          </a:r>
          <a:endParaRPr lang="en-US" sz="12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Because credits are bankable over time, economic theory predicts that the price in any given year will equal the present discounted value of the final equilibrium price, so in the low consumption case, prices increase at the rate which produces a final nominal price of $108. In the high consumption (low price) scenario, prices are assumed to stay at the auction reserve price, which escalates at the rate of the auction reserve price (Consumer Price Index +5%). In the mid case, the prices are escalated  to reach the Tier 1 price  by 2030.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Sources: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The quarterly posted GHG auction price results: </a:t>
          </a:r>
          <a:r>
            <a:rPr kumimoji="0" lang="en-US" sz="121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http://www.arb.ca.gov/cc/capandtrade/auction/auction.htm.  All prices are in USD.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1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2019 IEPR </a:t>
          </a:r>
          <a:r>
            <a:rPr kumimoji="0" lang="en-US" sz="121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Deflator Series, using Moody's Analytics, January 2019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1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CARB </a:t>
          </a:r>
          <a:r>
            <a:rPr lang="en-US" sz="1210" b="0" i="1">
              <a:effectLst/>
              <a:latin typeface="Calibri" panose="020F0502020204030204" pitchFamily="34" charset="0"/>
              <a:ea typeface="+mn-ea"/>
              <a:cs typeface="+mn-cs"/>
            </a:rPr>
            <a:t>California Cap on Greenhouse Gas Emissions and Market-Based Compliance Mechanisms Regulation</a:t>
          </a:r>
          <a:r>
            <a:rPr lang="en-US" sz="1210" b="0" i="0">
              <a:effectLst/>
              <a:latin typeface="Calibri" panose="020F0502020204030204" pitchFamily="34" charset="0"/>
              <a:ea typeface="+mn-ea"/>
              <a:cs typeface="+mn-cs"/>
            </a:rPr>
            <a:t>,</a:t>
          </a:r>
          <a:r>
            <a:rPr lang="en-US" sz="1210" b="0" i="0" baseline="0">
              <a:effectLst/>
              <a:latin typeface="Calibri" panose="020F0502020204030204" pitchFamily="34" charset="0"/>
              <a:ea typeface="+mn-ea"/>
              <a:cs typeface="+mn-cs"/>
            </a:rPr>
            <a:t> </a:t>
          </a:r>
          <a:r>
            <a:rPr kumimoji="0" lang="en-US" sz="121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https://www.arb.ca.gov/regact/2018/capandtrade18/capandtrade18.htm.</a:t>
          </a:r>
        </a:p>
        <a:p>
          <a:pPr marL="0" marR="0" lvl="0" indent="0" defTabSz="914400" eaLnBrk="1" fontAlgn="auto" latinLnBrk="0" hangingPunct="1">
            <a:lnSpc>
              <a:spcPct val="100000"/>
            </a:lnSpc>
            <a:spcBef>
              <a:spcPts val="0"/>
            </a:spcBef>
            <a:spcAft>
              <a:spcPts val="0"/>
            </a:spcAft>
            <a:buClrTx/>
            <a:buSzTx/>
            <a:buFontTx/>
            <a:buNone/>
            <a:tabLst/>
            <a:defRPr/>
          </a:pPr>
          <a:r>
            <a:rPr lang="en-US" sz="1210" b="0" i="1" baseline="0">
              <a:effectLst/>
              <a:latin typeface="Calibri" panose="020F0502020204030204" pitchFamily="34" charset="0"/>
              <a:ea typeface="+mn-ea"/>
              <a:cs typeface="+mn-cs"/>
            </a:rPr>
            <a:t>Staff Report: Initial Statement of Reasons</a:t>
          </a:r>
          <a:r>
            <a:rPr lang="en-US" sz="1210" b="0" i="0" baseline="0">
              <a:effectLst/>
              <a:latin typeface="Calibri" panose="020F0502020204030204" pitchFamily="34" charset="0"/>
              <a:ea typeface="+mn-ea"/>
              <a:cs typeface="+mn-cs"/>
            </a:rPr>
            <a:t>, September 4, 2018,  https://www.arb.ca.gov/regact/2018/capandtrade18/ct18isor.pdf</a:t>
          </a:r>
          <a:endParaRPr lang="en-US" sz="121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Key Caveats: </a:t>
          </a:r>
          <a:r>
            <a:rPr lang="en-US" sz="1200" b="0" i="0">
              <a:effectLst/>
              <a:latin typeface="Calibri" panose="020F0502020204030204" pitchFamily="34" charset="0"/>
              <a:ea typeface="+mn-ea"/>
              <a:cs typeface="+mn-cs"/>
            </a:rPr>
            <a:t>Because of the many non-market policies that affect California emissions and abatement, emissions uncertainty is very large and increases the probability that prices will be near the floor or ceiling. For an analysis of this issue under the previously adopted CARB regulations, see "</a:t>
          </a:r>
          <a:r>
            <a:rPr lang="en-US" sz="1200" b="0" i="0">
              <a:latin typeface="Calibri" panose="020F0502020204030204" pitchFamily="34" charset="0"/>
            </a:rPr>
            <a:t>Expecting the Unexpected: Emissions Uncertainty and Environmental Market Design", Borenstein,</a:t>
          </a:r>
          <a:r>
            <a:rPr lang="en-US" sz="1200" b="0" i="0" baseline="0">
              <a:latin typeface="Calibri" panose="020F0502020204030204" pitchFamily="34" charset="0"/>
            </a:rPr>
            <a:t> Bushell et al., June 2018, </a:t>
          </a:r>
          <a:r>
            <a:rPr lang="en-US" sz="1200" b="0" i="0">
              <a:effectLst/>
              <a:latin typeface="Calibri" panose="020F0502020204030204" pitchFamily="34" charset="0"/>
              <a:ea typeface="+mn-ea"/>
              <a:cs typeface="+mn-cs"/>
            </a:rPr>
            <a:t>https://ei.haas.berkeley.edu/research/papers/WP274.pdf.</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Major Updates:</a:t>
          </a:r>
          <a:endParaRPr lang="en-US" sz="1200" b="1" i="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This is the first version modeling revised regulations per AB 398 and incorporates  comments received from CARB 3/12/2019. Previous carbon prices forecast are documented in https://efiling.energy.ca.gov/GetDocument.aspx?tn=222145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Author</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a:t>
          </a:r>
        </a:p>
        <a:p>
          <a:pPr eaLnBrk="1" fontAlgn="auto" latinLnBrk="0" hangingPunct="1"/>
          <a:r>
            <a:rPr lang="en-US" sz="1100" b="0" i="0" baseline="0">
              <a:effectLst/>
              <a:latin typeface="+mn-lt"/>
              <a:ea typeface="+mn-ea"/>
              <a:cs typeface="+mn-cs"/>
            </a:rPr>
            <a:t>Lynn Marshall, Energy Assessments Division, 916-654-4767. Lynn.Marshall@energy.ca.gov </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tabSelected="1" topLeftCell="B1" zoomScale="90" zoomScaleNormal="90" workbookViewId="0">
      <selection activeCell="N34" sqref="N34"/>
    </sheetView>
  </sheetViews>
  <sheetFormatPr defaultRowHeight="15" x14ac:dyDescent="0.25"/>
  <cols>
    <col min="1" max="1" width="2.42578125" hidden="1" customWidth="1"/>
  </cols>
  <sheetData>
    <row r="1" spans="2:2" x14ac:dyDescent="0.25">
      <c r="B1" t="s">
        <v>0</v>
      </c>
    </row>
    <row r="2" spans="2:2" x14ac:dyDescent="0.25">
      <c r="B2" t="s">
        <v>1</v>
      </c>
    </row>
  </sheetData>
  <pageMargins left="0.7" right="0.7"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zoomScale="70" zoomScaleNormal="70" workbookViewId="0">
      <selection activeCell="A17" sqref="A17"/>
    </sheetView>
  </sheetViews>
  <sheetFormatPr defaultRowHeight="15" x14ac:dyDescent="0.25"/>
  <cols>
    <col min="1" max="1" width="39.28515625" customWidth="1"/>
    <col min="2" max="2" width="10" customWidth="1"/>
    <col min="3" max="3" width="8.42578125" customWidth="1"/>
    <col min="4" max="4" width="9.5703125" customWidth="1"/>
    <col min="5" max="8" width="9.140625" customWidth="1"/>
    <col min="9" max="9" width="11" customWidth="1"/>
    <col min="10" max="10" width="10.140625" customWidth="1"/>
    <col min="11" max="11" width="11.42578125" customWidth="1"/>
    <col min="12" max="14" width="11" customWidth="1"/>
    <col min="15" max="15" width="11.42578125" customWidth="1"/>
    <col min="16" max="16" width="11" customWidth="1"/>
    <col min="17" max="17" width="12.5703125" customWidth="1"/>
    <col min="18" max="18" width="11.42578125" customWidth="1"/>
    <col min="19" max="19" width="13.42578125" customWidth="1"/>
    <col min="20" max="20" width="6.85546875" customWidth="1"/>
    <col min="21" max="21" width="9.7109375" customWidth="1"/>
  </cols>
  <sheetData>
    <row r="1" spans="1:20" x14ac:dyDescent="0.25">
      <c r="F1" s="1"/>
      <c r="G1" s="1"/>
      <c r="H1" s="2"/>
      <c r="I1" s="1"/>
      <c r="J1" s="1"/>
      <c r="K1" s="1"/>
      <c r="L1" s="1"/>
      <c r="M1" s="1"/>
      <c r="N1" s="1"/>
      <c r="O1" s="1"/>
      <c r="P1" s="1"/>
      <c r="Q1" s="1"/>
      <c r="R1" s="1"/>
      <c r="S1" s="1"/>
    </row>
    <row r="2" spans="1:20" x14ac:dyDescent="0.25">
      <c r="A2" s="3"/>
      <c r="F2" s="4"/>
      <c r="G2" s="4"/>
      <c r="H2" s="4"/>
      <c r="I2" s="4"/>
      <c r="J2" s="4"/>
      <c r="K2" s="4"/>
      <c r="L2" s="4"/>
      <c r="M2" s="4"/>
      <c r="N2" s="4"/>
      <c r="O2" s="4"/>
      <c r="P2" s="4"/>
      <c r="Q2" s="4"/>
      <c r="R2" s="4"/>
      <c r="S2" s="4"/>
    </row>
    <row r="3" spans="1:20" ht="23.25" customHeight="1" x14ac:dyDescent="0.3">
      <c r="A3" s="62" t="s">
        <v>2</v>
      </c>
      <c r="F3" s="5"/>
      <c r="G3" s="5"/>
      <c r="H3" s="5"/>
      <c r="I3" s="5"/>
      <c r="J3" s="5"/>
      <c r="K3" s="5"/>
      <c r="L3" s="5"/>
      <c r="M3" s="5"/>
      <c r="N3" s="5"/>
      <c r="O3" s="5"/>
      <c r="P3" s="5"/>
      <c r="Q3" s="5"/>
      <c r="R3" s="5"/>
      <c r="S3" s="5"/>
    </row>
    <row r="4" spans="1:20" ht="26.25" customHeight="1" x14ac:dyDescent="0.35">
      <c r="A4" s="66" t="s">
        <v>3</v>
      </c>
      <c r="B4" s="66"/>
      <c r="C4" s="66"/>
      <c r="D4" s="66"/>
      <c r="E4" s="66"/>
      <c r="F4" s="66"/>
      <c r="G4" s="66"/>
      <c r="H4" s="66"/>
      <c r="I4" s="66"/>
      <c r="J4" s="66"/>
      <c r="K4" s="66"/>
      <c r="L4" s="66"/>
      <c r="M4" s="66"/>
      <c r="N4" s="66"/>
      <c r="O4" s="66"/>
      <c r="P4" s="66"/>
      <c r="Q4" s="66"/>
      <c r="R4" s="66"/>
      <c r="S4" s="66"/>
    </row>
    <row r="5" spans="1:20" x14ac:dyDescent="0.25">
      <c r="B5">
        <v>2013</v>
      </c>
      <c r="C5">
        <v>2014</v>
      </c>
      <c r="D5">
        <v>2015</v>
      </c>
      <c r="E5">
        <v>2016</v>
      </c>
      <c r="F5">
        <v>2017</v>
      </c>
      <c r="G5">
        <v>2018</v>
      </c>
      <c r="H5">
        <v>2019</v>
      </c>
      <c r="I5">
        <v>2020</v>
      </c>
      <c r="J5">
        <v>2021</v>
      </c>
      <c r="K5">
        <v>2022</v>
      </c>
      <c r="L5">
        <v>2023</v>
      </c>
      <c r="M5">
        <v>2024</v>
      </c>
      <c r="N5">
        <v>2025</v>
      </c>
      <c r="O5">
        <v>2026</v>
      </c>
      <c r="P5">
        <v>2027</v>
      </c>
      <c r="Q5">
        <v>2028</v>
      </c>
      <c r="R5">
        <v>2029</v>
      </c>
      <c r="S5">
        <v>2030</v>
      </c>
    </row>
    <row r="6" spans="1:20" x14ac:dyDescent="0.25">
      <c r="A6" t="s">
        <v>22</v>
      </c>
      <c r="B6" s="6">
        <f>+B11</f>
        <v>12.766366054493103</v>
      </c>
      <c r="C6" s="6">
        <f t="shared" ref="C6:G6" si="0">+C11</f>
        <v>11.663986959374096</v>
      </c>
      <c r="D6" s="6">
        <f t="shared" si="0"/>
        <v>12.437281556525077</v>
      </c>
      <c r="E6" s="6">
        <f t="shared" si="0"/>
        <v>12.73</v>
      </c>
      <c r="F6" s="6">
        <f t="shared" si="0"/>
        <v>14.486740520427819</v>
      </c>
      <c r="G6" s="6">
        <f t="shared" si="0"/>
        <v>14.880124463738202</v>
      </c>
    </row>
    <row r="7" spans="1:20" s="48" customFormat="1" x14ac:dyDescent="0.25">
      <c r="A7" s="47" t="s">
        <v>67</v>
      </c>
      <c r="F7" s="47"/>
      <c r="G7" s="48">
        <f>+G6</f>
        <v>14.880124463738202</v>
      </c>
      <c r="H7" s="48">
        <f>+H12</f>
        <v>15.62</v>
      </c>
      <c r="I7" s="48">
        <f t="shared" ref="I7:S7" si="1">+I12</f>
        <v>16.75047024919888</v>
      </c>
      <c r="J7" s="48">
        <f t="shared" si="1"/>
        <v>17.955617695607756</v>
      </c>
      <c r="K7" s="48">
        <f t="shared" si="1"/>
        <v>19.255697519813431</v>
      </c>
      <c r="L7" s="48">
        <f t="shared" si="1"/>
        <v>20.643715329491251</v>
      </c>
      <c r="M7" s="48">
        <f t="shared" si="1"/>
        <v>22.141692558805019</v>
      </c>
      <c r="N7" s="48">
        <f t="shared" si="1"/>
        <v>23.735171317962433</v>
      </c>
      <c r="O7" s="48">
        <f t="shared" si="1"/>
        <v>25.441738841241875</v>
      </c>
      <c r="P7" s="48">
        <f t="shared" si="1"/>
        <v>27.283981743337719</v>
      </c>
      <c r="Q7" s="48">
        <f t="shared" si="1"/>
        <v>29.277114643788387</v>
      </c>
      <c r="R7" s="48">
        <f t="shared" si="1"/>
        <v>31.421499130727881</v>
      </c>
      <c r="S7" s="48">
        <f t="shared" si="1"/>
        <v>33.718151166221652</v>
      </c>
    </row>
    <row r="8" spans="1:20" s="48" customFormat="1" x14ac:dyDescent="0.25">
      <c r="A8" s="47" t="s">
        <v>68</v>
      </c>
      <c r="B8" s="47"/>
      <c r="F8" s="47"/>
      <c r="G8" s="47">
        <f>+G6</f>
        <v>14.880124463738202</v>
      </c>
      <c r="H8" s="47">
        <f t="shared" ref="H8:S8" si="2">MAX(EXP($E$45*(H$22-2018)+$F$45),H$7)</f>
        <v>17.078238000883548</v>
      </c>
      <c r="I8" s="47">
        <f t="shared" si="2"/>
        <v>19.601060053334411</v>
      </c>
      <c r="J8" s="47">
        <f t="shared" si="2"/>
        <v>22.496557033257471</v>
      </c>
      <c r="K8" s="47">
        <f t="shared" si="2"/>
        <v>25.819781020695999</v>
      </c>
      <c r="L8" s="47">
        <f t="shared" si="2"/>
        <v>29.63391646869092</v>
      </c>
      <c r="M8" s="47">
        <f t="shared" si="2"/>
        <v>34.011481529198456</v>
      </c>
      <c r="N8" s="47">
        <f t="shared" si="2"/>
        <v>39.035706840612185</v>
      </c>
      <c r="O8" s="47">
        <f t="shared" si="2"/>
        <v>44.802117991774765</v>
      </c>
      <c r="P8" s="47">
        <f t="shared" si="2"/>
        <v>51.420351749865439</v>
      </c>
      <c r="Q8" s="47">
        <f t="shared" si="2"/>
        <v>59.016240584101666</v>
      </c>
      <c r="R8" s="47">
        <f t="shared" si="2"/>
        <v>67.734205118300949</v>
      </c>
      <c r="S8" s="47">
        <f t="shared" si="2"/>
        <v>77.740000000000038</v>
      </c>
    </row>
    <row r="9" spans="1:20" s="48" customFormat="1" x14ac:dyDescent="0.25">
      <c r="A9" s="47" t="s">
        <v>69</v>
      </c>
      <c r="B9" s="47"/>
      <c r="F9" s="47"/>
      <c r="G9" s="47">
        <f>+G6</f>
        <v>14.880124463738202</v>
      </c>
      <c r="H9" s="47">
        <f t="shared" ref="H9:S9" si="3">MAX(EXP($E$51*(H$22-2018)+$F$51),H$7)</f>
        <v>17.438928921048078</v>
      </c>
      <c r="I9" s="47">
        <f t="shared" si="3"/>
        <v>20.437748531907577</v>
      </c>
      <c r="J9" s="47">
        <f t="shared" si="3"/>
        <v>23.952248841919484</v>
      </c>
      <c r="K9" s="47">
        <f t="shared" si="3"/>
        <v>28.071106936732896</v>
      </c>
      <c r="L9" s="47">
        <f t="shared" si="3"/>
        <v>32.898248922431705</v>
      </c>
      <c r="M9" s="47">
        <f t="shared" si="3"/>
        <v>38.555472165795685</v>
      </c>
      <c r="N9" s="47">
        <f t="shared" si="3"/>
        <v>45.18551845821365</v>
      </c>
      <c r="O9" s="47">
        <f t="shared" si="3"/>
        <v>52.955675644633367</v>
      </c>
      <c r="P9" s="47">
        <f t="shared" si="3"/>
        <v>62.061998593043953</v>
      </c>
      <c r="Q9" s="47">
        <f t="shared" si="3"/>
        <v>72.734256007048486</v>
      </c>
      <c r="R9" s="47">
        <f t="shared" si="3"/>
        <v>85.24172789839578</v>
      </c>
      <c r="S9" s="47">
        <f t="shared" si="3"/>
        <v>99.90000000000002</v>
      </c>
    </row>
    <row r="10" spans="1:20" s="11" customFormat="1" x14ac:dyDescent="0.25">
      <c r="A10"/>
      <c r="B10"/>
      <c r="C10"/>
      <c r="D10"/>
      <c r="E10"/>
      <c r="F10" s="9"/>
      <c r="G10" s="10"/>
      <c r="H10"/>
      <c r="I10"/>
      <c r="J10"/>
      <c r="K10"/>
      <c r="L10"/>
      <c r="M10"/>
      <c r="N10"/>
      <c r="O10"/>
      <c r="P10"/>
      <c r="Q10"/>
      <c r="R10"/>
      <c r="S10" s="9"/>
      <c r="T10"/>
    </row>
    <row r="11" spans="1:20" s="11" customFormat="1" ht="17.25" x14ac:dyDescent="0.25">
      <c r="A11" t="s">
        <v>4</v>
      </c>
      <c r="B11" s="8">
        <f>VLOOKUP(B$5,'Auction Data'!$E$32:$H$38,4,FALSE)</f>
        <v>12.766366054493103</v>
      </c>
      <c r="C11" s="8">
        <f>VLOOKUP(C$5,'Auction Data'!$E$32:$H$38,4,FALSE)</f>
        <v>11.663986959374096</v>
      </c>
      <c r="D11" s="8">
        <f>VLOOKUP(D$5,'Auction Data'!$E$32:$H$38,4,FALSE)</f>
        <v>12.437281556525077</v>
      </c>
      <c r="E11" s="8">
        <f>VLOOKUP(E$5,'Auction Data'!$E$32:$H$38,4,FALSE)</f>
        <v>12.73</v>
      </c>
      <c r="F11" s="8">
        <f>VLOOKUP(F$5,'Auction Data'!$E$32:$H$38,4,FALSE)</f>
        <v>14.486740520427819</v>
      </c>
      <c r="G11" s="8">
        <f>VLOOKUP(G$5,'Auction Data'!$E$32:$H$38,4,FALSE)</f>
        <v>14.880124463738202</v>
      </c>
      <c r="H11"/>
      <c r="I11" s="12"/>
      <c r="J11"/>
      <c r="K11"/>
      <c r="L11"/>
      <c r="M11"/>
      <c r="N11"/>
      <c r="O11"/>
      <c r="P11"/>
      <c r="Q11"/>
      <c r="R11"/>
      <c r="S11"/>
      <c r="T11"/>
    </row>
    <row r="12" spans="1:20" s="11" customFormat="1" ht="17.25" x14ac:dyDescent="0.25">
      <c r="A12" s="7" t="s">
        <v>24</v>
      </c>
      <c r="B12" s="61">
        <v>12.002742366814928</v>
      </c>
      <c r="C12" s="61">
        <v>11.663986959374096</v>
      </c>
      <c r="D12" s="61">
        <v>12.437281556525077</v>
      </c>
      <c r="E12" s="8">
        <v>12.73</v>
      </c>
      <c r="F12" s="8">
        <v>13.57</v>
      </c>
      <c r="G12" s="9">
        <v>14.53</v>
      </c>
      <c r="H12" s="13">
        <v>15.62</v>
      </c>
      <c r="I12" s="13">
        <f t="shared" ref="I12:S12" si="4">H12*(1+I18+0.05)</f>
        <v>16.75047024919888</v>
      </c>
      <c r="J12" s="13">
        <f t="shared" si="4"/>
        <v>17.955617695607756</v>
      </c>
      <c r="K12" s="13">
        <f t="shared" si="4"/>
        <v>19.255697519813431</v>
      </c>
      <c r="L12" s="13">
        <f t="shared" si="4"/>
        <v>20.643715329491251</v>
      </c>
      <c r="M12" s="13">
        <f t="shared" si="4"/>
        <v>22.141692558805019</v>
      </c>
      <c r="N12" s="13">
        <f t="shared" si="4"/>
        <v>23.735171317962433</v>
      </c>
      <c r="O12" s="13">
        <f t="shared" si="4"/>
        <v>25.441738841241875</v>
      </c>
      <c r="P12" s="13">
        <f t="shared" si="4"/>
        <v>27.283981743337719</v>
      </c>
      <c r="Q12" s="13">
        <f t="shared" si="4"/>
        <v>29.277114643788387</v>
      </c>
      <c r="R12" s="13">
        <f t="shared" si="4"/>
        <v>31.421499130727881</v>
      </c>
      <c r="S12" s="13">
        <f t="shared" si="4"/>
        <v>33.718151166221652</v>
      </c>
      <c r="T12"/>
    </row>
    <row r="13" spans="1:20" s="7" customFormat="1" ht="17.25" x14ac:dyDescent="0.25">
      <c r="A13" s="7" t="s">
        <v>5</v>
      </c>
      <c r="B13" s="14">
        <v>39</v>
      </c>
      <c r="C13" s="15">
        <v>40</v>
      </c>
      <c r="D13" s="15">
        <f>C13*(1.05+D$18)</f>
        <v>42.048372140182039</v>
      </c>
      <c r="E13" s="15">
        <f t="shared" ref="E13:I13" si="5">D13*(1.05+E$18)</f>
        <v>44.68547492413515</v>
      </c>
      <c r="F13" s="15">
        <f t="shared" si="5"/>
        <v>47.875418530426217</v>
      </c>
      <c r="G13" s="15">
        <f t="shared" si="5"/>
        <v>51.438016666128298</v>
      </c>
      <c r="H13" s="15">
        <f t="shared" si="5"/>
        <v>55.156426425894011</v>
      </c>
      <c r="I13" s="15">
        <f t="shared" si="5"/>
        <v>59.148276562039982</v>
      </c>
      <c r="J13" s="15">
        <v>65</v>
      </c>
      <c r="K13" s="15">
        <f>J13*(1.05+K$18)</f>
        <v>69.706337036460752</v>
      </c>
      <c r="L13" s="15">
        <f t="shared" ref="L13:S13" si="6">K13*(1.05+L$18)</f>
        <v>74.731012831998996</v>
      </c>
      <c r="M13" s="15">
        <f t="shared" si="6"/>
        <v>80.153745792570604</v>
      </c>
      <c r="N13" s="15">
        <f t="shared" si="6"/>
        <v>85.922197822520445</v>
      </c>
      <c r="O13" s="15">
        <f t="shared" si="6"/>
        <v>92.100035360256527</v>
      </c>
      <c r="P13" s="15">
        <f t="shared" si="6"/>
        <v>98.769022786153982</v>
      </c>
      <c r="Q13" s="15">
        <f t="shared" si="6"/>
        <v>105.98423758553037</v>
      </c>
      <c r="R13" s="15">
        <f t="shared" si="6"/>
        <v>113.74698872080114</v>
      </c>
      <c r="S13" s="15">
        <f t="shared" si="6"/>
        <v>122.06095401221032</v>
      </c>
    </row>
    <row r="14" spans="1:20" s="7" customFormat="1" x14ac:dyDescent="0.25">
      <c r="A14" s="7" t="s">
        <v>20</v>
      </c>
      <c r="B14" s="14"/>
      <c r="C14" s="15"/>
      <c r="D14" s="15"/>
      <c r="E14" s="15"/>
      <c r="F14" s="15"/>
      <c r="G14" s="15"/>
      <c r="H14" s="15"/>
      <c r="I14" s="15"/>
      <c r="J14" s="15">
        <v>41.4</v>
      </c>
      <c r="K14" s="15">
        <f t="shared" ref="K14:S16" si="7">J14*(1.05+K$18)</f>
        <v>44.397574666299612</v>
      </c>
      <c r="L14" s="15">
        <f t="shared" si="7"/>
        <v>47.597906634534738</v>
      </c>
      <c r="M14" s="15">
        <f t="shared" si="7"/>
        <v>51.05177039711419</v>
      </c>
      <c r="N14" s="15">
        <f t="shared" si="7"/>
        <v>54.725830613113011</v>
      </c>
      <c r="O14" s="15">
        <f t="shared" si="7"/>
        <v>58.66063790637876</v>
      </c>
      <c r="P14" s="15">
        <f t="shared" si="7"/>
        <v>62.908269897642676</v>
      </c>
      <c r="Q14" s="15">
        <f t="shared" si="7"/>
        <v>67.503806708322401</v>
      </c>
      <c r="R14" s="15">
        <f t="shared" si="7"/>
        <v>72.448082046787164</v>
      </c>
      <c r="S14" s="15">
        <f t="shared" si="7"/>
        <v>77.743438401623166</v>
      </c>
    </row>
    <row r="15" spans="1:20" s="7" customFormat="1" x14ac:dyDescent="0.25">
      <c r="A15" s="7" t="s">
        <v>21</v>
      </c>
      <c r="B15" s="14"/>
      <c r="C15" s="15"/>
      <c r="D15" s="15"/>
      <c r="E15" s="15"/>
      <c r="F15" s="15"/>
      <c r="G15" s="15"/>
      <c r="H15" s="15"/>
      <c r="I15" s="15"/>
      <c r="J15" s="15">
        <v>53.2</v>
      </c>
      <c r="K15" s="15">
        <f t="shared" si="7"/>
        <v>57.051955851380185</v>
      </c>
      <c r="L15" s="15">
        <f t="shared" si="7"/>
        <v>61.164459733266867</v>
      </c>
      <c r="M15" s="15">
        <f t="shared" si="7"/>
        <v>65.6027580948424</v>
      </c>
      <c r="N15" s="15">
        <f t="shared" si="7"/>
        <v>70.324014217816739</v>
      </c>
      <c r="O15" s="15">
        <f t="shared" si="7"/>
        <v>75.380336633317654</v>
      </c>
      <c r="P15" s="15">
        <f t="shared" si="7"/>
        <v>80.83864634189834</v>
      </c>
      <c r="Q15" s="15">
        <f t="shared" si="7"/>
        <v>86.744022146926383</v>
      </c>
      <c r="R15" s="15">
        <f t="shared" si="7"/>
        <v>93.097535383794153</v>
      </c>
      <c r="S15" s="15">
        <f t="shared" si="7"/>
        <v>99.902196206916742</v>
      </c>
    </row>
    <row r="16" spans="1:20" s="7" customFormat="1" x14ac:dyDescent="0.25">
      <c r="A16" s="7" t="s">
        <v>6</v>
      </c>
      <c r="B16" s="14"/>
      <c r="C16" s="15"/>
      <c r="D16" s="15"/>
      <c r="E16" s="15"/>
      <c r="F16" s="15"/>
      <c r="G16" s="15"/>
      <c r="H16" s="16"/>
      <c r="I16" s="15"/>
      <c r="J16" s="15">
        <v>65</v>
      </c>
      <c r="K16" s="15">
        <f t="shared" si="7"/>
        <v>69.706337036460752</v>
      </c>
      <c r="L16" s="15">
        <f t="shared" si="7"/>
        <v>74.731012831998996</v>
      </c>
      <c r="M16" s="15">
        <f t="shared" si="7"/>
        <v>80.153745792570604</v>
      </c>
      <c r="N16" s="15">
        <f t="shared" si="7"/>
        <v>85.922197822520445</v>
      </c>
      <c r="O16" s="15">
        <f t="shared" si="7"/>
        <v>92.100035360256527</v>
      </c>
      <c r="P16" s="15">
        <f t="shared" si="7"/>
        <v>98.769022786153982</v>
      </c>
      <c r="Q16" s="15">
        <f t="shared" si="7"/>
        <v>105.98423758553037</v>
      </c>
      <c r="R16" s="15">
        <f t="shared" si="7"/>
        <v>113.74698872080114</v>
      </c>
      <c r="S16" s="15">
        <f t="shared" si="7"/>
        <v>122.06095401221032</v>
      </c>
    </row>
    <row r="17" spans="1:21" s="7" customFormat="1" ht="32.25" x14ac:dyDescent="0.25">
      <c r="A17" s="63" t="s">
        <v>75</v>
      </c>
      <c r="B17" s="15">
        <v>0.92763611440200067</v>
      </c>
      <c r="C17" s="15">
        <v>0.94258788746466671</v>
      </c>
      <c r="D17" s="15">
        <v>0.94372776230032496</v>
      </c>
      <c r="E17" s="15">
        <v>0.95572813891805752</v>
      </c>
      <c r="F17" s="15">
        <v>0.97616790325644964</v>
      </c>
      <c r="G17" s="15">
        <v>1</v>
      </c>
      <c r="H17" s="15">
        <v>1.0222891355609802</v>
      </c>
      <c r="I17" s="15">
        <v>1.0451610714737716</v>
      </c>
      <c r="J17" s="15">
        <v>1.0680993065793707</v>
      </c>
      <c r="K17" s="15">
        <v>1.0920302693299795</v>
      </c>
      <c r="L17" s="15">
        <v>1.1161461048962857</v>
      </c>
      <c r="M17" s="15">
        <v>1.1413301049003555</v>
      </c>
      <c r="N17" s="15">
        <v>1.1664020935629495</v>
      </c>
      <c r="O17" s="15">
        <v>1.1919467272215869</v>
      </c>
      <c r="P17" s="15">
        <v>1.2186585622423309</v>
      </c>
      <c r="Q17" s="15">
        <v>1.2467503409222942</v>
      </c>
      <c r="R17" s="15">
        <v>1.2757302956519549</v>
      </c>
      <c r="S17" s="15">
        <v>1.3051891275684555</v>
      </c>
    </row>
    <row r="18" spans="1:21" s="7" customFormat="1" x14ac:dyDescent="0.25">
      <c r="A18" s="7" t="s">
        <v>7</v>
      </c>
      <c r="B18" s="17">
        <v>1.4647595320435247E-2</v>
      </c>
      <c r="C18" s="17">
        <f>+C17/B17-1</f>
        <v>1.6118144637247811E-2</v>
      </c>
      <c r="D18" s="17">
        <f t="shared" ref="D18:S18" si="8">+D17/C17-1</f>
        <v>1.2093035045508405E-3</v>
      </c>
      <c r="E18" s="17">
        <f t="shared" si="8"/>
        <v>1.2715930480292181E-2</v>
      </c>
      <c r="F18" s="17">
        <f t="shared" si="8"/>
        <v>2.1386588409473051E-2</v>
      </c>
      <c r="G18" s="17">
        <f t="shared" si="8"/>
        <v>2.4413931931225763E-2</v>
      </c>
      <c r="H18" s="17">
        <f t="shared" si="8"/>
        <v>2.2289135560980222E-2</v>
      </c>
      <c r="I18" s="17">
        <f t="shared" si="8"/>
        <v>2.2373255390453206E-2</v>
      </c>
      <c r="J18" s="17">
        <f t="shared" si="8"/>
        <v>2.1947081394118717E-2</v>
      </c>
      <c r="K18" s="17">
        <f t="shared" si="8"/>
        <v>2.2405185176319176E-2</v>
      </c>
      <c r="L18" s="17">
        <f t="shared" si="8"/>
        <v>2.2083486368104754E-2</v>
      </c>
      <c r="M18" s="17">
        <f t="shared" si="8"/>
        <v>2.2563354289902637E-2</v>
      </c>
      <c r="N18" s="17">
        <f t="shared" si="8"/>
        <v>2.1967341924081563E-2</v>
      </c>
      <c r="O18" s="17">
        <f t="shared" si="8"/>
        <v>2.1900366777126923E-2</v>
      </c>
      <c r="P18" s="17">
        <f t="shared" si="8"/>
        <v>2.2410259125430043E-2</v>
      </c>
      <c r="Q18" s="17">
        <f t="shared" si="8"/>
        <v>2.3051394008404058E-2</v>
      </c>
      <c r="R18" s="17">
        <f t="shared" si="8"/>
        <v>2.3244392865553687E-2</v>
      </c>
      <c r="S18" s="17">
        <f t="shared" si="8"/>
        <v>2.3091739701490477E-2</v>
      </c>
    </row>
    <row r="19" spans="1:21" x14ac:dyDescent="0.25">
      <c r="A19" s="7"/>
      <c r="B19" s="9"/>
      <c r="C19" s="9"/>
      <c r="D19" s="9"/>
      <c r="E19" s="9"/>
      <c r="F19" s="9"/>
      <c r="G19" s="9"/>
      <c r="H19" s="9"/>
      <c r="I19" s="9"/>
      <c r="J19" s="9"/>
      <c r="K19" s="9"/>
      <c r="L19" s="9"/>
      <c r="M19" s="9"/>
      <c r="N19" s="9"/>
      <c r="O19" s="9"/>
      <c r="P19" s="9"/>
      <c r="Q19" s="9"/>
      <c r="R19" s="9"/>
      <c r="S19" s="9"/>
      <c r="T19" s="9"/>
    </row>
    <row r="21" spans="1:21" ht="18" x14ac:dyDescent="0.35">
      <c r="A21" s="67" t="s">
        <v>8</v>
      </c>
      <c r="B21" s="67"/>
      <c r="C21" s="67"/>
      <c r="D21" s="67"/>
      <c r="E21" s="67"/>
      <c r="F21" s="67"/>
      <c r="G21" s="67"/>
      <c r="H21" s="67"/>
      <c r="I21" s="67"/>
      <c r="J21" s="67"/>
      <c r="K21" s="67"/>
      <c r="L21" s="67"/>
      <c r="M21" s="67"/>
      <c r="N21" s="67"/>
      <c r="O21" s="67"/>
      <c r="P21" s="67"/>
      <c r="Q21" s="67"/>
      <c r="R21" s="67"/>
      <c r="S21" s="67"/>
    </row>
    <row r="22" spans="1:21" x14ac:dyDescent="0.25">
      <c r="B22">
        <v>2013</v>
      </c>
      <c r="C22">
        <v>2014</v>
      </c>
      <c r="D22">
        <v>2015</v>
      </c>
      <c r="E22">
        <v>2016</v>
      </c>
      <c r="F22">
        <v>2017</v>
      </c>
      <c r="G22">
        <v>2018</v>
      </c>
      <c r="H22">
        <v>2019</v>
      </c>
      <c r="I22">
        <v>2020</v>
      </c>
      <c r="J22">
        <v>2021</v>
      </c>
      <c r="K22">
        <v>2022</v>
      </c>
      <c r="L22">
        <v>2023</v>
      </c>
      <c r="M22">
        <v>2024</v>
      </c>
      <c r="N22">
        <v>2025</v>
      </c>
      <c r="O22">
        <v>2026</v>
      </c>
      <c r="P22">
        <v>2027</v>
      </c>
      <c r="Q22">
        <v>2028</v>
      </c>
      <c r="R22">
        <v>2029</v>
      </c>
      <c r="S22">
        <v>2030</v>
      </c>
    </row>
    <row r="23" spans="1:21" x14ac:dyDescent="0.25">
      <c r="A23" s="7" t="str">
        <f>+A6</f>
        <v>Annual Average Auction Sale Price</v>
      </c>
      <c r="B23" s="18">
        <f t="shared" ref="B23:G23" si="9">+B11/B$31</f>
        <v>13.852969138898224</v>
      </c>
      <c r="C23" s="18">
        <f t="shared" si="9"/>
        <v>12.422027814468837</v>
      </c>
      <c r="D23" s="18">
        <f t="shared" si="9"/>
        <v>13.104890186466077</v>
      </c>
      <c r="E23" s="18">
        <f t="shared" si="9"/>
        <v>13.26843293236881</v>
      </c>
      <c r="F23" s="18">
        <f t="shared" si="9"/>
        <v>14.817928705676918</v>
      </c>
      <c r="G23" s="18">
        <f t="shared" si="9"/>
        <v>14.880124463738202</v>
      </c>
    </row>
    <row r="24" spans="1:21" x14ac:dyDescent="0.25">
      <c r="A24" s="7" t="str">
        <f>+A7</f>
        <v>Low Price (High Demand Scenario)</v>
      </c>
      <c r="C24" s="18"/>
      <c r="D24" s="18"/>
      <c r="E24" s="18"/>
      <c r="F24" s="18"/>
      <c r="G24" s="18">
        <f>+G23</f>
        <v>14.880124463738202</v>
      </c>
      <c r="H24" s="18">
        <f t="shared" ref="H24:S24" si="10">+H7/H$31</f>
        <v>15.256603084627249</v>
      </c>
      <c r="I24" s="18">
        <f t="shared" si="10"/>
        <v>16.048714929117846</v>
      </c>
      <c r="J24" s="18">
        <f t="shared" si="10"/>
        <v>16.868746278328516</v>
      </c>
      <c r="K24" s="18">
        <f t="shared" si="10"/>
        <v>17.73357459136577</v>
      </c>
      <c r="L24" s="18">
        <f t="shared" si="10"/>
        <v>18.651841874084159</v>
      </c>
      <c r="M24" s="18">
        <f t="shared" si="10"/>
        <v>19.624250211404028</v>
      </c>
      <c r="N24" s="18">
        <f t="shared" si="10"/>
        <v>20.642055918956927</v>
      </c>
      <c r="O24" s="18">
        <f t="shared" si="10"/>
        <v>21.714550100929262</v>
      </c>
      <c r="P24" s="18">
        <f t="shared" si="10"/>
        <v>22.850272953600264</v>
      </c>
      <c r="Q24" s="18">
        <f t="shared" si="10"/>
        <v>24.060231546900049</v>
      </c>
      <c r="R24" s="18">
        <f t="shared" si="10"/>
        <v>25.333885069914711</v>
      </c>
      <c r="S24" s="18">
        <f t="shared" si="10"/>
        <v>26.676119286782896</v>
      </c>
      <c r="T24" s="19"/>
    </row>
    <row r="25" spans="1:21" x14ac:dyDescent="0.25">
      <c r="A25" s="7" t="str">
        <f t="shared" ref="A25:A26" si="11">+A8</f>
        <v>Mid Price (Mid Demand Scenario)</v>
      </c>
      <c r="B25" s="18"/>
      <c r="C25" s="18"/>
      <c r="D25" s="18"/>
      <c r="E25" s="18"/>
      <c r="F25" s="18"/>
      <c r="G25" s="18"/>
      <c r="H25" s="18">
        <f t="shared" ref="H25:S25" si="12">+H8/H$31</f>
        <v>16.680915401042142</v>
      </c>
      <c r="I25" s="18">
        <f t="shared" si="12"/>
        <v>18.779880231692502</v>
      </c>
      <c r="J25" s="18">
        <f t="shared" si="12"/>
        <v>21.134818036518812</v>
      </c>
      <c r="K25" s="18">
        <f t="shared" si="12"/>
        <v>23.778780913654437</v>
      </c>
      <c r="L25" s="18">
        <f t="shared" si="12"/>
        <v>26.774595331404573</v>
      </c>
      <c r="M25" s="18">
        <f t="shared" si="12"/>
        <v>30.144480681270874</v>
      </c>
      <c r="N25" s="18">
        <f t="shared" si="12"/>
        <v>33.948659255310524</v>
      </c>
      <c r="O25" s="18">
        <f t="shared" si="12"/>
        <v>38.238653491053981</v>
      </c>
      <c r="P25" s="18">
        <f t="shared" si="12"/>
        <v>43.064428202143532</v>
      </c>
      <c r="Q25" s="18">
        <f t="shared" si="12"/>
        <v>48.500148691473257</v>
      </c>
      <c r="R25" s="18">
        <f t="shared" si="12"/>
        <v>54.611352584733105</v>
      </c>
      <c r="S25" s="18">
        <f t="shared" si="12"/>
        <v>61.504010203027008</v>
      </c>
      <c r="T25" s="9"/>
    </row>
    <row r="26" spans="1:21" x14ac:dyDescent="0.25">
      <c r="A26" s="7" t="str">
        <f t="shared" si="11"/>
        <v>High Price (Low Demand Scenario)</v>
      </c>
      <c r="B26" s="18"/>
      <c r="C26" s="18"/>
      <c r="D26" s="18"/>
      <c r="E26" s="18"/>
      <c r="F26" s="18"/>
      <c r="G26" s="18"/>
      <c r="H26" s="18">
        <f t="shared" ref="H26:S26" si="13">+H9/H$31</f>
        <v>17.033214902013921</v>
      </c>
      <c r="I26" s="18">
        <f t="shared" si="13"/>
        <v>19.58151592772559</v>
      </c>
      <c r="J26" s="18">
        <f t="shared" si="13"/>
        <v>22.502395370589998</v>
      </c>
      <c r="K26" s="18">
        <f t="shared" si="13"/>
        <v>25.852144188105271</v>
      </c>
      <c r="L26" s="18">
        <f t="shared" si="13"/>
        <v>29.723958456201874</v>
      </c>
      <c r="M26" s="18">
        <f t="shared" si="13"/>
        <v>34.17183355748088</v>
      </c>
      <c r="N26" s="18">
        <f t="shared" si="13"/>
        <v>39.297040929114175</v>
      </c>
      <c r="O26" s="18">
        <f t="shared" si="13"/>
        <v>45.197723280215101</v>
      </c>
      <c r="P26" s="18">
        <f t="shared" si="13"/>
        <v>51.976783346268498</v>
      </c>
      <c r="Q26" s="18">
        <f t="shared" si="13"/>
        <v>59.773753739506013</v>
      </c>
      <c r="R26" s="18">
        <f t="shared" si="13"/>
        <v>68.726960758758551</v>
      </c>
      <c r="S26" s="18">
        <f t="shared" si="13"/>
        <v>79.035896826375051</v>
      </c>
      <c r="T26" s="9"/>
      <c r="U26" s="18"/>
    </row>
    <row r="27" spans="1:21" x14ac:dyDescent="0.25">
      <c r="A27" s="7" t="s">
        <v>9</v>
      </c>
      <c r="B27" s="18">
        <f t="shared" ref="B27:S27" si="14">+B12/B$31</f>
        <v>13.024349989644366</v>
      </c>
      <c r="C27" s="18">
        <f t="shared" si="14"/>
        <v>12.422027814468837</v>
      </c>
      <c r="D27" s="18">
        <f t="shared" si="14"/>
        <v>13.104890186466077</v>
      </c>
      <c r="E27" s="18">
        <f t="shared" si="14"/>
        <v>13.26843293236881</v>
      </c>
      <c r="F27" s="18">
        <f t="shared" si="14"/>
        <v>13.880230149252204</v>
      </c>
      <c r="G27" s="18">
        <f t="shared" si="14"/>
        <v>14.53</v>
      </c>
      <c r="H27" s="18">
        <f t="shared" si="14"/>
        <v>15.256603084627249</v>
      </c>
      <c r="I27" s="18">
        <f t="shared" si="14"/>
        <v>16.048714929117846</v>
      </c>
      <c r="J27" s="18">
        <f t="shared" si="14"/>
        <v>16.868746278328516</v>
      </c>
      <c r="K27" s="18">
        <f t="shared" si="14"/>
        <v>17.73357459136577</v>
      </c>
      <c r="L27" s="18">
        <f t="shared" si="14"/>
        <v>18.651841874084159</v>
      </c>
      <c r="M27" s="18">
        <f t="shared" si="14"/>
        <v>19.624250211404028</v>
      </c>
      <c r="N27" s="18">
        <f t="shared" si="14"/>
        <v>20.642055918956927</v>
      </c>
      <c r="O27" s="18">
        <f t="shared" si="14"/>
        <v>21.714550100929262</v>
      </c>
      <c r="P27" s="18">
        <f t="shared" si="14"/>
        <v>22.850272953600264</v>
      </c>
      <c r="Q27" s="18">
        <f t="shared" si="14"/>
        <v>24.060231546900049</v>
      </c>
      <c r="R27" s="18">
        <f t="shared" si="14"/>
        <v>25.333885069914711</v>
      </c>
      <c r="S27" s="18">
        <f t="shared" si="14"/>
        <v>26.676119286782896</v>
      </c>
    </row>
    <row r="28" spans="1:21" x14ac:dyDescent="0.25">
      <c r="A28" s="7"/>
      <c r="C28" s="18"/>
      <c r="D28" s="18"/>
      <c r="E28" s="18"/>
      <c r="F28" s="18"/>
      <c r="G28" s="18"/>
      <c r="H28" s="18"/>
      <c r="I28" s="18"/>
      <c r="J28" s="18"/>
      <c r="K28" s="18"/>
      <c r="L28" s="18"/>
      <c r="M28" s="18"/>
      <c r="N28" s="18"/>
      <c r="O28" s="18"/>
      <c r="P28" s="18"/>
      <c r="Q28" s="18"/>
      <c r="R28" s="18"/>
      <c r="S28" s="18"/>
    </row>
    <row r="29" spans="1:21" x14ac:dyDescent="0.25">
      <c r="A29" s="7"/>
      <c r="C29" s="18"/>
      <c r="D29" s="18"/>
      <c r="E29" s="18"/>
      <c r="F29" s="18"/>
      <c r="G29" s="18"/>
      <c r="H29" s="18"/>
      <c r="I29" s="18"/>
      <c r="J29" s="18"/>
      <c r="K29" s="18"/>
      <c r="L29" s="18"/>
      <c r="M29" s="18"/>
      <c r="N29" s="18"/>
      <c r="O29" s="18"/>
      <c r="P29" s="18"/>
      <c r="Q29" s="18"/>
      <c r="R29" s="18"/>
      <c r="S29" s="18"/>
    </row>
    <row r="30" spans="1:21" x14ac:dyDescent="0.25">
      <c r="A30" s="7" t="s">
        <v>10</v>
      </c>
      <c r="B30" s="18">
        <f t="shared" ref="B30:S30" si="15">+B13/B$31</f>
        <v>42.31946617470561</v>
      </c>
      <c r="C30" s="18">
        <f t="shared" si="15"/>
        <v>42.599594316197411</v>
      </c>
      <c r="D30" s="18">
        <f t="shared" si="15"/>
        <v>44.305445439373266</v>
      </c>
      <c r="E30" s="18">
        <f t="shared" si="15"/>
        <v>46.575508804551099</v>
      </c>
      <c r="F30" s="18">
        <f t="shared" si="15"/>
        <v>48.96992097966762</v>
      </c>
      <c r="G30" s="18">
        <f t="shared" si="15"/>
        <v>51.438016666128298</v>
      </c>
      <c r="H30" s="18">
        <f t="shared" si="15"/>
        <v>53.873220585551252</v>
      </c>
      <c r="I30" s="18">
        <f t="shared" si="15"/>
        <v>56.670279399362059</v>
      </c>
      <c r="J30" s="18">
        <f t="shared" si="15"/>
        <v>61.06548528038487</v>
      </c>
      <c r="K30" s="18">
        <f t="shared" si="15"/>
        <v>64.196195752192935</v>
      </c>
      <c r="L30" s="18">
        <f t="shared" si="15"/>
        <v>67.520357270250656</v>
      </c>
      <c r="M30" s="18">
        <f t="shared" si="15"/>
        <v>71.040511407930524</v>
      </c>
      <c r="N30" s="18">
        <f t="shared" si="15"/>
        <v>74.725005704504994</v>
      </c>
      <c r="O30" s="18">
        <f t="shared" si="15"/>
        <v>78.607474300684487</v>
      </c>
      <c r="P30" s="18">
        <f t="shared" si="15"/>
        <v>82.718833022789227</v>
      </c>
      <c r="Q30" s="18">
        <f t="shared" si="15"/>
        <v>87.098927870972844</v>
      </c>
      <c r="R30" s="18">
        <f t="shared" si="15"/>
        <v>91.709600719961173</v>
      </c>
      <c r="S30" s="18">
        <f t="shared" si="15"/>
        <v>96.568538216596224</v>
      </c>
    </row>
    <row r="31" spans="1:21" ht="18.75" customHeight="1" x14ac:dyDescent="0.25">
      <c r="A31" t="s">
        <v>25</v>
      </c>
      <c r="B31">
        <v>0.92156171911521756</v>
      </c>
      <c r="C31" s="49">
        <v>0.93897607810765038</v>
      </c>
      <c r="D31" s="49">
        <v>0.94905652619428549</v>
      </c>
      <c r="E31" s="49">
        <v>0.95942000572989417</v>
      </c>
      <c r="F31" s="49">
        <v>0.97764949529537037</v>
      </c>
      <c r="G31" s="49">
        <v>1</v>
      </c>
      <c r="H31" s="49">
        <v>1.0238189925605992</v>
      </c>
      <c r="I31" s="49">
        <v>1.0437265739456689</v>
      </c>
      <c r="J31" s="49">
        <v>1.0644310726681305</v>
      </c>
      <c r="K31" s="49">
        <v>1.0858328319880168</v>
      </c>
      <c r="L31" s="49">
        <v>1.1067923194317182</v>
      </c>
      <c r="M31" s="49">
        <v>1.1282822181882932</v>
      </c>
      <c r="N31" s="49">
        <v>1.1498453163361939</v>
      </c>
      <c r="O31" s="49">
        <v>1.1716447599875952</v>
      </c>
      <c r="P31" s="49">
        <v>1.1940330777991379</v>
      </c>
      <c r="Q31" s="49">
        <v>1.2168259722155703</v>
      </c>
      <c r="R31" s="49">
        <v>1.2402953216221275</v>
      </c>
      <c r="S31" s="49">
        <v>1.2639826207002995</v>
      </c>
      <c r="T31" s="12"/>
    </row>
    <row r="32" spans="1:21" ht="18.75" customHeight="1" x14ac:dyDescent="0.25">
      <c r="T32" s="12"/>
    </row>
    <row r="33" spans="1:19" ht="32.25" customHeight="1" x14ac:dyDescent="0.25"/>
    <row r="34" spans="1:19" ht="39.75" customHeight="1" x14ac:dyDescent="0.25">
      <c r="A34" s="68" t="s">
        <v>65</v>
      </c>
      <c r="B34" s="68"/>
      <c r="C34" s="68"/>
      <c r="D34" s="68"/>
      <c r="E34" s="68"/>
      <c r="F34" s="68"/>
      <c r="G34" s="68"/>
      <c r="H34" s="68"/>
      <c r="I34" s="68"/>
      <c r="J34" s="68"/>
      <c r="K34" s="68"/>
      <c r="L34" s="68"/>
      <c r="M34" s="68"/>
      <c r="N34" s="68"/>
      <c r="O34" s="68"/>
      <c r="P34" s="68"/>
      <c r="Q34" s="68"/>
      <c r="R34" s="68"/>
      <c r="S34" s="68"/>
    </row>
    <row r="35" spans="1:19" ht="21" customHeight="1" x14ac:dyDescent="0.25">
      <c r="A35" s="69" t="s">
        <v>23</v>
      </c>
      <c r="B35" s="69"/>
      <c r="C35" s="69"/>
      <c r="D35" s="69"/>
      <c r="E35" s="69"/>
      <c r="F35" s="69"/>
      <c r="G35" s="69"/>
      <c r="H35" s="69"/>
      <c r="I35" s="69"/>
      <c r="J35" s="69"/>
      <c r="K35" s="69"/>
      <c r="L35" s="69"/>
      <c r="M35" s="69"/>
      <c r="N35" s="69"/>
      <c r="O35" s="69"/>
      <c r="P35" s="69"/>
      <c r="Q35" s="69"/>
      <c r="R35" s="69"/>
      <c r="S35" s="69"/>
    </row>
    <row r="36" spans="1:19" ht="25.5" customHeight="1" x14ac:dyDescent="0.25">
      <c r="A36" s="69" t="s">
        <v>19</v>
      </c>
      <c r="B36" s="69"/>
      <c r="C36" s="69"/>
      <c r="D36" s="69"/>
      <c r="E36" s="69"/>
      <c r="F36" s="69"/>
      <c r="G36" s="69"/>
      <c r="H36" s="69"/>
      <c r="I36" s="69"/>
      <c r="J36" s="69"/>
      <c r="K36" s="69"/>
      <c r="L36" s="69"/>
      <c r="M36" s="69"/>
      <c r="N36" s="69"/>
      <c r="O36" s="69"/>
      <c r="P36" s="69"/>
      <c r="Q36" s="69"/>
      <c r="R36" s="69"/>
      <c r="S36" s="69"/>
    </row>
    <row r="37" spans="1:19" ht="25.5" customHeight="1" x14ac:dyDescent="0.25">
      <c r="A37" s="64" t="s">
        <v>64</v>
      </c>
      <c r="B37" s="65"/>
      <c r="C37" s="65"/>
      <c r="D37" s="65"/>
      <c r="E37" s="65"/>
      <c r="F37" s="65"/>
      <c r="G37" s="65"/>
      <c r="H37" s="65"/>
      <c r="I37" s="65"/>
      <c r="J37" s="65"/>
      <c r="K37" s="65"/>
      <c r="L37" s="65"/>
      <c r="M37" s="65"/>
    </row>
    <row r="38" spans="1:19" ht="18" x14ac:dyDescent="0.25">
      <c r="A38" s="20" t="s">
        <v>66</v>
      </c>
    </row>
    <row r="39" spans="1:19" ht="31.5" customHeight="1" x14ac:dyDescent="0.25">
      <c r="N39" s="21"/>
      <c r="O39" s="21"/>
      <c r="P39" s="21"/>
      <c r="Q39" s="21"/>
      <c r="R39" s="21"/>
      <c r="S39" s="21"/>
    </row>
    <row r="41" spans="1:19" ht="20.25" customHeight="1" x14ac:dyDescent="0.25"/>
    <row r="42" spans="1:19" x14ac:dyDescent="0.25">
      <c r="A42" s="22" t="s">
        <v>11</v>
      </c>
      <c r="B42" s="23"/>
      <c r="C42" s="23"/>
      <c r="D42" s="23"/>
      <c r="E42" s="23"/>
      <c r="F42" s="24"/>
    </row>
    <row r="43" spans="1:19" x14ac:dyDescent="0.25">
      <c r="A43" s="25"/>
      <c r="B43" s="26" t="s">
        <v>12</v>
      </c>
      <c r="C43" s="27"/>
      <c r="D43" s="26" t="s">
        <v>13</v>
      </c>
      <c r="E43" s="26" t="s">
        <v>14</v>
      </c>
      <c r="F43" s="28"/>
    </row>
    <row r="44" spans="1:19" x14ac:dyDescent="0.25">
      <c r="A44" s="25"/>
      <c r="B44" s="27" t="s">
        <v>15</v>
      </c>
      <c r="C44" s="27" t="s">
        <v>16</v>
      </c>
      <c r="D44" s="27"/>
      <c r="E44" s="27"/>
      <c r="F44" s="28"/>
    </row>
    <row r="45" spans="1:19" x14ac:dyDescent="0.25">
      <c r="A45" s="29">
        <v>2018</v>
      </c>
      <c r="B45" s="30">
        <f>+G6</f>
        <v>14.880124463738202</v>
      </c>
      <c r="C45" s="31">
        <v>0</v>
      </c>
      <c r="D45" s="32">
        <f>LN(B45)</f>
        <v>2.7000263938684985</v>
      </c>
      <c r="E45" s="33">
        <f t="array" ref="E45:F47">LINEST(D45:D46,C45:C46,1,TRUE)</f>
        <v>0.13777862762963153</v>
      </c>
      <c r="F45" s="34">
        <v>2.700026393868499</v>
      </c>
    </row>
    <row r="46" spans="1:19" x14ac:dyDescent="0.25">
      <c r="A46" s="29">
        <v>2030</v>
      </c>
      <c r="B46" s="36">
        <v>77.739999999999995</v>
      </c>
      <c r="C46" s="31">
        <f>+A46-A45</f>
        <v>12</v>
      </c>
      <c r="D46" s="32">
        <f t="shared" ref="D46" si="16">LN(B46)</f>
        <v>4.3533699254240767</v>
      </c>
      <c r="E46" s="32">
        <v>0</v>
      </c>
      <c r="F46" s="35">
        <v>0</v>
      </c>
    </row>
    <row r="47" spans="1:19" x14ac:dyDescent="0.25">
      <c r="A47" s="29"/>
      <c r="B47" s="37"/>
      <c r="C47" s="31"/>
      <c r="D47" s="32"/>
      <c r="E47" s="32">
        <v>1</v>
      </c>
      <c r="F47" s="35">
        <v>0</v>
      </c>
    </row>
    <row r="48" spans="1:19" x14ac:dyDescent="0.25">
      <c r="A48" s="38"/>
      <c r="B48" s="37"/>
      <c r="C48" s="27"/>
      <c r="D48" s="39"/>
      <c r="E48" s="39"/>
      <c r="F48" s="40"/>
    </row>
    <row r="49" spans="1:7" x14ac:dyDescent="0.25">
      <c r="A49" s="38"/>
      <c r="B49" s="30"/>
      <c r="C49" s="27"/>
      <c r="D49" s="10"/>
      <c r="E49" s="10"/>
      <c r="F49" s="10"/>
      <c r="G49" s="6"/>
    </row>
    <row r="50" spans="1:7" x14ac:dyDescent="0.25">
      <c r="A50" s="38"/>
      <c r="B50" s="30" t="s">
        <v>17</v>
      </c>
      <c r="C50" s="27" t="s">
        <v>16</v>
      </c>
      <c r="D50" s="41" t="s">
        <v>18</v>
      </c>
      <c r="E50" s="39" t="s">
        <v>14</v>
      </c>
      <c r="F50" s="40"/>
    </row>
    <row r="51" spans="1:7" x14ac:dyDescent="0.25">
      <c r="A51" s="29">
        <v>2018</v>
      </c>
      <c r="B51" s="30">
        <f>+B45</f>
        <v>14.880124463738202</v>
      </c>
      <c r="C51" s="31">
        <v>0</v>
      </c>
      <c r="D51" s="32">
        <f>LN(B51)</f>
        <v>2.7000263938684985</v>
      </c>
      <c r="E51" s="32">
        <f t="array" ref="E51:F53">LINEST(D51:D52,C51:C52,1,TRUE)</f>
        <v>0.15867860764883415</v>
      </c>
      <c r="F51" s="35">
        <v>2.7000263938684981</v>
      </c>
    </row>
    <row r="52" spans="1:7" x14ac:dyDescent="0.25">
      <c r="A52" s="29">
        <v>2030</v>
      </c>
      <c r="B52" s="30">
        <v>99.9</v>
      </c>
      <c r="C52" s="31">
        <f>+A52-A51</f>
        <v>12</v>
      </c>
      <c r="D52" s="32">
        <f>LN(B52)</f>
        <v>4.604169685654508</v>
      </c>
      <c r="E52" s="32">
        <v>0</v>
      </c>
      <c r="F52" s="35">
        <v>0</v>
      </c>
    </row>
    <row r="53" spans="1:7" x14ac:dyDescent="0.25">
      <c r="A53" s="44"/>
      <c r="B53" s="45"/>
      <c r="C53" s="46"/>
      <c r="D53" s="42"/>
      <c r="E53" s="42">
        <v>1</v>
      </c>
      <c r="F53" s="43">
        <v>0</v>
      </c>
    </row>
  </sheetData>
  <mergeCells count="6">
    <mergeCell ref="A37:M37"/>
    <mergeCell ref="A4:S4"/>
    <mergeCell ref="A21:S21"/>
    <mergeCell ref="A34:S34"/>
    <mergeCell ref="A35:S35"/>
    <mergeCell ref="A36:S36"/>
  </mergeCells>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sheetViews>
  <sheetFormatPr defaultRowHeight="15" x14ac:dyDescent="0.25"/>
  <cols>
    <col min="1" max="1" width="8.140625" customWidth="1"/>
    <col min="2" max="2" width="41.42578125" customWidth="1"/>
    <col min="3" max="3" width="15.5703125" style="83" customWidth="1"/>
    <col min="4" max="4" width="16.140625" style="83" customWidth="1"/>
    <col min="5" max="5" width="14.85546875" style="83" customWidth="1"/>
    <col min="6" max="6" width="20.42578125" style="83" bestFit="1" customWidth="1"/>
    <col min="7" max="7" width="15.5703125" style="83" customWidth="1"/>
    <col min="8" max="8" width="15" style="83" customWidth="1"/>
    <col min="9" max="9" width="14.42578125" style="83" customWidth="1"/>
    <col min="10" max="10" width="10.85546875" customWidth="1"/>
  </cols>
  <sheetData>
    <row r="1" spans="1:10" ht="15.75" x14ac:dyDescent="0.25">
      <c r="A1" s="50"/>
      <c r="B1" s="60" t="s">
        <v>63</v>
      </c>
      <c r="C1" s="70"/>
      <c r="D1" s="71"/>
      <c r="E1" s="70"/>
      <c r="F1" s="72"/>
      <c r="G1" s="71"/>
      <c r="H1" s="71"/>
      <c r="I1" s="71"/>
      <c r="J1" s="50"/>
    </row>
    <row r="2" spans="1:10" ht="15.75" x14ac:dyDescent="0.25">
      <c r="A2" s="50"/>
      <c r="B2" s="60" t="s">
        <v>62</v>
      </c>
      <c r="C2" s="70"/>
      <c r="D2" s="71"/>
      <c r="E2" s="70"/>
      <c r="F2" s="72"/>
      <c r="G2" s="71"/>
      <c r="H2" s="71"/>
      <c r="I2" s="71"/>
      <c r="J2" s="50"/>
    </row>
    <row r="3" spans="1:10" x14ac:dyDescent="0.25">
      <c r="A3" s="50"/>
      <c r="B3" s="59"/>
      <c r="C3" s="70"/>
      <c r="D3" s="71"/>
      <c r="E3" s="70"/>
      <c r="F3" s="72"/>
      <c r="G3" s="71"/>
      <c r="H3" s="71"/>
      <c r="I3" s="71"/>
      <c r="J3" s="50"/>
    </row>
    <row r="4" spans="1:10" ht="78.75" x14ac:dyDescent="0.25">
      <c r="A4" s="51"/>
      <c r="B4" s="56" t="s">
        <v>61</v>
      </c>
      <c r="C4" s="73" t="s">
        <v>60</v>
      </c>
      <c r="D4" s="73" t="s">
        <v>59</v>
      </c>
      <c r="E4" s="73" t="s">
        <v>58</v>
      </c>
      <c r="F4" s="74" t="s">
        <v>57</v>
      </c>
      <c r="G4" s="73" t="s">
        <v>56</v>
      </c>
      <c r="H4" s="73" t="s">
        <v>55</v>
      </c>
      <c r="I4" s="73" t="s">
        <v>54</v>
      </c>
      <c r="J4" s="50"/>
    </row>
    <row r="5" spans="1:10" ht="15.75" x14ac:dyDescent="0.25">
      <c r="A5" s="51">
        <v>2018</v>
      </c>
      <c r="B5" s="58" t="s">
        <v>53</v>
      </c>
      <c r="C5" s="75">
        <v>78825717</v>
      </c>
      <c r="D5" s="75">
        <v>78825717</v>
      </c>
      <c r="E5" s="76">
        <v>15.31</v>
      </c>
      <c r="F5" s="77">
        <f>+D5*E5</f>
        <v>1206821727.27</v>
      </c>
      <c r="G5" s="75">
        <v>9401500</v>
      </c>
      <c r="H5" s="75">
        <v>9401500</v>
      </c>
      <c r="I5" s="76">
        <v>15.33</v>
      </c>
      <c r="J5" s="50"/>
    </row>
    <row r="6" spans="1:10" ht="15.75" x14ac:dyDescent="0.25">
      <c r="A6" s="51">
        <v>2018</v>
      </c>
      <c r="B6" s="57" t="s">
        <v>52</v>
      </c>
      <c r="C6" s="78">
        <v>79421265</v>
      </c>
      <c r="D6" s="78">
        <v>79421265</v>
      </c>
      <c r="E6" s="79">
        <v>15.05</v>
      </c>
      <c r="F6" s="77">
        <f>+D6*E6</f>
        <v>1195290038.25</v>
      </c>
      <c r="G6" s="78">
        <v>9401500</v>
      </c>
      <c r="H6" s="78">
        <v>9401500</v>
      </c>
      <c r="I6" s="79">
        <v>14.9</v>
      </c>
      <c r="J6" s="50"/>
    </row>
    <row r="7" spans="1:10" ht="15.75" x14ac:dyDescent="0.25">
      <c r="A7" s="51">
        <v>2018</v>
      </c>
      <c r="B7" s="58" t="s">
        <v>70</v>
      </c>
      <c r="C7" s="75">
        <v>90587738</v>
      </c>
      <c r="D7" s="75">
        <v>90587738</v>
      </c>
      <c r="E7" s="76">
        <v>14.65</v>
      </c>
      <c r="F7" s="77">
        <f t="shared" ref="F7:F8" si="0">+D7*E7</f>
        <v>1327110361.7</v>
      </c>
      <c r="G7" s="75">
        <v>12427950</v>
      </c>
      <c r="H7" s="75">
        <v>6057000</v>
      </c>
      <c r="I7" s="76">
        <v>14.53</v>
      </c>
      <c r="J7" s="50"/>
    </row>
    <row r="8" spans="1:10" ht="15.75" x14ac:dyDescent="0.25">
      <c r="A8" s="51">
        <v>2018</v>
      </c>
      <c r="B8" s="57" t="s">
        <v>71</v>
      </c>
      <c r="C8" s="78">
        <v>98215920</v>
      </c>
      <c r="D8" s="78">
        <v>98215920</v>
      </c>
      <c r="E8" s="79">
        <v>14.61</v>
      </c>
      <c r="F8" s="77">
        <f t="shared" si="0"/>
        <v>1434934591.2</v>
      </c>
      <c r="G8" s="78">
        <v>12428950</v>
      </c>
      <c r="H8" s="78">
        <v>8576000</v>
      </c>
      <c r="I8" s="79">
        <v>14.53</v>
      </c>
      <c r="J8" s="50"/>
    </row>
    <row r="9" spans="1:10" ht="15.75" x14ac:dyDescent="0.25">
      <c r="A9" s="50">
        <v>2017</v>
      </c>
      <c r="B9" s="54" t="s">
        <v>51</v>
      </c>
      <c r="C9" s="75">
        <v>79548286</v>
      </c>
      <c r="D9" s="75">
        <v>79548286</v>
      </c>
      <c r="E9" s="76">
        <v>15.06</v>
      </c>
      <c r="F9" s="77">
        <f t="shared" ref="F9:F29" si="1">D9*E9</f>
        <v>1197997187.1600001</v>
      </c>
      <c r="G9" s="75">
        <v>9723500</v>
      </c>
      <c r="H9" s="75">
        <v>9723500</v>
      </c>
      <c r="I9" s="76">
        <v>14.76</v>
      </c>
      <c r="J9" s="50"/>
    </row>
    <row r="10" spans="1:10" ht="15.75" x14ac:dyDescent="0.25">
      <c r="A10" s="50">
        <f>+A9</f>
        <v>2017</v>
      </c>
      <c r="B10" s="55" t="s">
        <v>50</v>
      </c>
      <c r="C10" s="80">
        <v>63887833</v>
      </c>
      <c r="D10" s="78">
        <v>63887833</v>
      </c>
      <c r="E10" s="79">
        <v>14.75</v>
      </c>
      <c r="F10" s="77">
        <f t="shared" si="1"/>
        <v>942345536.75</v>
      </c>
      <c r="G10" s="80">
        <v>9723500</v>
      </c>
      <c r="H10" s="80">
        <v>9723500</v>
      </c>
      <c r="I10" s="79">
        <v>14.55</v>
      </c>
      <c r="J10" s="50"/>
    </row>
    <row r="11" spans="1:10" ht="15.75" x14ac:dyDescent="0.25">
      <c r="A11" s="50">
        <f>+A10</f>
        <v>2017</v>
      </c>
      <c r="B11" s="54" t="s">
        <v>49</v>
      </c>
      <c r="C11" s="81">
        <v>75311960</v>
      </c>
      <c r="D11" s="75">
        <v>75311960</v>
      </c>
      <c r="E11" s="76">
        <v>13.8</v>
      </c>
      <c r="F11" s="77">
        <f t="shared" si="1"/>
        <v>1039305048</v>
      </c>
      <c r="G11" s="81">
        <v>9723500</v>
      </c>
      <c r="H11" s="81">
        <v>2117000</v>
      </c>
      <c r="I11" s="76">
        <v>13.57</v>
      </c>
      <c r="J11" s="50"/>
    </row>
    <row r="12" spans="1:10" ht="15.75" x14ac:dyDescent="0.25">
      <c r="A12" s="50">
        <f>+A11</f>
        <v>2017</v>
      </c>
      <c r="B12" s="55" t="s">
        <v>48</v>
      </c>
      <c r="C12" s="80">
        <v>65104273</v>
      </c>
      <c r="D12" s="78">
        <v>11673000</v>
      </c>
      <c r="E12" s="79">
        <v>13.57</v>
      </c>
      <c r="F12" s="77">
        <f t="shared" si="1"/>
        <v>158402610</v>
      </c>
      <c r="G12" s="80">
        <v>9723500</v>
      </c>
      <c r="H12" s="80">
        <v>701000</v>
      </c>
      <c r="I12" s="79">
        <v>13.57</v>
      </c>
      <c r="J12" s="50"/>
    </row>
    <row r="13" spans="1:10" ht="15.75" x14ac:dyDescent="0.25">
      <c r="A13" s="50">
        <f t="shared" ref="A13:A28" si="2">+A9-1</f>
        <v>2016</v>
      </c>
      <c r="B13" s="54" t="s">
        <v>47</v>
      </c>
      <c r="C13" s="81">
        <v>87069495</v>
      </c>
      <c r="D13" s="75">
        <v>76960000</v>
      </c>
      <c r="E13" s="76">
        <v>12.73</v>
      </c>
      <c r="F13" s="77">
        <f t="shared" si="1"/>
        <v>979700800</v>
      </c>
      <c r="G13" s="81">
        <v>10078750</v>
      </c>
      <c r="H13" s="81">
        <v>1020000</v>
      </c>
      <c r="I13" s="76">
        <v>12.73</v>
      </c>
      <c r="J13" s="50"/>
    </row>
    <row r="14" spans="1:10" ht="15.75" x14ac:dyDescent="0.25">
      <c r="A14" s="50">
        <f t="shared" si="2"/>
        <v>2016</v>
      </c>
      <c r="B14" s="55" t="s">
        <v>46</v>
      </c>
      <c r="C14" s="80">
        <v>86278410</v>
      </c>
      <c r="D14" s="78">
        <v>30021000</v>
      </c>
      <c r="E14" s="79">
        <v>12.73</v>
      </c>
      <c r="F14" s="77">
        <f t="shared" si="1"/>
        <v>382167330</v>
      </c>
      <c r="G14" s="80">
        <v>10078750</v>
      </c>
      <c r="H14" s="80">
        <v>769000</v>
      </c>
      <c r="I14" s="79">
        <v>12.73</v>
      </c>
      <c r="J14" s="50"/>
    </row>
    <row r="15" spans="1:10" ht="15.75" x14ac:dyDescent="0.25">
      <c r="A15" s="50">
        <f t="shared" si="2"/>
        <v>2016</v>
      </c>
      <c r="B15" s="54" t="s">
        <v>45</v>
      </c>
      <c r="C15" s="81">
        <v>67675951</v>
      </c>
      <c r="D15" s="75">
        <v>7260000</v>
      </c>
      <c r="E15" s="76">
        <v>12.73</v>
      </c>
      <c r="F15" s="77">
        <f t="shared" si="1"/>
        <v>92419800</v>
      </c>
      <c r="G15" s="81">
        <v>10078750</v>
      </c>
      <c r="H15" s="81">
        <v>914000</v>
      </c>
      <c r="I15" s="76">
        <v>12.73</v>
      </c>
      <c r="J15" s="50"/>
    </row>
    <row r="16" spans="1:10" ht="15.75" x14ac:dyDescent="0.25">
      <c r="A16" s="50">
        <f t="shared" si="2"/>
        <v>2016</v>
      </c>
      <c r="B16" s="55" t="s">
        <v>44</v>
      </c>
      <c r="C16" s="80">
        <v>71555827</v>
      </c>
      <c r="D16" s="78">
        <v>68026000</v>
      </c>
      <c r="E16" s="79">
        <v>12.73</v>
      </c>
      <c r="F16" s="77">
        <f t="shared" si="1"/>
        <v>865970980</v>
      </c>
      <c r="G16" s="80">
        <v>10078750</v>
      </c>
      <c r="H16" s="80">
        <v>9361000</v>
      </c>
      <c r="I16" s="79">
        <v>12.73</v>
      </c>
      <c r="J16" s="50"/>
    </row>
    <row r="17" spans="1:10" ht="15.75" x14ac:dyDescent="0.25">
      <c r="A17" s="50">
        <f t="shared" si="2"/>
        <v>2015</v>
      </c>
      <c r="B17" s="54" t="s">
        <v>43</v>
      </c>
      <c r="C17" s="81">
        <v>75113008</v>
      </c>
      <c r="D17" s="75">
        <v>75113008</v>
      </c>
      <c r="E17" s="76">
        <v>12.73</v>
      </c>
      <c r="F17" s="77">
        <f t="shared" si="1"/>
        <v>956188591.84000003</v>
      </c>
      <c r="G17" s="81">
        <v>10431500</v>
      </c>
      <c r="H17" s="81">
        <v>10431500</v>
      </c>
      <c r="I17" s="76">
        <v>12.65</v>
      </c>
      <c r="J17" s="50"/>
    </row>
    <row r="18" spans="1:10" ht="15.75" x14ac:dyDescent="0.25">
      <c r="A18" s="50">
        <f t="shared" si="2"/>
        <v>2015</v>
      </c>
      <c r="B18" s="55" t="s">
        <v>42</v>
      </c>
      <c r="C18" s="80">
        <v>73429360</v>
      </c>
      <c r="D18" s="78">
        <v>73429360</v>
      </c>
      <c r="E18" s="79">
        <v>12.52</v>
      </c>
      <c r="F18" s="77">
        <f t="shared" si="1"/>
        <v>919335587.19999993</v>
      </c>
      <c r="G18" s="80">
        <v>10431500</v>
      </c>
      <c r="H18" s="80">
        <v>10431500</v>
      </c>
      <c r="I18" s="79">
        <v>12.3</v>
      </c>
      <c r="J18" s="50"/>
    </row>
    <row r="19" spans="1:10" ht="15.75" x14ac:dyDescent="0.25">
      <c r="A19" s="50">
        <f t="shared" si="2"/>
        <v>2015</v>
      </c>
      <c r="B19" s="54" t="s">
        <v>41</v>
      </c>
      <c r="C19" s="81">
        <v>76931627</v>
      </c>
      <c r="D19" s="75">
        <v>76931627</v>
      </c>
      <c r="E19" s="76">
        <v>12.29</v>
      </c>
      <c r="F19" s="77">
        <f t="shared" si="1"/>
        <v>945489695.82999992</v>
      </c>
      <c r="G19" s="81">
        <v>10431500</v>
      </c>
      <c r="H19" s="81">
        <v>9812000</v>
      </c>
      <c r="I19" s="76">
        <v>12.1</v>
      </c>
      <c r="J19" s="50"/>
    </row>
    <row r="20" spans="1:10" ht="15.75" x14ac:dyDescent="0.25">
      <c r="A20" s="50">
        <f t="shared" si="2"/>
        <v>2015</v>
      </c>
      <c r="B20" s="55" t="s">
        <v>40</v>
      </c>
      <c r="C20" s="80">
        <v>73610528</v>
      </c>
      <c r="D20" s="78">
        <v>73610528</v>
      </c>
      <c r="E20" s="79">
        <v>12.21</v>
      </c>
      <c r="F20" s="77">
        <f t="shared" si="1"/>
        <v>898784546.88000011</v>
      </c>
      <c r="G20" s="80">
        <v>10431500</v>
      </c>
      <c r="H20" s="80">
        <v>10431500</v>
      </c>
      <c r="I20" s="79">
        <v>12.1</v>
      </c>
      <c r="J20" s="50"/>
    </row>
    <row r="21" spans="1:10" ht="15.75" x14ac:dyDescent="0.25">
      <c r="A21" s="50">
        <f t="shared" si="2"/>
        <v>2014</v>
      </c>
      <c r="B21" s="54" t="s">
        <v>39</v>
      </c>
      <c r="C21" s="81">
        <v>23070987</v>
      </c>
      <c r="D21" s="75">
        <v>23070987</v>
      </c>
      <c r="E21" s="76">
        <v>12.1</v>
      </c>
      <c r="F21" s="77">
        <f t="shared" si="1"/>
        <v>279158942.69999999</v>
      </c>
      <c r="G21" s="81">
        <v>10787000</v>
      </c>
      <c r="H21" s="81">
        <v>10787000</v>
      </c>
      <c r="I21" s="76">
        <v>11.86</v>
      </c>
      <c r="J21" s="50"/>
    </row>
    <row r="22" spans="1:10" ht="15.75" x14ac:dyDescent="0.25">
      <c r="A22" s="50">
        <f t="shared" si="2"/>
        <v>2014</v>
      </c>
      <c r="B22" s="53" t="s">
        <v>38</v>
      </c>
      <c r="C22" s="80">
        <v>22473043</v>
      </c>
      <c r="D22" s="78">
        <v>22473043</v>
      </c>
      <c r="E22" s="79">
        <v>11.5</v>
      </c>
      <c r="F22" s="77">
        <f t="shared" si="1"/>
        <v>258439994.5</v>
      </c>
      <c r="G22" s="80">
        <v>9260000</v>
      </c>
      <c r="H22" s="80">
        <v>6470000</v>
      </c>
      <c r="I22" s="79">
        <v>11.34</v>
      </c>
      <c r="J22" s="50"/>
    </row>
    <row r="23" spans="1:10" ht="15.75" x14ac:dyDescent="0.25">
      <c r="A23" s="50">
        <f t="shared" si="2"/>
        <v>2014</v>
      </c>
      <c r="B23" s="52" t="s">
        <v>37</v>
      </c>
      <c r="C23" s="81">
        <v>16947080</v>
      </c>
      <c r="D23" s="75">
        <v>16947080</v>
      </c>
      <c r="E23" s="76">
        <v>11.5</v>
      </c>
      <c r="F23" s="77">
        <f t="shared" si="1"/>
        <v>194891420</v>
      </c>
      <c r="G23" s="81">
        <v>9260000</v>
      </c>
      <c r="H23" s="81">
        <v>4036000</v>
      </c>
      <c r="I23" s="76">
        <v>11.34</v>
      </c>
      <c r="J23" s="50"/>
    </row>
    <row r="24" spans="1:10" ht="15.75" x14ac:dyDescent="0.25">
      <c r="A24" s="50">
        <f t="shared" si="2"/>
        <v>2014</v>
      </c>
      <c r="B24" s="53" t="s">
        <v>36</v>
      </c>
      <c r="C24" s="80">
        <v>19538695</v>
      </c>
      <c r="D24" s="78">
        <v>19538695</v>
      </c>
      <c r="E24" s="79">
        <v>11.48</v>
      </c>
      <c r="F24" s="77">
        <f t="shared" si="1"/>
        <v>224304218.59999999</v>
      </c>
      <c r="G24" s="80">
        <v>9260000</v>
      </c>
      <c r="H24" s="80">
        <v>9260000</v>
      </c>
      <c r="I24" s="79">
        <v>11.38</v>
      </c>
      <c r="J24" s="50"/>
    </row>
    <row r="25" spans="1:10" ht="15.75" x14ac:dyDescent="0.25">
      <c r="A25" s="50">
        <f t="shared" si="2"/>
        <v>2013</v>
      </c>
      <c r="B25" s="52" t="s">
        <v>35</v>
      </c>
      <c r="C25" s="81">
        <v>16614526</v>
      </c>
      <c r="D25" s="75">
        <v>16614526</v>
      </c>
      <c r="E25" s="76">
        <v>11.48</v>
      </c>
      <c r="F25" s="77">
        <f t="shared" si="1"/>
        <v>190734758.48000002</v>
      </c>
      <c r="G25" s="81">
        <v>9560000</v>
      </c>
      <c r="H25" s="81">
        <v>9560000</v>
      </c>
      <c r="I25" s="76">
        <v>11.1</v>
      </c>
      <c r="J25" s="50"/>
    </row>
    <row r="26" spans="1:10" ht="15.75" x14ac:dyDescent="0.25">
      <c r="A26" s="50">
        <f t="shared" si="2"/>
        <v>2013</v>
      </c>
      <c r="B26" s="53" t="s">
        <v>34</v>
      </c>
      <c r="C26" s="80">
        <v>13865422</v>
      </c>
      <c r="D26" s="78">
        <v>13865422</v>
      </c>
      <c r="E26" s="79">
        <v>12.22</v>
      </c>
      <c r="F26" s="77">
        <f t="shared" si="1"/>
        <v>169435456.84</v>
      </c>
      <c r="G26" s="80">
        <v>9560000</v>
      </c>
      <c r="H26" s="80">
        <v>9560000</v>
      </c>
      <c r="I26" s="79">
        <v>11.1</v>
      </c>
      <c r="J26" s="50"/>
    </row>
    <row r="27" spans="1:10" ht="15.75" x14ac:dyDescent="0.25">
      <c r="A27" s="50">
        <f t="shared" si="2"/>
        <v>2013</v>
      </c>
      <c r="B27" s="52" t="s">
        <v>33</v>
      </c>
      <c r="C27" s="81">
        <v>14522048</v>
      </c>
      <c r="D27" s="75">
        <v>14522048</v>
      </c>
      <c r="E27" s="76">
        <v>14</v>
      </c>
      <c r="F27" s="77">
        <f t="shared" si="1"/>
        <v>203308672</v>
      </c>
      <c r="G27" s="81">
        <v>9560000</v>
      </c>
      <c r="H27" s="81">
        <v>7515000</v>
      </c>
      <c r="I27" s="76">
        <v>10.71</v>
      </c>
      <c r="J27" s="50"/>
    </row>
    <row r="28" spans="1:10" ht="15.75" x14ac:dyDescent="0.25">
      <c r="A28" s="50">
        <f t="shared" si="2"/>
        <v>2013</v>
      </c>
      <c r="B28" s="53" t="s">
        <v>32</v>
      </c>
      <c r="C28" s="80">
        <v>12924822</v>
      </c>
      <c r="D28" s="78">
        <v>12924822</v>
      </c>
      <c r="E28" s="79">
        <v>13.62</v>
      </c>
      <c r="F28" s="77">
        <f t="shared" si="1"/>
        <v>176036075.63999999</v>
      </c>
      <c r="G28" s="80">
        <v>9560000</v>
      </c>
      <c r="H28" s="80">
        <v>4440000</v>
      </c>
      <c r="I28" s="79">
        <v>10.71</v>
      </c>
      <c r="J28" s="50"/>
    </row>
    <row r="29" spans="1:10" ht="15.75" x14ac:dyDescent="0.25">
      <c r="A29" s="84">
        <v>2012</v>
      </c>
      <c r="B29" s="52" t="s">
        <v>31</v>
      </c>
      <c r="C29" s="81">
        <v>23126110</v>
      </c>
      <c r="D29" s="75">
        <v>23126110</v>
      </c>
      <c r="E29" s="76">
        <v>10.09</v>
      </c>
      <c r="F29" s="77">
        <f t="shared" si="1"/>
        <v>233342449.90000001</v>
      </c>
      <c r="G29" s="81">
        <v>39450000</v>
      </c>
      <c r="H29" s="81">
        <v>5576000</v>
      </c>
      <c r="I29" s="76">
        <v>10</v>
      </c>
      <c r="J29" s="50"/>
    </row>
    <row r="30" spans="1:10" x14ac:dyDescent="0.25">
      <c r="A30" s="50"/>
      <c r="B30" s="50"/>
      <c r="C30" s="70"/>
      <c r="D30" s="71"/>
      <c r="E30" s="70"/>
      <c r="F30" s="72"/>
      <c r="G30" s="71"/>
      <c r="H30" s="71"/>
      <c r="I30" s="71"/>
      <c r="J30" s="50"/>
    </row>
    <row r="31" spans="1:10" x14ac:dyDescent="0.25">
      <c r="A31" s="50" t="s">
        <v>30</v>
      </c>
      <c r="B31" s="50"/>
      <c r="C31" s="70"/>
      <c r="D31" s="71"/>
      <c r="E31" s="70"/>
      <c r="F31" s="72"/>
      <c r="G31" s="71"/>
      <c r="H31" s="71" t="s">
        <v>29</v>
      </c>
      <c r="I31" s="71"/>
      <c r="J31" s="50"/>
    </row>
    <row r="32" spans="1:10" x14ac:dyDescent="0.25">
      <c r="A32" s="50"/>
      <c r="B32" s="50"/>
      <c r="C32" s="70"/>
      <c r="D32" s="71"/>
      <c r="E32" s="70">
        <v>2012</v>
      </c>
      <c r="F32" s="72" t="s">
        <v>28</v>
      </c>
      <c r="G32" s="82" t="s">
        <v>27</v>
      </c>
      <c r="H32" s="71" t="s">
        <v>26</v>
      </c>
      <c r="I32" s="71"/>
      <c r="J32" s="50"/>
    </row>
    <row r="33" spans="1:10" x14ac:dyDescent="0.25">
      <c r="A33" s="50"/>
      <c r="B33" s="50"/>
      <c r="C33" s="70"/>
      <c r="D33" s="71"/>
      <c r="E33" s="70">
        <v>2013</v>
      </c>
      <c r="F33" s="72">
        <f t="shared" ref="F33:F38" si="3">SUMIF($A$5:$A$29,$E33,D$5:D$29)</f>
        <v>57926818</v>
      </c>
      <c r="G33" s="71">
        <f t="shared" ref="G33:G38" si="4">SUMIF($A$5:$A$29,$E33,F$5:F$29)</f>
        <v>739514962.96000004</v>
      </c>
      <c r="H33" s="71">
        <f t="shared" ref="H33:H38" si="5">+G33/F33</f>
        <v>12.766366054493103</v>
      </c>
      <c r="I33" s="71"/>
      <c r="J33" s="50"/>
    </row>
    <row r="34" spans="1:10" x14ac:dyDescent="0.25">
      <c r="A34" s="50"/>
      <c r="B34" s="50"/>
      <c r="C34" s="70"/>
      <c r="D34" s="71"/>
      <c r="E34" s="70">
        <f>+E33+1</f>
        <v>2014</v>
      </c>
      <c r="F34" s="72">
        <f t="shared" si="3"/>
        <v>82029805</v>
      </c>
      <c r="G34" s="71">
        <f t="shared" si="4"/>
        <v>956794575.80000007</v>
      </c>
      <c r="H34" s="71">
        <f t="shared" si="5"/>
        <v>11.663986959374096</v>
      </c>
      <c r="I34" s="71"/>
      <c r="J34" s="50"/>
    </row>
    <row r="35" spans="1:10" x14ac:dyDescent="0.25">
      <c r="A35" s="50"/>
      <c r="B35" s="50"/>
      <c r="C35" s="70"/>
      <c r="D35" s="71"/>
      <c r="E35" s="70">
        <f>+E34+1</f>
        <v>2015</v>
      </c>
      <c r="F35" s="72">
        <f t="shared" si="3"/>
        <v>299084523</v>
      </c>
      <c r="G35" s="71">
        <f t="shared" si="4"/>
        <v>3719798421.75</v>
      </c>
      <c r="H35" s="71">
        <f t="shared" si="5"/>
        <v>12.437281556525077</v>
      </c>
      <c r="I35" s="71"/>
      <c r="J35" s="50"/>
    </row>
    <row r="36" spans="1:10" x14ac:dyDescent="0.25">
      <c r="A36" s="50"/>
      <c r="B36" s="50"/>
      <c r="C36" s="70"/>
      <c r="D36" s="71"/>
      <c r="E36" s="70">
        <f>+E35+1</f>
        <v>2016</v>
      </c>
      <c r="F36" s="72">
        <f t="shared" si="3"/>
        <v>182267000</v>
      </c>
      <c r="G36" s="71">
        <f t="shared" si="4"/>
        <v>2320258910</v>
      </c>
      <c r="H36" s="71">
        <f t="shared" si="5"/>
        <v>12.73</v>
      </c>
      <c r="I36" s="71"/>
      <c r="J36" s="50"/>
    </row>
    <row r="37" spans="1:10" x14ac:dyDescent="0.25">
      <c r="A37" s="50"/>
      <c r="B37" s="50"/>
      <c r="C37" s="70"/>
      <c r="D37" s="71"/>
      <c r="E37" s="70">
        <f>+E36+1</f>
        <v>2017</v>
      </c>
      <c r="F37" s="72">
        <f t="shared" si="3"/>
        <v>230421079</v>
      </c>
      <c r="G37" s="71">
        <f t="shared" si="4"/>
        <v>3338050381.9099998</v>
      </c>
      <c r="H37" s="71">
        <f t="shared" si="5"/>
        <v>14.486740520427819</v>
      </c>
      <c r="I37" s="71"/>
      <c r="J37" s="50"/>
    </row>
    <row r="38" spans="1:10" x14ac:dyDescent="0.25">
      <c r="A38" s="50"/>
      <c r="B38" s="50"/>
      <c r="C38" s="70"/>
      <c r="D38" s="71"/>
      <c r="E38" s="70">
        <f>+E37+1</f>
        <v>2018</v>
      </c>
      <c r="F38" s="72">
        <f t="shared" si="3"/>
        <v>347050640</v>
      </c>
      <c r="G38" s="71">
        <f t="shared" si="4"/>
        <v>5164156718.4200001</v>
      </c>
      <c r="H38" s="71">
        <f t="shared" si="5"/>
        <v>14.880124463738202</v>
      </c>
      <c r="I38" s="71"/>
      <c r="J38" s="50"/>
    </row>
    <row r="39" spans="1:10" x14ac:dyDescent="0.25">
      <c r="A39" s="50"/>
      <c r="B39" s="50"/>
      <c r="C39" s="70"/>
      <c r="D39" s="71"/>
      <c r="E39" s="70"/>
      <c r="F39" s="72"/>
      <c r="G39" s="71"/>
      <c r="H39" s="71"/>
      <c r="I39" s="71"/>
      <c r="J39" s="50"/>
    </row>
    <row r="40" spans="1:10" x14ac:dyDescent="0.25">
      <c r="A40" s="50"/>
      <c r="B40" s="50"/>
      <c r="C40" s="70"/>
      <c r="D40" s="71"/>
      <c r="E40" s="70"/>
      <c r="F40" s="72"/>
      <c r="G40" s="71"/>
      <c r="H40" s="71"/>
      <c r="I40" s="71"/>
      <c r="J40" s="50"/>
    </row>
    <row r="41" spans="1:10" x14ac:dyDescent="0.25">
      <c r="B41" s="85" t="s">
        <v>72</v>
      </c>
    </row>
    <row r="42" spans="1:10" x14ac:dyDescent="0.25">
      <c r="B42" s="86" t="s">
        <v>73</v>
      </c>
    </row>
    <row r="43" spans="1:10" x14ac:dyDescent="0.25">
      <c r="B43" t="s">
        <v>74</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GHG Price Calculations</vt:lpstr>
      <vt:lpstr>Auction Data</vt:lpstr>
      <vt:lpstr>'Auction Data'!Print_Area</vt:lpstr>
      <vt:lpstr>'GHG Price Calculations'!Print_Area</vt:lpstr>
      <vt:lpstr>'GHG Price Calculations'!Print_Titles</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cp:lastPrinted>2019-03-13T20:09:15Z</cp:lastPrinted>
  <dcterms:created xsi:type="dcterms:W3CDTF">2018-12-11T00:37:17Z</dcterms:created>
  <dcterms:modified xsi:type="dcterms:W3CDTF">2019-03-13T20:09:26Z</dcterms:modified>
</cp:coreProperties>
</file>