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9885" windowHeight="7350" tabRatio="852" activeTab="3"/>
  </bookViews>
  <sheets>
    <sheet name="Illustrative model" sheetId="27" r:id="rId1"/>
    <sheet name="20 year comparison, 12.3% CF" sheetId="28" r:id="rId2"/>
    <sheet name="20 year comparison, 3.4% CF" sheetId="30" r:id="rId3"/>
    <sheet name="Summary of Costs SERC vs S+S" sheetId="29" r:id="rId4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29" l="1"/>
  <c r="C12" i="29"/>
  <c r="B12" i="29"/>
  <c r="D11" i="29"/>
  <c r="F37" i="28" l="1"/>
  <c r="C31" i="28"/>
  <c r="B26" i="28"/>
  <c r="M7" i="27"/>
  <c r="AE5" i="27" l="1"/>
  <c r="AA5" i="27"/>
  <c r="B41" i="30" l="1"/>
  <c r="B41" i="28"/>
  <c r="C17" i="29" l="1"/>
  <c r="C14" i="29"/>
  <c r="C15" i="29" s="1"/>
  <c r="C16" i="29"/>
  <c r="B8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B38" i="30" s="1"/>
  <c r="C35" i="30"/>
  <c r="C36" i="30" s="1"/>
  <c r="C32" i="30"/>
  <c r="B26" i="30"/>
  <c r="B25" i="30"/>
  <c r="B28" i="30" s="1"/>
  <c r="B29" i="30" s="1"/>
  <c r="B31" i="30" s="1"/>
  <c r="C24" i="30"/>
  <c r="D24" i="30" s="1"/>
  <c r="E24" i="30" s="1"/>
  <c r="F24" i="30" s="1"/>
  <c r="G24" i="30" s="1"/>
  <c r="H24" i="30" s="1"/>
  <c r="I24" i="30" s="1"/>
  <c r="J24" i="30" s="1"/>
  <c r="K24" i="30" s="1"/>
  <c r="L24" i="30" s="1"/>
  <c r="M24" i="30" s="1"/>
  <c r="N24" i="30" s="1"/>
  <c r="O24" i="30" s="1"/>
  <c r="P24" i="30" s="1"/>
  <c r="Q24" i="30" s="1"/>
  <c r="R24" i="30" s="1"/>
  <c r="S24" i="30" s="1"/>
  <c r="T24" i="30" s="1"/>
  <c r="U24" i="30" s="1"/>
  <c r="B23" i="30"/>
  <c r="B21" i="30"/>
  <c r="C20" i="30"/>
  <c r="D20" i="30" s="1"/>
  <c r="D19" i="30"/>
  <c r="E19" i="30" s="1"/>
  <c r="F19" i="30" s="1"/>
  <c r="G19" i="30" s="1"/>
  <c r="H19" i="30" s="1"/>
  <c r="I19" i="30" s="1"/>
  <c r="J19" i="30" s="1"/>
  <c r="K19" i="30" s="1"/>
  <c r="L19" i="30" s="1"/>
  <c r="M19" i="30" s="1"/>
  <c r="N19" i="30" s="1"/>
  <c r="O19" i="30" s="1"/>
  <c r="P19" i="30" s="1"/>
  <c r="Q19" i="30" s="1"/>
  <c r="R19" i="30" s="1"/>
  <c r="S19" i="30" s="1"/>
  <c r="T19" i="30" s="1"/>
  <c r="U19" i="30" s="1"/>
  <c r="C19" i="30"/>
  <c r="E18" i="30"/>
  <c r="C18" i="30"/>
  <c r="D18" i="30" s="1"/>
  <c r="D21" i="30" s="1"/>
  <c r="F13" i="30"/>
  <c r="G13" i="30" s="1"/>
  <c r="H13" i="30" s="1"/>
  <c r="I13" i="30" s="1"/>
  <c r="J13" i="30" s="1"/>
  <c r="K13" i="30" s="1"/>
  <c r="L13" i="30" s="1"/>
  <c r="M13" i="30" s="1"/>
  <c r="N13" i="30" s="1"/>
  <c r="O13" i="30" s="1"/>
  <c r="P13" i="30" s="1"/>
  <c r="Q13" i="30" s="1"/>
  <c r="R13" i="30" s="1"/>
  <c r="S13" i="30" s="1"/>
  <c r="T13" i="30" s="1"/>
  <c r="U13" i="30" s="1"/>
  <c r="D13" i="30"/>
  <c r="E13" i="30" s="1"/>
  <c r="C13" i="30"/>
  <c r="F10" i="30"/>
  <c r="G10" i="30" s="1"/>
  <c r="H10" i="30" s="1"/>
  <c r="I10" i="30" s="1"/>
  <c r="J10" i="30" s="1"/>
  <c r="K10" i="30" s="1"/>
  <c r="L10" i="30" s="1"/>
  <c r="M10" i="30" s="1"/>
  <c r="N10" i="30" s="1"/>
  <c r="O10" i="30" s="1"/>
  <c r="P10" i="30" s="1"/>
  <c r="Q10" i="30" s="1"/>
  <c r="R10" i="30" s="1"/>
  <c r="S10" i="30" s="1"/>
  <c r="T10" i="30" s="1"/>
  <c r="U10" i="30" s="1"/>
  <c r="D10" i="30"/>
  <c r="E10" i="30" s="1"/>
  <c r="C10" i="30"/>
  <c r="B9" i="30"/>
  <c r="B11" i="30" s="1"/>
  <c r="C8" i="30"/>
  <c r="D8" i="30" s="1"/>
  <c r="E8" i="30" s="1"/>
  <c r="F8" i="30" s="1"/>
  <c r="G8" i="30" s="1"/>
  <c r="H8" i="30" s="1"/>
  <c r="I8" i="30" s="1"/>
  <c r="J8" i="30" s="1"/>
  <c r="K8" i="30" s="1"/>
  <c r="L8" i="30" s="1"/>
  <c r="M8" i="30" s="1"/>
  <c r="N8" i="30" s="1"/>
  <c r="O8" i="30" s="1"/>
  <c r="P8" i="30" s="1"/>
  <c r="Q8" i="30" s="1"/>
  <c r="R8" i="30" s="1"/>
  <c r="S8" i="30" s="1"/>
  <c r="T8" i="30" s="1"/>
  <c r="U8" i="30" s="1"/>
  <c r="D6" i="30"/>
  <c r="C6" i="30"/>
  <c r="G3" i="30"/>
  <c r="H3" i="30" s="1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C3" i="30"/>
  <c r="D3" i="30" s="1"/>
  <c r="E3" i="30" s="1"/>
  <c r="F3" i="30" s="1"/>
  <c r="E3" i="27"/>
  <c r="F3" i="27" s="1"/>
  <c r="G3" i="27" s="1"/>
  <c r="H3" i="27" s="1"/>
  <c r="I3" i="27" s="1"/>
  <c r="J3" i="27" s="1"/>
  <c r="K3" i="27" s="1"/>
  <c r="L3" i="27" s="1"/>
  <c r="M3" i="27" s="1"/>
  <c r="N3" i="27" s="1"/>
  <c r="O3" i="27" s="1"/>
  <c r="P3" i="27" s="1"/>
  <c r="Q3" i="27" s="1"/>
  <c r="R3" i="27" s="1"/>
  <c r="S3" i="27" s="1"/>
  <c r="T3" i="27" s="1"/>
  <c r="U3" i="27" s="1"/>
  <c r="V3" i="27" s="1"/>
  <c r="W3" i="27" s="1"/>
  <c r="X3" i="27" s="1"/>
  <c r="Y3" i="27" s="1"/>
  <c r="Z3" i="27" s="1"/>
  <c r="D3" i="27"/>
  <c r="D18" i="29"/>
  <c r="B17" i="29"/>
  <c r="D16" i="29"/>
  <c r="B16" i="29"/>
  <c r="D15" i="29"/>
  <c r="D20" i="29" s="1"/>
  <c r="D14" i="29"/>
  <c r="B14" i="29"/>
  <c r="B15" i="29" s="1"/>
  <c r="D10" i="29"/>
  <c r="B40" i="28"/>
  <c r="B39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C38" i="28"/>
  <c r="B38" i="28"/>
  <c r="E36" i="28"/>
  <c r="F36" i="28" s="1"/>
  <c r="G36" i="28" s="1"/>
  <c r="H36" i="28" s="1"/>
  <c r="I36" i="28" s="1"/>
  <c r="J36" i="28" s="1"/>
  <c r="K36" i="28" s="1"/>
  <c r="L36" i="28" s="1"/>
  <c r="M36" i="28" s="1"/>
  <c r="N36" i="28" s="1"/>
  <c r="O36" i="28" s="1"/>
  <c r="P36" i="28" s="1"/>
  <c r="Q36" i="28" s="1"/>
  <c r="R36" i="28" s="1"/>
  <c r="S36" i="28" s="1"/>
  <c r="T36" i="28" s="1"/>
  <c r="U36" i="28" s="1"/>
  <c r="D36" i="28"/>
  <c r="C36" i="28"/>
  <c r="D35" i="28"/>
  <c r="E35" i="28" s="1"/>
  <c r="F35" i="28" s="1"/>
  <c r="G35" i="28" s="1"/>
  <c r="H35" i="28" s="1"/>
  <c r="I35" i="28" s="1"/>
  <c r="J35" i="28" s="1"/>
  <c r="K35" i="28" s="1"/>
  <c r="L35" i="28" s="1"/>
  <c r="M35" i="28" s="1"/>
  <c r="N35" i="28" s="1"/>
  <c r="O35" i="28" s="1"/>
  <c r="P35" i="28" s="1"/>
  <c r="Q35" i="28" s="1"/>
  <c r="R35" i="28" s="1"/>
  <c r="S35" i="28" s="1"/>
  <c r="T35" i="28" s="1"/>
  <c r="U35" i="28" s="1"/>
  <c r="C35" i="28"/>
  <c r="U37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H37" i="28"/>
  <c r="G37" i="28"/>
  <c r="E37" i="28"/>
  <c r="D37" i="28"/>
  <c r="C37" i="28"/>
  <c r="B37" i="28"/>
  <c r="B33" i="28"/>
  <c r="D32" i="28"/>
  <c r="E32" i="28" s="1"/>
  <c r="F32" i="28" s="1"/>
  <c r="G32" i="28" s="1"/>
  <c r="H32" i="28" s="1"/>
  <c r="I32" i="28" s="1"/>
  <c r="J32" i="28" s="1"/>
  <c r="K32" i="28" s="1"/>
  <c r="L32" i="28" s="1"/>
  <c r="M32" i="28" s="1"/>
  <c r="N32" i="28" s="1"/>
  <c r="O32" i="28" s="1"/>
  <c r="P32" i="28" s="1"/>
  <c r="Q32" i="28" s="1"/>
  <c r="R32" i="28" s="1"/>
  <c r="S32" i="28" s="1"/>
  <c r="T32" i="28" s="1"/>
  <c r="U32" i="28" s="1"/>
  <c r="C32" i="28"/>
  <c r="B31" i="28"/>
  <c r="B29" i="28"/>
  <c r="B28" i="28"/>
  <c r="B25" i="28"/>
  <c r="C24" i="28"/>
  <c r="D24" i="28" s="1"/>
  <c r="E24" i="28" s="1"/>
  <c r="F24" i="28" s="1"/>
  <c r="G24" i="28" s="1"/>
  <c r="H24" i="28" s="1"/>
  <c r="I24" i="28" s="1"/>
  <c r="J24" i="28" s="1"/>
  <c r="K24" i="28" s="1"/>
  <c r="L24" i="28" s="1"/>
  <c r="M24" i="28" s="1"/>
  <c r="N24" i="28" s="1"/>
  <c r="O24" i="28" s="1"/>
  <c r="P24" i="28" s="1"/>
  <c r="Q24" i="28" s="1"/>
  <c r="R24" i="28" s="1"/>
  <c r="S24" i="28" s="1"/>
  <c r="T24" i="28" s="1"/>
  <c r="U24" i="28" s="1"/>
  <c r="B23" i="28"/>
  <c r="E20" i="28"/>
  <c r="F20" i="28" s="1"/>
  <c r="G20" i="28" s="1"/>
  <c r="H20" i="28" s="1"/>
  <c r="I20" i="28" s="1"/>
  <c r="J20" i="28" s="1"/>
  <c r="K20" i="28" s="1"/>
  <c r="L20" i="28" s="1"/>
  <c r="M20" i="28" s="1"/>
  <c r="N20" i="28" s="1"/>
  <c r="O20" i="28" s="1"/>
  <c r="P20" i="28" s="1"/>
  <c r="Q20" i="28" s="1"/>
  <c r="R20" i="28" s="1"/>
  <c r="S20" i="28" s="1"/>
  <c r="T20" i="28" s="1"/>
  <c r="U20" i="28" s="1"/>
  <c r="U21" i="28" s="1"/>
  <c r="D20" i="28"/>
  <c r="C20" i="28"/>
  <c r="D19" i="28"/>
  <c r="E19" i="28" s="1"/>
  <c r="F19" i="28" s="1"/>
  <c r="G19" i="28" s="1"/>
  <c r="H19" i="28" s="1"/>
  <c r="I19" i="28" s="1"/>
  <c r="J19" i="28" s="1"/>
  <c r="K19" i="28" s="1"/>
  <c r="L19" i="28" s="1"/>
  <c r="M19" i="28" s="1"/>
  <c r="N19" i="28" s="1"/>
  <c r="O19" i="28" s="1"/>
  <c r="P19" i="28" s="1"/>
  <c r="Q19" i="28" s="1"/>
  <c r="R19" i="28" s="1"/>
  <c r="S19" i="28" s="1"/>
  <c r="T19" i="28" s="1"/>
  <c r="U19" i="28" s="1"/>
  <c r="C19" i="28"/>
  <c r="C21" i="28"/>
  <c r="B21" i="28"/>
  <c r="U18" i="28"/>
  <c r="C18" i="28"/>
  <c r="D18" i="28" s="1"/>
  <c r="E18" i="28" s="1"/>
  <c r="F18" i="28" s="1"/>
  <c r="G18" i="28" s="1"/>
  <c r="H18" i="28" s="1"/>
  <c r="I18" i="28" s="1"/>
  <c r="J18" i="28" s="1"/>
  <c r="K18" i="28" s="1"/>
  <c r="L18" i="28" s="1"/>
  <c r="M18" i="28" s="1"/>
  <c r="N18" i="28" s="1"/>
  <c r="O18" i="28" s="1"/>
  <c r="P18" i="28" s="1"/>
  <c r="Q18" i="28" s="1"/>
  <c r="R18" i="28" s="1"/>
  <c r="S18" i="28" s="1"/>
  <c r="T18" i="28" s="1"/>
  <c r="B14" i="28"/>
  <c r="D13" i="28"/>
  <c r="E13" i="28" s="1"/>
  <c r="F13" i="28" s="1"/>
  <c r="G13" i="28" s="1"/>
  <c r="H13" i="28" s="1"/>
  <c r="I13" i="28" s="1"/>
  <c r="J13" i="28" s="1"/>
  <c r="K13" i="28" s="1"/>
  <c r="L13" i="28" s="1"/>
  <c r="M13" i="28" s="1"/>
  <c r="N13" i="28" s="1"/>
  <c r="O13" i="28" s="1"/>
  <c r="P13" i="28" s="1"/>
  <c r="Q13" i="28" s="1"/>
  <c r="R13" i="28" s="1"/>
  <c r="S13" i="28" s="1"/>
  <c r="T13" i="28" s="1"/>
  <c r="U13" i="28" s="1"/>
  <c r="C13" i="28"/>
  <c r="B11" i="28"/>
  <c r="D10" i="28"/>
  <c r="E10" i="28" s="1"/>
  <c r="F10" i="28" s="1"/>
  <c r="G10" i="28" s="1"/>
  <c r="H10" i="28" s="1"/>
  <c r="I10" i="28" s="1"/>
  <c r="J10" i="28" s="1"/>
  <c r="K10" i="28" s="1"/>
  <c r="L10" i="28" s="1"/>
  <c r="M10" i="28" s="1"/>
  <c r="N10" i="28" s="1"/>
  <c r="O10" i="28" s="1"/>
  <c r="P10" i="28" s="1"/>
  <c r="Q10" i="28" s="1"/>
  <c r="R10" i="28" s="1"/>
  <c r="S10" i="28" s="1"/>
  <c r="T10" i="28" s="1"/>
  <c r="U10" i="28" s="1"/>
  <c r="C10" i="28"/>
  <c r="B9" i="28"/>
  <c r="D8" i="28"/>
  <c r="E8" i="28" s="1"/>
  <c r="F8" i="28" s="1"/>
  <c r="G8" i="28" s="1"/>
  <c r="H8" i="28" s="1"/>
  <c r="I8" i="28" s="1"/>
  <c r="J8" i="28" s="1"/>
  <c r="K8" i="28" s="1"/>
  <c r="L8" i="28" s="1"/>
  <c r="M8" i="28" s="1"/>
  <c r="N8" i="28" s="1"/>
  <c r="O8" i="28" s="1"/>
  <c r="P8" i="28" s="1"/>
  <c r="Q8" i="28" s="1"/>
  <c r="R8" i="28" s="1"/>
  <c r="S8" i="28" s="1"/>
  <c r="T8" i="28" s="1"/>
  <c r="U8" i="28" s="1"/>
  <c r="C8" i="28"/>
  <c r="C6" i="28"/>
  <c r="C9" i="28" s="1"/>
  <c r="C11" i="28" s="1"/>
  <c r="D3" i="28"/>
  <c r="E3" i="28" s="1"/>
  <c r="F3" i="28" s="1"/>
  <c r="G3" i="28" s="1"/>
  <c r="H3" i="28" s="1"/>
  <c r="I3" i="28" s="1"/>
  <c r="J3" i="28" s="1"/>
  <c r="K3" i="28" s="1"/>
  <c r="L3" i="28" s="1"/>
  <c r="M3" i="28" s="1"/>
  <c r="N3" i="28" s="1"/>
  <c r="O3" i="28" s="1"/>
  <c r="P3" i="28" s="1"/>
  <c r="Q3" i="28" s="1"/>
  <c r="R3" i="28" s="1"/>
  <c r="S3" i="28" s="1"/>
  <c r="T3" i="28" s="1"/>
  <c r="U3" i="28" s="1"/>
  <c r="C3" i="28"/>
  <c r="AC4" i="27"/>
  <c r="C20" i="29" l="1"/>
  <c r="B20" i="29"/>
  <c r="C9" i="30"/>
  <c r="C11" i="30" s="1"/>
  <c r="F18" i="30"/>
  <c r="C21" i="30"/>
  <c r="C38" i="30"/>
  <c r="B14" i="30"/>
  <c r="B33" i="30"/>
  <c r="D9" i="30"/>
  <c r="D11" i="30" s="1"/>
  <c r="E6" i="30"/>
  <c r="E20" i="30"/>
  <c r="F20" i="30" s="1"/>
  <c r="G20" i="30" s="1"/>
  <c r="H20" i="30" s="1"/>
  <c r="I20" i="30" s="1"/>
  <c r="J20" i="30" s="1"/>
  <c r="K20" i="30" s="1"/>
  <c r="L20" i="30" s="1"/>
  <c r="M20" i="30" s="1"/>
  <c r="N20" i="30" s="1"/>
  <c r="O20" i="30" s="1"/>
  <c r="P20" i="30" s="1"/>
  <c r="Q20" i="30" s="1"/>
  <c r="R20" i="30" s="1"/>
  <c r="S20" i="30" s="1"/>
  <c r="T20" i="30" s="1"/>
  <c r="U20" i="30" s="1"/>
  <c r="D32" i="30"/>
  <c r="E32" i="30" s="1"/>
  <c r="F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S32" i="30" s="1"/>
  <c r="T32" i="30" s="1"/>
  <c r="U32" i="30" s="1"/>
  <c r="D35" i="30"/>
  <c r="E35" i="30" s="1"/>
  <c r="F35" i="30" s="1"/>
  <c r="G35" i="30" s="1"/>
  <c r="H35" i="30" s="1"/>
  <c r="I35" i="30" s="1"/>
  <c r="J35" i="30" s="1"/>
  <c r="K35" i="30" s="1"/>
  <c r="L35" i="30" s="1"/>
  <c r="M35" i="30" s="1"/>
  <c r="N35" i="30" s="1"/>
  <c r="O35" i="30" s="1"/>
  <c r="P35" i="30" s="1"/>
  <c r="Q35" i="30" s="1"/>
  <c r="R35" i="30" s="1"/>
  <c r="S35" i="30" s="1"/>
  <c r="T35" i="30" s="1"/>
  <c r="U35" i="30" s="1"/>
  <c r="F21" i="28"/>
  <c r="J21" i="28"/>
  <c r="N21" i="28"/>
  <c r="R21" i="28"/>
  <c r="G21" i="28"/>
  <c r="K21" i="28"/>
  <c r="O21" i="28"/>
  <c r="S21" i="28"/>
  <c r="D21" i="28"/>
  <c r="H21" i="28"/>
  <c r="L21" i="28"/>
  <c r="P21" i="28"/>
  <c r="T21" i="28"/>
  <c r="E21" i="28"/>
  <c r="I21" i="28"/>
  <c r="M21" i="28"/>
  <c r="Q21" i="28"/>
  <c r="D6" i="28"/>
  <c r="AE4" i="27"/>
  <c r="AA4" i="27"/>
  <c r="Z7" i="27"/>
  <c r="Z10" i="27" s="1"/>
  <c r="W7" i="27"/>
  <c r="W10" i="27" s="1"/>
  <c r="V7" i="27"/>
  <c r="V10" i="27" s="1"/>
  <c r="S7" i="27"/>
  <c r="S10" i="27" s="1"/>
  <c r="S11" i="27" s="1"/>
  <c r="R7" i="27"/>
  <c r="R10" i="27" s="1"/>
  <c r="R11" i="27" s="1"/>
  <c r="N7" i="27"/>
  <c r="N10" i="27" s="1"/>
  <c r="N11" i="27" s="1"/>
  <c r="K7" i="27"/>
  <c r="K10" i="27" s="1"/>
  <c r="J7" i="27"/>
  <c r="J10" i="27" s="1"/>
  <c r="G7" i="27"/>
  <c r="G10" i="27" s="1"/>
  <c r="F7" i="27"/>
  <c r="F10" i="27" s="1"/>
  <c r="C7" i="27"/>
  <c r="C10" i="27" s="1"/>
  <c r="C14" i="27"/>
  <c r="AB10" i="27"/>
  <c r="B9" i="27"/>
  <c r="Y7" i="27"/>
  <c r="Y10" i="27" s="1"/>
  <c r="X7" i="27"/>
  <c r="X10" i="27" s="1"/>
  <c r="U7" i="27"/>
  <c r="U10" i="27" s="1"/>
  <c r="T7" i="27"/>
  <c r="T10" i="27" s="1"/>
  <c r="Q7" i="27"/>
  <c r="Q10" i="27" s="1"/>
  <c r="Q11" i="27" s="1"/>
  <c r="P7" i="27"/>
  <c r="P10" i="27" s="1"/>
  <c r="P11" i="27" s="1"/>
  <c r="O7" i="27"/>
  <c r="O10" i="27" s="1"/>
  <c r="O11" i="27" s="1"/>
  <c r="M10" i="27"/>
  <c r="M11" i="27" s="1"/>
  <c r="L7" i="27"/>
  <c r="L10" i="27" s="1"/>
  <c r="I7" i="27"/>
  <c r="I10" i="27" s="1"/>
  <c r="H7" i="27"/>
  <c r="H10" i="27" s="1"/>
  <c r="E7" i="27"/>
  <c r="E10" i="27" s="1"/>
  <c r="D7" i="27"/>
  <c r="D10" i="27" s="1"/>
  <c r="F21" i="30" l="1"/>
  <c r="G18" i="30"/>
  <c r="F6" i="30"/>
  <c r="E9" i="30"/>
  <c r="E11" i="30" s="1"/>
  <c r="D36" i="30"/>
  <c r="E21" i="30"/>
  <c r="E6" i="28"/>
  <c r="D9" i="28"/>
  <c r="D11" i="28" s="1"/>
  <c r="E11" i="27"/>
  <c r="E12" i="27"/>
  <c r="E13" i="27" s="1"/>
  <c r="K12" i="27"/>
  <c r="K13" i="27" s="1"/>
  <c r="K11" i="27"/>
  <c r="P12" i="27"/>
  <c r="P13" i="27" s="1"/>
  <c r="U11" i="27"/>
  <c r="U12" i="27"/>
  <c r="U13" i="27" s="1"/>
  <c r="G12" i="27"/>
  <c r="G13" i="27" s="1"/>
  <c r="G11" i="27"/>
  <c r="L12" i="27"/>
  <c r="L13" i="27" s="1"/>
  <c r="L11" i="27"/>
  <c r="Q12" i="27"/>
  <c r="Q13" i="27" s="1"/>
  <c r="W12" i="27"/>
  <c r="W13" i="27" s="1"/>
  <c r="W11" i="27"/>
  <c r="C12" i="27"/>
  <c r="C13" i="27" s="1"/>
  <c r="C11" i="27"/>
  <c r="H12" i="27"/>
  <c r="H13" i="27" s="1"/>
  <c r="H11" i="27"/>
  <c r="M12" i="27"/>
  <c r="M13" i="27" s="1"/>
  <c r="S12" i="27"/>
  <c r="S13" i="27" s="1"/>
  <c r="X12" i="27"/>
  <c r="X13" i="27" s="1"/>
  <c r="X11" i="27"/>
  <c r="F11" i="27"/>
  <c r="F12" i="27"/>
  <c r="F13" i="27" s="1"/>
  <c r="J11" i="27"/>
  <c r="J12" i="27"/>
  <c r="J13" i="27" s="1"/>
  <c r="N12" i="27"/>
  <c r="N13" i="27" s="1"/>
  <c r="R12" i="27"/>
  <c r="R13" i="27" s="1"/>
  <c r="V11" i="27"/>
  <c r="V12" i="27"/>
  <c r="V13" i="27" s="1"/>
  <c r="Z11" i="27"/>
  <c r="Z12" i="27"/>
  <c r="Z13" i="27" s="1"/>
  <c r="D12" i="27"/>
  <c r="D13" i="27" s="1"/>
  <c r="D11" i="27"/>
  <c r="I11" i="27"/>
  <c r="I12" i="27"/>
  <c r="I13" i="27" s="1"/>
  <c r="O12" i="27"/>
  <c r="O13" i="27" s="1"/>
  <c r="T12" i="27"/>
  <c r="T13" i="27" s="1"/>
  <c r="T11" i="27"/>
  <c r="Y11" i="27"/>
  <c r="Y12" i="27"/>
  <c r="Y13" i="27" s="1"/>
  <c r="G6" i="30" l="1"/>
  <c r="F9" i="30"/>
  <c r="F11" i="30" s="1"/>
  <c r="H18" i="30"/>
  <c r="G21" i="30"/>
  <c r="E36" i="30"/>
  <c r="D38" i="30"/>
  <c r="F6" i="28"/>
  <c r="E9" i="28"/>
  <c r="E11" i="28" s="1"/>
  <c r="AB11" i="27"/>
  <c r="AB12" i="27" s="1"/>
  <c r="D14" i="27"/>
  <c r="H21" i="30" l="1"/>
  <c r="I18" i="30"/>
  <c r="F36" i="30"/>
  <c r="E38" i="30"/>
  <c r="G9" i="30"/>
  <c r="G11" i="30" s="1"/>
  <c r="H6" i="30"/>
  <c r="E14" i="27"/>
  <c r="F14" i="27" s="1"/>
  <c r="G14" i="27" s="1"/>
  <c r="H14" i="27" s="1"/>
  <c r="I14" i="27" s="1"/>
  <c r="J14" i="27" s="1"/>
  <c r="K14" i="27" s="1"/>
  <c r="L14" i="27" s="1"/>
  <c r="M14" i="27" s="1"/>
  <c r="N14" i="27" s="1"/>
  <c r="O14" i="27" s="1"/>
  <c r="P14" i="27" s="1"/>
  <c r="Q14" i="27" s="1"/>
  <c r="R14" i="27" s="1"/>
  <c r="S14" i="27" s="1"/>
  <c r="T14" i="27" s="1"/>
  <c r="U14" i="27" s="1"/>
  <c r="V14" i="27" s="1"/>
  <c r="W14" i="27" s="1"/>
  <c r="X14" i="27" s="1"/>
  <c r="Y14" i="27" s="1"/>
  <c r="Z14" i="27" s="1"/>
  <c r="G6" i="28"/>
  <c r="F9" i="28"/>
  <c r="F11" i="28" s="1"/>
  <c r="G36" i="30" l="1"/>
  <c r="F38" i="30"/>
  <c r="H9" i="30"/>
  <c r="H11" i="30" s="1"/>
  <c r="I6" i="30"/>
  <c r="I21" i="30"/>
  <c r="J18" i="30"/>
  <c r="AB13" i="27"/>
  <c r="AB14" i="27" s="1"/>
  <c r="AB15" i="27" s="1"/>
  <c r="H6" i="28"/>
  <c r="G9" i="28"/>
  <c r="G11" i="28" s="1"/>
  <c r="H36" i="30" l="1"/>
  <c r="G38" i="30"/>
  <c r="J21" i="30"/>
  <c r="K18" i="30"/>
  <c r="J6" i="30"/>
  <c r="I9" i="30"/>
  <c r="I11" i="30" s="1"/>
  <c r="I6" i="28"/>
  <c r="H9" i="28"/>
  <c r="H11" i="28" s="1"/>
  <c r="L18" i="30" l="1"/>
  <c r="K21" i="30"/>
  <c r="K6" i="30"/>
  <c r="J9" i="30"/>
  <c r="J11" i="30" s="1"/>
  <c r="I36" i="30"/>
  <c r="H38" i="30"/>
  <c r="J6" i="28"/>
  <c r="I9" i="28"/>
  <c r="I11" i="28" s="1"/>
  <c r="K9" i="30" l="1"/>
  <c r="K11" i="30" s="1"/>
  <c r="L6" i="30"/>
  <c r="J36" i="30"/>
  <c r="I38" i="30"/>
  <c r="L21" i="30"/>
  <c r="M18" i="30"/>
  <c r="K6" i="28"/>
  <c r="J9" i="28"/>
  <c r="J11" i="28" s="1"/>
  <c r="M21" i="30" l="1"/>
  <c r="N18" i="30"/>
  <c r="L9" i="30"/>
  <c r="L11" i="30" s="1"/>
  <c r="M6" i="30"/>
  <c r="K36" i="30"/>
  <c r="J38" i="30"/>
  <c r="L6" i="28"/>
  <c r="K9" i="28"/>
  <c r="K11" i="28" s="1"/>
  <c r="N6" i="30" l="1"/>
  <c r="M9" i="30"/>
  <c r="M11" i="30" s="1"/>
  <c r="N21" i="30"/>
  <c r="O18" i="30"/>
  <c r="L36" i="30"/>
  <c r="K38" i="30"/>
  <c r="M6" i="28"/>
  <c r="L9" i="28"/>
  <c r="L11" i="28" s="1"/>
  <c r="P18" i="30" l="1"/>
  <c r="O21" i="30"/>
  <c r="M36" i="30"/>
  <c r="L38" i="30"/>
  <c r="O6" i="30"/>
  <c r="N9" i="30"/>
  <c r="N11" i="30" s="1"/>
  <c r="N6" i="28"/>
  <c r="M9" i="28"/>
  <c r="M11" i="28" s="1"/>
  <c r="N36" i="30" l="1"/>
  <c r="M38" i="30"/>
  <c r="O9" i="30"/>
  <c r="O11" i="30" s="1"/>
  <c r="P6" i="30"/>
  <c r="P21" i="30"/>
  <c r="Q18" i="30"/>
  <c r="O6" i="28"/>
  <c r="N9" i="28"/>
  <c r="N11" i="28" s="1"/>
  <c r="P9" i="30" l="1"/>
  <c r="P11" i="30" s="1"/>
  <c r="Q6" i="30"/>
  <c r="Q21" i="30"/>
  <c r="R18" i="30"/>
  <c r="O36" i="30"/>
  <c r="N38" i="30"/>
  <c r="P6" i="28"/>
  <c r="O9" i="28"/>
  <c r="O11" i="28" s="1"/>
  <c r="R21" i="30" l="1"/>
  <c r="S18" i="30"/>
  <c r="R6" i="30"/>
  <c r="Q9" i="30"/>
  <c r="Q11" i="30" s="1"/>
  <c r="P36" i="30"/>
  <c r="O38" i="30"/>
  <c r="Q6" i="28"/>
  <c r="P9" i="28"/>
  <c r="P11" i="28" s="1"/>
  <c r="S6" i="30" l="1"/>
  <c r="R9" i="30"/>
  <c r="R11" i="30" s="1"/>
  <c r="T18" i="30"/>
  <c r="S21" i="30"/>
  <c r="Q36" i="30"/>
  <c r="P38" i="30"/>
  <c r="R6" i="28"/>
  <c r="Q9" i="28"/>
  <c r="Q11" i="28" s="1"/>
  <c r="T21" i="30" l="1"/>
  <c r="U18" i="30"/>
  <c r="U21" i="30" s="1"/>
  <c r="R36" i="30"/>
  <c r="Q38" i="30"/>
  <c r="S9" i="30"/>
  <c r="S11" i="30" s="1"/>
  <c r="T6" i="30"/>
  <c r="S6" i="28"/>
  <c r="R9" i="28"/>
  <c r="R11" i="28" s="1"/>
  <c r="S36" i="30" l="1"/>
  <c r="R38" i="30"/>
  <c r="T9" i="30"/>
  <c r="T11" i="30" s="1"/>
  <c r="U6" i="30"/>
  <c r="U9" i="30" s="1"/>
  <c r="U11" i="30" s="1"/>
  <c r="B12" i="30" s="1"/>
  <c r="B15" i="30" s="1"/>
  <c r="T6" i="28"/>
  <c r="S9" i="28"/>
  <c r="S11" i="28" s="1"/>
  <c r="T36" i="30" l="1"/>
  <c r="S38" i="30"/>
  <c r="U6" i="28"/>
  <c r="U9" i="28" s="1"/>
  <c r="U11" i="28" s="1"/>
  <c r="B12" i="28" s="1"/>
  <c r="B15" i="28" s="1"/>
  <c r="T9" i="28"/>
  <c r="T11" i="28" s="1"/>
  <c r="U36" i="30" l="1"/>
  <c r="U38" i="30" s="1"/>
  <c r="B39" i="30" s="1"/>
  <c r="B40" i="30" s="1"/>
  <c r="T38" i="30"/>
</calcChain>
</file>

<file path=xl/sharedStrings.xml><?xml version="1.0" encoding="utf-8"?>
<sst xmlns="http://schemas.openxmlformats.org/spreadsheetml/2006/main" count="121" uniqueCount="80">
  <si>
    <t>Remaining Load</t>
  </si>
  <si>
    <t>State of Charge</t>
  </si>
  <si>
    <t>Equivalent Capacity Factor</t>
  </si>
  <si>
    <t>Energy Storage (dispatch)</t>
  </si>
  <si>
    <t>Total Grid Input</t>
  </si>
  <si>
    <t>SERC</t>
  </si>
  <si>
    <t>Energy Storage (PV charging) before Round Trip efficiency loss</t>
  </si>
  <si>
    <t>Energy Storage (PV charging) after Round Trip efficiency loss</t>
  </si>
  <si>
    <t>Total PV Delivered from Storage</t>
  </si>
  <si>
    <t>SERC MAX Annual, MWH</t>
  </si>
  <si>
    <t>Days/yr</t>
  </si>
  <si>
    <t>MWH/day</t>
  </si>
  <si>
    <t>PV Generation Factor (annual AVG from PVWatts) for Stanton, CA</t>
  </si>
  <si>
    <t>SERC Max annual Capacity Factor per the FSA</t>
  </si>
  <si>
    <t>SERC Actual Max Potential to Operate</t>
  </si>
  <si>
    <t>MWH/day required for equivalency to SERC</t>
  </si>
  <si>
    <t>Storage Operating Statistics</t>
  </si>
  <si>
    <t>Daily Cycles</t>
  </si>
  <si>
    <t>Annual Cycles</t>
  </si>
  <si>
    <t>20 Year Apples-to-Apples Cost Comparison of SERC to Clean Coalition Solar + Storage</t>
  </si>
  <si>
    <t>Year</t>
  </si>
  <si>
    <t>EGT Capacity, MW (installed storage is not incremental)</t>
  </si>
  <si>
    <t>Capex ($1000's)</t>
  </si>
  <si>
    <t>Max Capacity Factor, %</t>
  </si>
  <si>
    <t>Annual MWH</t>
  </si>
  <si>
    <t>Fuel Cost, $/MWH (per Clean Coalition)</t>
  </si>
  <si>
    <t>Fuel Cost, $1000's/year</t>
  </si>
  <si>
    <t>NPV10 of Fuel Cost, $1000's</t>
  </si>
  <si>
    <t>Annual O&amp;M, $1000's/year (per Clean Coalition)</t>
  </si>
  <si>
    <t>NPV10 of O&amp;M Cost, $1000's</t>
  </si>
  <si>
    <t>Total Cost in Present Value, $1000's</t>
  </si>
  <si>
    <t>Clean Coalition Solar + Storage</t>
  </si>
  <si>
    <t>Solar PV Nameplate, MW</t>
  </si>
  <si>
    <t>PV Degradation over time, %</t>
  </si>
  <si>
    <t>PV production net of degradation</t>
  </si>
  <si>
    <t>Annual Degradation Factor, %, per NREL</t>
  </si>
  <si>
    <t>Cost Per Watt, $</t>
  </si>
  <si>
    <t>PV System Cost, $1000's</t>
  </si>
  <si>
    <t>Storage System Size, MW</t>
  </si>
  <si>
    <t>Storage System Size, MWH (sized for RA purposes, 4 hour)</t>
  </si>
  <si>
    <t>Degradation Margin, MWH (per Clean Coalition factor)</t>
  </si>
  <si>
    <t>Storage Installed Cost, $/MWH (per Clean Coalition)</t>
  </si>
  <si>
    <t>Storage Installed Cost, $1000's</t>
  </si>
  <si>
    <t>Total Installed Cost, $1000's (pre-ITC)</t>
  </si>
  <si>
    <t>ITC Credit, %</t>
  </si>
  <si>
    <t>Total Installed Cost, $1000's (post-ITC)</t>
  </si>
  <si>
    <t>NPV10 of O&amp;M, $1000's</t>
  </si>
  <si>
    <t>Augmentation required, MWH/year (replacement of degradation margin)</t>
  </si>
  <si>
    <t>Price Decline of Augmentation, % per year</t>
  </si>
  <si>
    <t>Cumulative Price decline of Augmentation, % per year</t>
  </si>
  <si>
    <t>Augmentation Cost, $1000's (before price decline)</t>
  </si>
  <si>
    <t>Augmentation Cost, $1000's (accounting for price decline)</t>
  </si>
  <si>
    <t>NPV10 of Augmentation, $1000's</t>
  </si>
  <si>
    <t>Summary of 20 year Cost Comparison of SERC vs. Solar + Storage</t>
  </si>
  <si>
    <t>Solar + Storage</t>
  </si>
  <si>
    <t>Capacity, MW (for RA equivalency)</t>
  </si>
  <si>
    <t>Storage Nameplate, MW</t>
  </si>
  <si>
    <t>EGT Nameplate, MW</t>
  </si>
  <si>
    <t>Storage Nameplate, MWH</t>
  </si>
  <si>
    <t>CAPEX (Pre-ITC), $</t>
  </si>
  <si>
    <t>CAPEX (Post-ITC), $</t>
  </si>
  <si>
    <t>Total Costs in Net Present Value, $</t>
  </si>
  <si>
    <t>Solar + Storage Model Corrected to equivalency to SERC max operating capacity factor</t>
  </si>
  <si>
    <t>Load To Serve to Gain Daily Equivalency to SERC</t>
  </si>
  <si>
    <t>PV, MW</t>
  </si>
  <si>
    <t>Grid inputs, MW</t>
  </si>
  <si>
    <t>Hour Ending</t>
  </si>
  <si>
    <t>NPV10 of O&amp;M Costs, $</t>
  </si>
  <si>
    <t>NPV10 of Fuel Cost, $</t>
  </si>
  <si>
    <t>NPV10 of Augmentation Cost, $</t>
  </si>
  <si>
    <t>SERC (@ Capacity Factor of 12.3%)</t>
  </si>
  <si>
    <t>SERC (@ Capacity Factor of 3.4%)</t>
  </si>
  <si>
    <t>Unrealistic</t>
  </si>
  <si>
    <t>Realistic</t>
  </si>
  <si>
    <t>Table 2 - Cost Analysis</t>
  </si>
  <si>
    <t>Total Cost of Storage Only in Present Value, $1000's</t>
  </si>
  <si>
    <t>Percent PV (must &gt; 75%)</t>
  </si>
  <si>
    <t>Total Storage Required (equivalent RA purposes), MWH prior degradation margin</t>
  </si>
  <si>
    <t>Storage Degradation Margin, MWH</t>
  </si>
  <si>
    <t>Total Storage installed,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</si>
</sst>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0" xfId="0" applyFill="1"/>
    <xf numFmtId="0" fontId="0" fillId="0" borderId="0" xfId="0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0" borderId="17" xfId="0" applyFont="1" applyFill="1" applyBorder="1" applyAlignment="1">
      <alignment vertical="center"/>
    </xf>
    <xf numFmtId="164" fontId="0" fillId="0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165" fontId="0" fillId="0" borderId="0" xfId="34" applyNumberFormat="1" applyFont="1"/>
    <xf numFmtId="43" fontId="0" fillId="0" borderId="0" xfId="33" applyFont="1"/>
    <xf numFmtId="167" fontId="0" fillId="0" borderId="0" xfId="33" applyNumberFormat="1" applyFont="1"/>
    <xf numFmtId="9" fontId="0" fillId="0" borderId="7" xfId="0" applyNumberForma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164" fontId="0" fillId="0" borderId="18" xfId="0" applyNumberFormat="1" applyFill="1" applyBorder="1" applyAlignment="1">
      <alignment horizontal="left" wrapText="1"/>
    </xf>
    <xf numFmtId="164" fontId="0" fillId="0" borderId="21" xfId="0" applyNumberFormat="1" applyFill="1" applyBorder="1" applyAlignment="1">
      <alignment horizontal="left" wrapText="1"/>
    </xf>
    <xf numFmtId="166" fontId="0" fillId="0" borderId="3" xfId="33" applyNumberFormat="1" applyFont="1" applyBorder="1" applyAlignment="1"/>
    <xf numFmtId="0" fontId="0" fillId="0" borderId="0" xfId="0" applyAlignment="1"/>
    <xf numFmtId="0" fontId="0" fillId="0" borderId="12" xfId="0" applyFill="1" applyBorder="1" applyAlignment="1">
      <alignment horizontal="left" wrapText="1"/>
    </xf>
    <xf numFmtId="9" fontId="0" fillId="0" borderId="0" xfId="34" applyFont="1"/>
    <xf numFmtId="166" fontId="0" fillId="0" borderId="0" xfId="33" applyNumberFormat="1" applyFont="1"/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165" fontId="0" fillId="0" borderId="29" xfId="34" applyNumberFormat="1" applyFont="1" applyBorder="1"/>
    <xf numFmtId="166" fontId="0" fillId="0" borderId="30" xfId="33" applyNumberFormat="1" applyFont="1" applyBorder="1"/>
    <xf numFmtId="0" fontId="0" fillId="0" borderId="30" xfId="0" applyBorder="1"/>
    <xf numFmtId="164" fontId="0" fillId="0" borderId="31" xfId="0" applyNumberFormat="1" applyBorder="1"/>
    <xf numFmtId="166" fontId="0" fillId="0" borderId="23" xfId="33" applyNumberFormat="1" applyFont="1" applyBorder="1" applyAlignment="1"/>
    <xf numFmtId="166" fontId="0" fillId="0" borderId="36" xfId="0" applyNumberFormat="1" applyFont="1" applyBorder="1" applyAlignment="1"/>
    <xf numFmtId="0" fontId="0" fillId="0" borderId="37" xfId="0" applyBorder="1" applyAlignment="1">
      <alignment horizontal="center" wrapText="1"/>
    </xf>
    <xf numFmtId="164" fontId="0" fillId="0" borderId="38" xfId="0" applyNumberFormat="1" applyFill="1" applyBorder="1" applyAlignment="1">
      <alignment horizontal="left"/>
    </xf>
    <xf numFmtId="164" fontId="0" fillId="0" borderId="39" xfId="0" applyNumberFormat="1" applyBorder="1" applyAlignment="1">
      <alignment horizontal="center"/>
    </xf>
    <xf numFmtId="164" fontId="0" fillId="0" borderId="40" xfId="0" applyNumberFormat="1" applyFill="1" applyBorder="1" applyAlignment="1">
      <alignment horizontal="left" wrapText="1"/>
    </xf>
    <xf numFmtId="164" fontId="0" fillId="0" borderId="41" xfId="0" applyNumberFormat="1" applyFill="1" applyBorder="1" applyAlignment="1">
      <alignment horizontal="center"/>
    </xf>
    <xf numFmtId="0" fontId="0" fillId="0" borderId="40" xfId="0" applyBorder="1"/>
    <xf numFmtId="165" fontId="0" fillId="0" borderId="41" xfId="0" applyNumberFormat="1" applyBorder="1" applyAlignment="1">
      <alignment horizontal="center"/>
    </xf>
    <xf numFmtId="0" fontId="0" fillId="0" borderId="40" xfId="0" applyBorder="1" applyAlignment="1">
      <alignment wrapText="1"/>
    </xf>
    <xf numFmtId="164" fontId="0" fillId="0" borderId="41" xfId="0" applyNumberFormat="1" applyBorder="1" applyAlignment="1">
      <alignment horizontal="center"/>
    </xf>
    <xf numFmtId="164" fontId="0" fillId="0" borderId="42" xfId="0" applyNumberFormat="1" applyFill="1" applyBorder="1" applyAlignment="1">
      <alignment horizontal="left" wrapText="1"/>
    </xf>
    <xf numFmtId="2" fontId="0" fillId="0" borderId="4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5" fillId="0" borderId="0" xfId="0" applyFont="1" applyAlignment="1">
      <alignment wrapText="1"/>
    </xf>
    <xf numFmtId="165" fontId="0" fillId="0" borderId="0" xfId="0" applyNumberFormat="1"/>
    <xf numFmtId="167" fontId="0" fillId="0" borderId="0" xfId="0" applyNumberFormat="1"/>
    <xf numFmtId="0" fontId="5" fillId="0" borderId="0" xfId="0" applyFont="1" applyAlignment="1"/>
    <xf numFmtId="9" fontId="0" fillId="0" borderId="0" xfId="0" applyNumberFormat="1"/>
    <xf numFmtId="0" fontId="0" fillId="0" borderId="43" xfId="0" applyBorder="1" applyAlignment="1">
      <alignment horizontal="center"/>
    </xf>
    <xf numFmtId="3" fontId="0" fillId="0" borderId="36" xfId="0" applyNumberFormat="1" applyBorder="1" applyAlignment="1">
      <alignment horizontal="right" indent="1"/>
    </xf>
    <xf numFmtId="0" fontId="0" fillId="0" borderId="43" xfId="0" applyBorder="1"/>
    <xf numFmtId="0" fontId="0" fillId="0" borderId="36" xfId="0" applyBorder="1"/>
    <xf numFmtId="0" fontId="0" fillId="0" borderId="24" xfId="0" applyBorder="1" applyAlignment="1">
      <alignment horizontal="center"/>
    </xf>
    <xf numFmtId="164" fontId="0" fillId="0" borderId="45" xfId="0" applyNumberFormat="1" applyBorder="1" applyAlignment="1">
      <alignment horizontal="right" indent="1"/>
    </xf>
    <xf numFmtId="164" fontId="0" fillId="0" borderId="46" xfId="0" applyNumberFormat="1" applyBorder="1" applyAlignment="1">
      <alignment horizontal="right" indent="1"/>
    </xf>
    <xf numFmtId="0" fontId="0" fillId="0" borderId="46" xfId="0" applyBorder="1" applyAlignment="1">
      <alignment horizontal="center"/>
    </xf>
    <xf numFmtId="3" fontId="0" fillId="0" borderId="46" xfId="0" applyNumberFormat="1" applyBorder="1" applyAlignment="1">
      <alignment horizontal="right" indent="1"/>
    </xf>
    <xf numFmtId="3" fontId="0" fillId="0" borderId="47" xfId="0" applyNumberFormat="1" applyBorder="1" applyAlignment="1">
      <alignment horizontal="right" indent="1"/>
    </xf>
    <xf numFmtId="0" fontId="0" fillId="0" borderId="44" xfId="0" applyBorder="1" applyAlignment="1">
      <alignment horizontal="center"/>
    </xf>
    <xf numFmtId="164" fontId="0" fillId="0" borderId="37" xfId="0" applyNumberFormat="1" applyBorder="1" applyAlignment="1">
      <alignment horizontal="right" indent="1"/>
    </xf>
    <xf numFmtId="164" fontId="0" fillId="0" borderId="48" xfId="0" applyNumberFormat="1" applyBorder="1" applyAlignment="1">
      <alignment horizontal="right" indent="1"/>
    </xf>
    <xf numFmtId="0" fontId="0" fillId="0" borderId="48" xfId="0" applyBorder="1" applyAlignment="1">
      <alignment horizontal="center"/>
    </xf>
    <xf numFmtId="3" fontId="0" fillId="0" borderId="48" xfId="0" applyNumberFormat="1" applyBorder="1" applyAlignment="1">
      <alignment horizontal="right" indent="1"/>
    </xf>
    <xf numFmtId="3" fontId="0" fillId="0" borderId="49" xfId="0" applyNumberFormat="1" applyBorder="1" applyAlignment="1">
      <alignment horizontal="right" indent="1"/>
    </xf>
    <xf numFmtId="0" fontId="6" fillId="0" borderId="0" xfId="0" applyFont="1"/>
    <xf numFmtId="0" fontId="0" fillId="0" borderId="37" xfId="0" applyBorder="1"/>
    <xf numFmtId="0" fontId="0" fillId="0" borderId="48" xfId="0" applyBorder="1"/>
    <xf numFmtId="0" fontId="0" fillId="0" borderId="49" xfId="0" applyBorder="1"/>
    <xf numFmtId="0" fontId="7" fillId="0" borderId="0" xfId="0" applyFont="1" applyAlignment="1">
      <alignment horizontal="left" vertical="center"/>
    </xf>
    <xf numFmtId="0" fontId="0" fillId="0" borderId="9" xfId="0" applyFont="1" applyFill="1" applyBorder="1" applyAlignment="1">
      <alignment horizontal="left"/>
    </xf>
    <xf numFmtId="165" fontId="0" fillId="0" borderId="0" xfId="34" applyNumberFormat="1" applyFont="1" applyAlignment="1">
      <alignment horizontal="center"/>
    </xf>
    <xf numFmtId="0" fontId="0" fillId="0" borderId="50" xfId="0" applyFont="1" applyFill="1" applyBorder="1" applyAlignment="1">
      <alignment horizontal="center"/>
    </xf>
    <xf numFmtId="166" fontId="0" fillId="0" borderId="21" xfId="33" applyNumberFormat="1" applyFont="1" applyBorder="1" applyAlignment="1"/>
    <xf numFmtId="0" fontId="1" fillId="0" borderId="2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 vertical="top" wrapText="1"/>
    </xf>
    <xf numFmtId="0" fontId="1" fillId="0" borderId="25" xfId="0" applyFont="1" applyFill="1" applyBorder="1" applyAlignment="1"/>
    <xf numFmtId="164" fontId="0" fillId="0" borderId="0" xfId="0" applyNumberFormat="1" applyFill="1" applyBorder="1" applyAlignment="1">
      <alignment horizontal="left" wrapText="1"/>
    </xf>
    <xf numFmtId="0" fontId="0" fillId="0" borderId="35" xfId="0" applyBorder="1" applyAlignment="1">
      <alignment horizontal="center" wrapText="1"/>
    </xf>
    <xf numFmtId="168" fontId="0" fillId="0" borderId="0" xfId="0" applyNumberFormat="1"/>
    <xf numFmtId="43" fontId="0" fillId="0" borderId="0" xfId="33" applyFont="1" applyFill="1" applyBorder="1" applyAlignment="1">
      <alignment horizontal="center"/>
    </xf>
    <xf numFmtId="43" fontId="0" fillId="0" borderId="0" xfId="0" applyNumberFormat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24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</cellXfs>
  <cellStyles count="35">
    <cellStyle name="Comma" xfId="3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  <cellStyle name="Percent" xfId="3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zoomScale="70" zoomScaleNormal="70" workbookViewId="0"/>
  </sheetViews>
  <sheetFormatPr defaultColWidth="8.85546875" defaultRowHeight="15" x14ac:dyDescent="0.25"/>
  <cols>
    <col min="1" max="1" width="24.42578125" style="34" customWidth="1"/>
    <col min="2" max="2" width="8.85546875" style="23"/>
    <col min="3" max="26" width="6.5703125" customWidth="1"/>
    <col min="27" max="27" width="22.5703125" customWidth="1"/>
    <col min="28" max="28" width="17.140625" customWidth="1"/>
    <col min="29" max="29" width="14.42578125" customWidth="1"/>
    <col min="30" max="30" width="10.7109375" customWidth="1"/>
    <col min="31" max="31" width="11.5703125" customWidth="1"/>
  </cols>
  <sheetData>
    <row r="1" spans="1:38" ht="32.1" customHeight="1" thickBot="1" x14ac:dyDescent="0.4">
      <c r="A1" s="96" t="s">
        <v>62</v>
      </c>
    </row>
    <row r="2" spans="1:38" thickBot="1" x14ac:dyDescent="0.4">
      <c r="AB2" s="109" t="s">
        <v>14</v>
      </c>
      <c r="AC2" s="110"/>
      <c r="AD2" s="110"/>
      <c r="AE2" s="111"/>
    </row>
    <row r="3" spans="1:38" ht="44.45" x14ac:dyDescent="0.45">
      <c r="A3" s="97" t="s">
        <v>66</v>
      </c>
      <c r="B3" s="101"/>
      <c r="C3" s="99">
        <v>1</v>
      </c>
      <c r="D3" s="42">
        <f>C3+1</f>
        <v>2</v>
      </c>
      <c r="E3" s="42">
        <f t="shared" ref="E3:Z3" si="0">D3+1</f>
        <v>3</v>
      </c>
      <c r="F3" s="42">
        <f t="shared" si="0"/>
        <v>4</v>
      </c>
      <c r="G3" s="42">
        <f t="shared" si="0"/>
        <v>5</v>
      </c>
      <c r="H3" s="42">
        <f t="shared" si="0"/>
        <v>6</v>
      </c>
      <c r="I3" s="42">
        <f t="shared" si="0"/>
        <v>7</v>
      </c>
      <c r="J3" s="42">
        <f t="shared" si="0"/>
        <v>8</v>
      </c>
      <c r="K3" s="42">
        <f t="shared" si="0"/>
        <v>9</v>
      </c>
      <c r="L3" s="42">
        <f t="shared" si="0"/>
        <v>10</v>
      </c>
      <c r="M3" s="42">
        <f t="shared" si="0"/>
        <v>11</v>
      </c>
      <c r="N3" s="42">
        <f t="shared" si="0"/>
        <v>12</v>
      </c>
      <c r="O3" s="42">
        <f t="shared" si="0"/>
        <v>13</v>
      </c>
      <c r="P3" s="42">
        <f t="shared" si="0"/>
        <v>14</v>
      </c>
      <c r="Q3" s="42">
        <f t="shared" si="0"/>
        <v>15</v>
      </c>
      <c r="R3" s="42">
        <f t="shared" si="0"/>
        <v>16</v>
      </c>
      <c r="S3" s="42">
        <f t="shared" si="0"/>
        <v>17</v>
      </c>
      <c r="T3" s="42">
        <f t="shared" si="0"/>
        <v>18</v>
      </c>
      <c r="U3" s="42">
        <f t="shared" si="0"/>
        <v>19</v>
      </c>
      <c r="V3" s="42">
        <f t="shared" si="0"/>
        <v>20</v>
      </c>
      <c r="W3" s="42">
        <f t="shared" si="0"/>
        <v>21</v>
      </c>
      <c r="X3" s="42">
        <f t="shared" si="0"/>
        <v>22</v>
      </c>
      <c r="Y3" s="42">
        <f t="shared" si="0"/>
        <v>23</v>
      </c>
      <c r="Z3" s="42">
        <f t="shared" si="0"/>
        <v>24</v>
      </c>
      <c r="AA3" s="59" t="s">
        <v>15</v>
      </c>
      <c r="AB3" s="50" t="s">
        <v>13</v>
      </c>
      <c r="AC3" s="51" t="s">
        <v>9</v>
      </c>
      <c r="AD3" s="51" t="s">
        <v>10</v>
      </c>
      <c r="AE3" s="52" t="s">
        <v>11</v>
      </c>
    </row>
    <row r="4" spans="1:38" s="46" customFormat="1" ht="29.45" thickBot="1" x14ac:dyDescent="0.5">
      <c r="A4" s="102" t="s">
        <v>63</v>
      </c>
      <c r="B4" s="103"/>
      <c r="C4" s="100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45">
        <v>0</v>
      </c>
      <c r="P4" s="45">
        <v>0</v>
      </c>
      <c r="Q4" s="45">
        <v>0</v>
      </c>
      <c r="R4" s="45">
        <v>0</v>
      </c>
      <c r="S4" s="45">
        <v>0</v>
      </c>
      <c r="T4" s="45">
        <v>0</v>
      </c>
      <c r="U4" s="45">
        <v>98</v>
      </c>
      <c r="V4" s="45">
        <v>98</v>
      </c>
      <c r="W4" s="45">
        <v>93.3</v>
      </c>
      <c r="X4" s="45">
        <v>0</v>
      </c>
      <c r="Y4" s="45">
        <v>0</v>
      </c>
      <c r="Z4" s="57">
        <v>0</v>
      </c>
      <c r="AA4" s="58">
        <f>SUM(C4:Z4)</f>
        <v>289.3</v>
      </c>
      <c r="AB4" s="53">
        <v>0.123</v>
      </c>
      <c r="AC4" s="54">
        <f>98*AB4*8760</f>
        <v>105593.04000000001</v>
      </c>
      <c r="AD4" s="55">
        <v>365</v>
      </c>
      <c r="AE4" s="56">
        <f>AC4/AD4</f>
        <v>289.29600000000005</v>
      </c>
      <c r="AF4"/>
      <c r="AG4"/>
      <c r="AH4"/>
      <c r="AI4"/>
      <c r="AJ4"/>
      <c r="AK4"/>
      <c r="AL4"/>
    </row>
    <row r="5" spans="1:38" s="5" customFormat="1" ht="15.6" thickTop="1" thickBot="1" x14ac:dyDescent="0.4">
      <c r="A5" s="35"/>
      <c r="B5" s="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7">
        <f>98*24*0.123</f>
        <v>289.29599999999999</v>
      </c>
      <c r="AB5"/>
      <c r="AC5"/>
      <c r="AD5"/>
      <c r="AE5">
        <f>902/8760</f>
        <v>0.10296803652968037</v>
      </c>
      <c r="AF5"/>
      <c r="AG5"/>
      <c r="AH5"/>
      <c r="AI5"/>
      <c r="AJ5"/>
      <c r="AK5"/>
      <c r="AL5"/>
    </row>
    <row r="6" spans="1:38" thickTop="1" x14ac:dyDescent="0.35">
      <c r="A6" s="36"/>
      <c r="B6" s="4"/>
      <c r="C6" s="3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"/>
      <c r="AA6" s="28"/>
    </row>
    <row r="7" spans="1:38" thickBot="1" x14ac:dyDescent="0.4">
      <c r="A7" s="104" t="s">
        <v>64</v>
      </c>
      <c r="B7" s="20">
        <v>60.9</v>
      </c>
      <c r="C7" s="7">
        <f t="shared" ref="C7:Z7" si="1">$B7*C15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2.1495580184457528</v>
      </c>
      <c r="I7" s="8">
        <f t="shared" si="1"/>
        <v>9.5386893533342452</v>
      </c>
      <c r="J7" s="8">
        <f t="shared" si="1"/>
        <v>17.479045218450409</v>
      </c>
      <c r="K7" s="8">
        <f t="shared" si="1"/>
        <v>28.175693429134522</v>
      </c>
      <c r="L7" s="8">
        <f t="shared" si="1"/>
        <v>32.687211655905202</v>
      </c>
      <c r="M7" s="8">
        <f>$B7*M15</f>
        <v>35.637649246476983</v>
      </c>
      <c r="N7" s="8">
        <f t="shared" si="1"/>
        <v>36.244250303543019</v>
      </c>
      <c r="O7" s="8">
        <f t="shared" si="1"/>
        <v>36.404932199194491</v>
      </c>
      <c r="P7" s="8">
        <f t="shared" si="1"/>
        <v>37.255193554768802</v>
      </c>
      <c r="Q7" s="8">
        <f t="shared" si="1"/>
        <v>37.263426598238652</v>
      </c>
      <c r="R7" s="8">
        <f t="shared" si="1"/>
        <v>33.321852369890912</v>
      </c>
      <c r="S7" s="8">
        <f t="shared" si="1"/>
        <v>22.928779480803279</v>
      </c>
      <c r="T7" s="8">
        <f t="shared" si="1"/>
        <v>9.5065436974487696</v>
      </c>
      <c r="U7" s="8">
        <f t="shared" si="1"/>
        <v>1.3098850465438359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0">
        <f t="shared" si="1"/>
        <v>0</v>
      </c>
      <c r="AA7" s="22"/>
    </row>
    <row r="8" spans="1:38" x14ac:dyDescent="0.25">
      <c r="A8" s="104" t="s">
        <v>65</v>
      </c>
      <c r="B8" s="2"/>
      <c r="C8" s="7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30">
        <v>0</v>
      </c>
      <c r="AA8" s="112" t="s">
        <v>16</v>
      </c>
      <c r="AB8" s="113"/>
    </row>
    <row r="9" spans="1:38" ht="30.75" thickBot="1" x14ac:dyDescent="0.3">
      <c r="A9" s="104" t="s">
        <v>2</v>
      </c>
      <c r="B9" s="98">
        <f>COUNTIF(C4:Z4,"&gt;0")/24</f>
        <v>0.125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30"/>
      <c r="AA9" s="114"/>
      <c r="AB9" s="115"/>
    </row>
    <row r="10" spans="1:38" ht="27" customHeight="1" thickBot="1" x14ac:dyDescent="0.4">
      <c r="A10" s="104" t="s">
        <v>0</v>
      </c>
      <c r="B10" s="2"/>
      <c r="C10" s="18">
        <f t="shared" ref="C10:Z10" si="2">C4-C7</f>
        <v>0</v>
      </c>
      <c r="D10" s="19">
        <f t="shared" si="2"/>
        <v>0</v>
      </c>
      <c r="E10" s="19">
        <f t="shared" si="2"/>
        <v>0</v>
      </c>
      <c r="F10" s="19">
        <f t="shared" si="2"/>
        <v>0</v>
      </c>
      <c r="G10" s="19">
        <f t="shared" si="2"/>
        <v>0</v>
      </c>
      <c r="H10" s="19">
        <f t="shared" si="2"/>
        <v>-2.1495580184457528</v>
      </c>
      <c r="I10" s="19">
        <f t="shared" si="2"/>
        <v>-9.5386893533342452</v>
      </c>
      <c r="J10" s="19">
        <f t="shared" si="2"/>
        <v>-17.479045218450409</v>
      </c>
      <c r="K10" s="19">
        <f t="shared" si="2"/>
        <v>-28.175693429134522</v>
      </c>
      <c r="L10" s="19">
        <f t="shared" si="2"/>
        <v>-32.687211655905202</v>
      </c>
      <c r="M10" s="19">
        <f t="shared" si="2"/>
        <v>-35.637649246476983</v>
      </c>
      <c r="N10" s="19">
        <f t="shared" si="2"/>
        <v>-36.244250303543019</v>
      </c>
      <c r="O10" s="19">
        <f t="shared" si="2"/>
        <v>-36.404932199194491</v>
      </c>
      <c r="P10" s="19">
        <f t="shared" si="2"/>
        <v>-37.255193554768802</v>
      </c>
      <c r="Q10" s="19">
        <f t="shared" si="2"/>
        <v>-37.263426598238652</v>
      </c>
      <c r="R10" s="19">
        <f t="shared" si="2"/>
        <v>-33.321852369890912</v>
      </c>
      <c r="S10" s="19">
        <f t="shared" si="2"/>
        <v>-22.928779480803279</v>
      </c>
      <c r="T10" s="19">
        <f t="shared" si="2"/>
        <v>-9.5065436974487696</v>
      </c>
      <c r="U10" s="19">
        <f t="shared" si="2"/>
        <v>96.69011495345616</v>
      </c>
      <c r="V10" s="19">
        <f t="shared" si="2"/>
        <v>98</v>
      </c>
      <c r="W10" s="19">
        <f t="shared" si="2"/>
        <v>93.3</v>
      </c>
      <c r="X10" s="19">
        <f t="shared" si="2"/>
        <v>0</v>
      </c>
      <c r="Y10" s="19">
        <f t="shared" si="2"/>
        <v>0</v>
      </c>
      <c r="Z10" s="31">
        <f t="shared" si="2"/>
        <v>0</v>
      </c>
      <c r="AA10" s="60" t="s">
        <v>4</v>
      </c>
      <c r="AB10" s="61">
        <f>SUM(C8:Z8)</f>
        <v>0</v>
      </c>
    </row>
    <row r="11" spans="1:38" ht="36.6" customHeight="1" thickTop="1" x14ac:dyDescent="0.35">
      <c r="A11" s="37" t="s">
        <v>3</v>
      </c>
      <c r="B11" s="25">
        <v>98</v>
      </c>
      <c r="C11" s="25">
        <f>IF(C10&gt;0,C10,0)</f>
        <v>0</v>
      </c>
      <c r="D11" s="25">
        <f t="shared" ref="D11:Z11" si="3">IF(D10&gt;0,D10,0)</f>
        <v>0</v>
      </c>
      <c r="E11" s="25">
        <f t="shared" si="3"/>
        <v>0</v>
      </c>
      <c r="F11" s="25">
        <f t="shared" si="3"/>
        <v>0</v>
      </c>
      <c r="G11" s="25">
        <f t="shared" si="3"/>
        <v>0</v>
      </c>
      <c r="H11" s="25">
        <f t="shared" si="3"/>
        <v>0</v>
      </c>
      <c r="I11" s="25">
        <f t="shared" si="3"/>
        <v>0</v>
      </c>
      <c r="J11" s="25">
        <f t="shared" si="3"/>
        <v>0</v>
      </c>
      <c r="K11" s="25">
        <f t="shared" si="3"/>
        <v>0</v>
      </c>
      <c r="L11" s="25">
        <f t="shared" si="3"/>
        <v>0</v>
      </c>
      <c r="M11" s="25">
        <f t="shared" si="3"/>
        <v>0</v>
      </c>
      <c r="N11" s="25">
        <f t="shared" si="3"/>
        <v>0</v>
      </c>
      <c r="O11" s="25">
        <f t="shared" si="3"/>
        <v>0</v>
      </c>
      <c r="P11" s="25">
        <f t="shared" si="3"/>
        <v>0</v>
      </c>
      <c r="Q11" s="25">
        <f t="shared" si="3"/>
        <v>0</v>
      </c>
      <c r="R11" s="25">
        <f t="shared" si="3"/>
        <v>0</v>
      </c>
      <c r="S11" s="25">
        <f t="shared" si="3"/>
        <v>0</v>
      </c>
      <c r="T11" s="25">
        <f t="shared" si="3"/>
        <v>0</v>
      </c>
      <c r="U11" s="25">
        <f t="shared" si="3"/>
        <v>96.69011495345616</v>
      </c>
      <c r="V11" s="25">
        <f t="shared" si="3"/>
        <v>98</v>
      </c>
      <c r="W11" s="25">
        <f t="shared" si="3"/>
        <v>93.3</v>
      </c>
      <c r="X11" s="25">
        <f t="shared" si="3"/>
        <v>0</v>
      </c>
      <c r="Y11" s="25">
        <f t="shared" si="3"/>
        <v>0</v>
      </c>
      <c r="Z11" s="32">
        <f t="shared" si="3"/>
        <v>0</v>
      </c>
      <c r="AA11" s="62" t="s">
        <v>8</v>
      </c>
      <c r="AB11" s="63">
        <f>SUMIF(C11:Z11,"&gt;0",C11:Z11)</f>
        <v>287.99011495345616</v>
      </c>
    </row>
    <row r="12" spans="1:38" ht="53.45" customHeight="1" x14ac:dyDescent="0.35">
      <c r="A12" s="43" t="s">
        <v>6</v>
      </c>
      <c r="B12" s="16"/>
      <c r="C12" s="8">
        <f>IF(C10&lt;0,-C10,0)</f>
        <v>0</v>
      </c>
      <c r="D12" s="8">
        <f t="shared" ref="D12:Z12" si="4">IF(D10&lt;0,-D10,0)</f>
        <v>0</v>
      </c>
      <c r="E12" s="8">
        <f t="shared" si="4"/>
        <v>0</v>
      </c>
      <c r="F12" s="8">
        <f t="shared" si="4"/>
        <v>0</v>
      </c>
      <c r="G12" s="8">
        <f t="shared" si="4"/>
        <v>0</v>
      </c>
      <c r="H12" s="8">
        <f t="shared" si="4"/>
        <v>2.1495580184457528</v>
      </c>
      <c r="I12" s="8">
        <f t="shared" si="4"/>
        <v>9.5386893533342452</v>
      </c>
      <c r="J12" s="8">
        <f t="shared" si="4"/>
        <v>17.479045218450409</v>
      </c>
      <c r="K12" s="8">
        <f t="shared" si="4"/>
        <v>28.175693429134522</v>
      </c>
      <c r="L12" s="8">
        <f t="shared" si="4"/>
        <v>32.687211655905202</v>
      </c>
      <c r="M12" s="8">
        <f t="shared" si="4"/>
        <v>35.637649246476983</v>
      </c>
      <c r="N12" s="8">
        <f t="shared" si="4"/>
        <v>36.244250303543019</v>
      </c>
      <c r="O12" s="8">
        <f t="shared" si="4"/>
        <v>36.404932199194491</v>
      </c>
      <c r="P12" s="8">
        <f t="shared" si="4"/>
        <v>37.255193554768802</v>
      </c>
      <c r="Q12" s="8">
        <f t="shared" si="4"/>
        <v>37.263426598238652</v>
      </c>
      <c r="R12" s="8">
        <f t="shared" si="4"/>
        <v>33.321852369890912</v>
      </c>
      <c r="S12" s="8">
        <f t="shared" si="4"/>
        <v>22.928779480803279</v>
      </c>
      <c r="T12" s="8">
        <f t="shared" si="4"/>
        <v>9.5065436974487696</v>
      </c>
      <c r="U12" s="8">
        <f t="shared" si="4"/>
        <v>0</v>
      </c>
      <c r="V12" s="8">
        <f t="shared" si="4"/>
        <v>0</v>
      </c>
      <c r="W12" s="8">
        <f t="shared" si="4"/>
        <v>0</v>
      </c>
      <c r="X12" s="8">
        <f t="shared" si="4"/>
        <v>0</v>
      </c>
      <c r="Y12" s="8">
        <f t="shared" si="4"/>
        <v>0</v>
      </c>
      <c r="Z12" s="30">
        <f t="shared" si="4"/>
        <v>0</v>
      </c>
      <c r="AA12" s="64" t="s">
        <v>76</v>
      </c>
      <c r="AB12" s="65">
        <f>AB11/(AB11+AB10)</f>
        <v>1</v>
      </c>
      <c r="AC12" s="24"/>
      <c r="AD12" s="108"/>
    </row>
    <row r="13" spans="1:38" ht="60.95" customHeight="1" x14ac:dyDescent="0.35">
      <c r="A13" s="43" t="s">
        <v>7</v>
      </c>
      <c r="B13" s="41">
        <v>0.85</v>
      </c>
      <c r="C13" s="8">
        <f>$B$13*C12</f>
        <v>0</v>
      </c>
      <c r="D13" s="8">
        <f t="shared" ref="D13:Z13" si="5">$B$13*D12</f>
        <v>0</v>
      </c>
      <c r="E13" s="8">
        <f t="shared" si="5"/>
        <v>0</v>
      </c>
      <c r="F13" s="8">
        <f t="shared" si="5"/>
        <v>0</v>
      </c>
      <c r="G13" s="8">
        <f t="shared" si="5"/>
        <v>0</v>
      </c>
      <c r="H13" s="8">
        <f t="shared" si="5"/>
        <v>1.8271243156788899</v>
      </c>
      <c r="I13" s="8">
        <f t="shared" si="5"/>
        <v>8.1078859503341079</v>
      </c>
      <c r="J13" s="8">
        <f t="shared" si="5"/>
        <v>14.857188435682847</v>
      </c>
      <c r="K13" s="8">
        <f t="shared" si="5"/>
        <v>23.949339414764342</v>
      </c>
      <c r="L13" s="8">
        <f t="shared" si="5"/>
        <v>27.784129907519421</v>
      </c>
      <c r="M13" s="8">
        <f t="shared" si="5"/>
        <v>30.292001859505433</v>
      </c>
      <c r="N13" s="8">
        <f t="shared" si="5"/>
        <v>30.807612758011565</v>
      </c>
      <c r="O13" s="8">
        <f t="shared" si="5"/>
        <v>30.944192369315317</v>
      </c>
      <c r="P13" s="8">
        <f t="shared" si="5"/>
        <v>31.66691452155348</v>
      </c>
      <c r="Q13" s="8">
        <f t="shared" si="5"/>
        <v>31.673912608502853</v>
      </c>
      <c r="R13" s="8">
        <f t="shared" si="5"/>
        <v>28.323574514407273</v>
      </c>
      <c r="S13" s="8">
        <f t="shared" si="5"/>
        <v>19.489462558682785</v>
      </c>
      <c r="T13" s="8">
        <f t="shared" si="5"/>
        <v>8.0805621428314538</v>
      </c>
      <c r="U13" s="8">
        <f t="shared" si="5"/>
        <v>0</v>
      </c>
      <c r="V13" s="8">
        <f t="shared" si="5"/>
        <v>0</v>
      </c>
      <c r="W13" s="8">
        <f t="shared" si="5"/>
        <v>0</v>
      </c>
      <c r="X13" s="8">
        <f t="shared" si="5"/>
        <v>0</v>
      </c>
      <c r="Y13" s="8">
        <f t="shared" si="5"/>
        <v>0</v>
      </c>
      <c r="Z13" s="30">
        <f t="shared" si="5"/>
        <v>0</v>
      </c>
      <c r="AA13" s="66" t="s">
        <v>77</v>
      </c>
      <c r="AB13" s="67">
        <f>MAX(C14:Z14,B11*4)</f>
        <v>392</v>
      </c>
      <c r="AC13" s="107"/>
      <c r="AD13" s="108"/>
    </row>
    <row r="14" spans="1:38" ht="36.6" customHeight="1" thickBot="1" x14ac:dyDescent="0.4">
      <c r="A14" s="44" t="s">
        <v>1</v>
      </c>
      <c r="B14" s="26"/>
      <c r="C14" s="9">
        <f>0+C8</f>
        <v>0</v>
      </c>
      <c r="D14" s="9">
        <f>C14+D13-D11+D8</f>
        <v>0</v>
      </c>
      <c r="E14" s="9">
        <f t="shared" ref="E14:Z14" si="6">D14+E13-E11+E8</f>
        <v>0</v>
      </c>
      <c r="F14" s="9">
        <f t="shared" si="6"/>
        <v>0</v>
      </c>
      <c r="G14" s="9">
        <f t="shared" si="6"/>
        <v>0</v>
      </c>
      <c r="H14" s="9">
        <f t="shared" si="6"/>
        <v>1.8271243156788899</v>
      </c>
      <c r="I14" s="9">
        <f t="shared" si="6"/>
        <v>9.9350102660129984</v>
      </c>
      <c r="J14" s="9">
        <f t="shared" si="6"/>
        <v>24.792198701695845</v>
      </c>
      <c r="K14" s="9">
        <f t="shared" si="6"/>
        <v>48.741538116460191</v>
      </c>
      <c r="L14" s="9">
        <f t="shared" si="6"/>
        <v>76.52566802397962</v>
      </c>
      <c r="M14" s="9">
        <f t="shared" si="6"/>
        <v>106.81766988348505</v>
      </c>
      <c r="N14" s="9">
        <f t="shared" si="6"/>
        <v>137.62528264149663</v>
      </c>
      <c r="O14" s="9">
        <f t="shared" si="6"/>
        <v>168.56947501081194</v>
      </c>
      <c r="P14" s="9">
        <f t="shared" si="6"/>
        <v>200.23638953236542</v>
      </c>
      <c r="Q14" s="9">
        <f t="shared" si="6"/>
        <v>231.91030214086828</v>
      </c>
      <c r="R14" s="9">
        <f t="shared" si="6"/>
        <v>260.23387665527554</v>
      </c>
      <c r="S14" s="9">
        <f t="shared" si="6"/>
        <v>279.7233392139583</v>
      </c>
      <c r="T14" s="9">
        <f t="shared" si="6"/>
        <v>287.80390135678977</v>
      </c>
      <c r="U14" s="9">
        <f t="shared" si="6"/>
        <v>191.11378640333362</v>
      </c>
      <c r="V14" s="9">
        <f t="shared" si="6"/>
        <v>93.11378640333362</v>
      </c>
      <c r="W14" s="9">
        <f t="shared" si="6"/>
        <v>-0.18621359666637716</v>
      </c>
      <c r="X14" s="9">
        <f t="shared" si="6"/>
        <v>-0.18621359666637716</v>
      </c>
      <c r="Y14" s="9">
        <f t="shared" si="6"/>
        <v>-0.18621359666637716</v>
      </c>
      <c r="Z14" s="33">
        <f t="shared" si="6"/>
        <v>-0.18621359666637716</v>
      </c>
      <c r="AA14" s="62" t="s">
        <v>17</v>
      </c>
      <c r="AB14" s="69">
        <f>MAX(C14:Z14)/AB13</f>
        <v>0.734193625910178</v>
      </c>
    </row>
    <row r="15" spans="1:38" ht="48" customHeight="1" thickTop="1" thickBot="1" x14ac:dyDescent="0.4">
      <c r="A15" s="47" t="s">
        <v>12</v>
      </c>
      <c r="B15" s="12"/>
      <c r="C15" s="13">
        <v>0</v>
      </c>
      <c r="D15" s="14">
        <v>0</v>
      </c>
      <c r="E15" s="14">
        <v>0</v>
      </c>
      <c r="F15" s="14">
        <v>0</v>
      </c>
      <c r="G15" s="14">
        <v>0</v>
      </c>
      <c r="H15" s="14">
        <v>3.5296519186301362E-2</v>
      </c>
      <c r="I15" s="14">
        <v>0.15662872501369862</v>
      </c>
      <c r="J15" s="14">
        <v>0.28701223675616439</v>
      </c>
      <c r="K15" s="14">
        <v>0.46265506451780825</v>
      </c>
      <c r="L15" s="14">
        <v>0.53673582357808214</v>
      </c>
      <c r="M15" s="14">
        <v>0.58518307465479447</v>
      </c>
      <c r="N15" s="14">
        <v>0.5951436831452056</v>
      </c>
      <c r="O15" s="14">
        <v>0.59778213791780777</v>
      </c>
      <c r="P15" s="14">
        <v>0.61174373653150738</v>
      </c>
      <c r="Q15" s="14">
        <v>0.61187892607945238</v>
      </c>
      <c r="R15" s="14">
        <v>0.5471568533643828</v>
      </c>
      <c r="S15" s="14">
        <v>0.37649884204931494</v>
      </c>
      <c r="T15" s="14">
        <v>0.15610088173150688</v>
      </c>
      <c r="U15" s="14">
        <v>2.1508785657534252E-2</v>
      </c>
      <c r="V15" s="14">
        <v>0</v>
      </c>
      <c r="W15" s="14">
        <v>0</v>
      </c>
      <c r="X15" s="14">
        <v>0</v>
      </c>
      <c r="Y15" s="14">
        <v>0</v>
      </c>
      <c r="Z15" s="15">
        <v>0</v>
      </c>
      <c r="AA15" s="68" t="s">
        <v>18</v>
      </c>
      <c r="AB15" s="70">
        <f>365*AB14</f>
        <v>267.98067345721495</v>
      </c>
      <c r="AD15" s="108"/>
    </row>
    <row r="16" spans="1:38" x14ac:dyDescent="0.25">
      <c r="A16" s="11"/>
    </row>
    <row r="17" spans="1:1" x14ac:dyDescent="0.25">
      <c r="A17" s="6"/>
    </row>
  </sheetData>
  <mergeCells count="2">
    <mergeCell ref="AB2:AE2"/>
    <mergeCell ref="AA8:AB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24.7109375" style="29" customWidth="1"/>
    <col min="2" max="21" width="9.5703125" customWidth="1"/>
  </cols>
  <sheetData>
    <row r="1" spans="1:21" ht="14.45" x14ac:dyDescent="0.35">
      <c r="A1" s="74" t="s">
        <v>19</v>
      </c>
    </row>
    <row r="3" spans="1:21" ht="14.45" x14ac:dyDescent="0.35">
      <c r="A3" s="29" t="s">
        <v>20</v>
      </c>
      <c r="B3">
        <v>1</v>
      </c>
      <c r="C3">
        <f>B3+1</f>
        <v>2</v>
      </c>
      <c r="D3">
        <f t="shared" ref="D3:U3" si="0">C3+1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  <c r="I3">
        <f t="shared" si="0"/>
        <v>8</v>
      </c>
      <c r="J3">
        <f t="shared" si="0"/>
        <v>9</v>
      </c>
      <c r="K3">
        <f t="shared" si="0"/>
        <v>10</v>
      </c>
      <c r="L3">
        <f t="shared" si="0"/>
        <v>11</v>
      </c>
      <c r="M3">
        <f t="shared" si="0"/>
        <v>12</v>
      </c>
      <c r="N3">
        <f t="shared" si="0"/>
        <v>13</v>
      </c>
      <c r="O3">
        <f t="shared" si="0"/>
        <v>14</v>
      </c>
      <c r="P3">
        <f t="shared" si="0"/>
        <v>15</v>
      </c>
      <c r="Q3">
        <f t="shared" si="0"/>
        <v>16</v>
      </c>
      <c r="R3">
        <f t="shared" si="0"/>
        <v>17</v>
      </c>
      <c r="S3">
        <f t="shared" si="0"/>
        <v>18</v>
      </c>
      <c r="T3">
        <f t="shared" si="0"/>
        <v>19</v>
      </c>
      <c r="U3">
        <f t="shared" si="0"/>
        <v>20</v>
      </c>
    </row>
    <row r="5" spans="1:21" ht="14.45" x14ac:dyDescent="0.35">
      <c r="A5" s="71" t="s">
        <v>5</v>
      </c>
    </row>
    <row r="6" spans="1:21" ht="29.1" x14ac:dyDescent="0.35">
      <c r="A6" s="29" t="s">
        <v>21</v>
      </c>
      <c r="B6" s="40">
        <v>98</v>
      </c>
      <c r="C6" s="40">
        <f>B6</f>
        <v>98</v>
      </c>
      <c r="D6" s="40">
        <f t="shared" ref="D6:U6" si="1">C6</f>
        <v>98</v>
      </c>
      <c r="E6" s="40">
        <f t="shared" si="1"/>
        <v>98</v>
      </c>
      <c r="F6" s="40">
        <f t="shared" si="1"/>
        <v>98</v>
      </c>
      <c r="G6" s="40">
        <f t="shared" si="1"/>
        <v>98</v>
      </c>
      <c r="H6" s="40">
        <f t="shared" si="1"/>
        <v>98</v>
      </c>
      <c r="I6" s="40">
        <f t="shared" si="1"/>
        <v>98</v>
      </c>
      <c r="J6" s="40">
        <f t="shared" si="1"/>
        <v>98</v>
      </c>
      <c r="K6" s="40">
        <f t="shared" si="1"/>
        <v>98</v>
      </c>
      <c r="L6" s="40">
        <f t="shared" si="1"/>
        <v>98</v>
      </c>
      <c r="M6" s="40">
        <f t="shared" si="1"/>
        <v>98</v>
      </c>
      <c r="N6" s="40">
        <f t="shared" si="1"/>
        <v>98</v>
      </c>
      <c r="O6" s="40">
        <f t="shared" si="1"/>
        <v>98</v>
      </c>
      <c r="P6" s="40">
        <f t="shared" si="1"/>
        <v>98</v>
      </c>
      <c r="Q6" s="40">
        <f t="shared" si="1"/>
        <v>98</v>
      </c>
      <c r="R6" s="40">
        <f t="shared" si="1"/>
        <v>98</v>
      </c>
      <c r="S6" s="40">
        <f t="shared" si="1"/>
        <v>98</v>
      </c>
      <c r="T6" s="40">
        <f t="shared" si="1"/>
        <v>98</v>
      </c>
      <c r="U6" s="40">
        <f t="shared" si="1"/>
        <v>98</v>
      </c>
    </row>
    <row r="7" spans="1:21" ht="14.45" x14ac:dyDescent="0.35">
      <c r="A7" s="29" t="s">
        <v>22</v>
      </c>
      <c r="B7" s="40">
        <v>150000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</row>
    <row r="8" spans="1:21" ht="14.45" x14ac:dyDescent="0.35">
      <c r="A8" s="29" t="s">
        <v>23</v>
      </c>
      <c r="B8" s="72">
        <v>0.123</v>
      </c>
      <c r="C8" s="72">
        <f>B8</f>
        <v>0.123</v>
      </c>
      <c r="D8" s="72">
        <f t="shared" ref="D8:U8" si="2">C8</f>
        <v>0.123</v>
      </c>
      <c r="E8" s="72">
        <f t="shared" si="2"/>
        <v>0.123</v>
      </c>
      <c r="F8" s="72">
        <f t="shared" si="2"/>
        <v>0.123</v>
      </c>
      <c r="G8" s="72">
        <f t="shared" si="2"/>
        <v>0.123</v>
      </c>
      <c r="H8" s="72">
        <f t="shared" si="2"/>
        <v>0.123</v>
      </c>
      <c r="I8" s="72">
        <f t="shared" si="2"/>
        <v>0.123</v>
      </c>
      <c r="J8" s="72">
        <f t="shared" si="2"/>
        <v>0.123</v>
      </c>
      <c r="K8" s="72">
        <f t="shared" si="2"/>
        <v>0.123</v>
      </c>
      <c r="L8" s="72">
        <f t="shared" si="2"/>
        <v>0.123</v>
      </c>
      <c r="M8" s="72">
        <f t="shared" si="2"/>
        <v>0.123</v>
      </c>
      <c r="N8" s="72">
        <f t="shared" si="2"/>
        <v>0.123</v>
      </c>
      <c r="O8" s="72">
        <f t="shared" si="2"/>
        <v>0.123</v>
      </c>
      <c r="P8" s="72">
        <f t="shared" si="2"/>
        <v>0.123</v>
      </c>
      <c r="Q8" s="72">
        <f t="shared" si="2"/>
        <v>0.123</v>
      </c>
      <c r="R8" s="72">
        <f t="shared" si="2"/>
        <v>0.123</v>
      </c>
      <c r="S8" s="72">
        <f t="shared" si="2"/>
        <v>0.123</v>
      </c>
      <c r="T8" s="72">
        <f t="shared" si="2"/>
        <v>0.123</v>
      </c>
      <c r="U8" s="72">
        <f t="shared" si="2"/>
        <v>0.123</v>
      </c>
    </row>
    <row r="9" spans="1:21" ht="14.45" x14ac:dyDescent="0.35">
      <c r="A9" s="29" t="s">
        <v>24</v>
      </c>
      <c r="B9" s="40">
        <f>B6*B8*8760</f>
        <v>105593.04000000001</v>
      </c>
      <c r="C9" s="40">
        <f t="shared" ref="C9:U9" si="3">C6*C8*8760</f>
        <v>105593.04000000001</v>
      </c>
      <c r="D9" s="40">
        <f t="shared" si="3"/>
        <v>105593.04000000001</v>
      </c>
      <c r="E9" s="40">
        <f t="shared" si="3"/>
        <v>105593.04000000001</v>
      </c>
      <c r="F9" s="40">
        <f t="shared" si="3"/>
        <v>105593.04000000001</v>
      </c>
      <c r="G9" s="40">
        <f t="shared" si="3"/>
        <v>105593.04000000001</v>
      </c>
      <c r="H9" s="40">
        <f t="shared" si="3"/>
        <v>105593.04000000001</v>
      </c>
      <c r="I9" s="40">
        <f t="shared" si="3"/>
        <v>105593.04000000001</v>
      </c>
      <c r="J9" s="40">
        <f t="shared" si="3"/>
        <v>105593.04000000001</v>
      </c>
      <c r="K9" s="40">
        <f t="shared" si="3"/>
        <v>105593.04000000001</v>
      </c>
      <c r="L9" s="40">
        <f t="shared" si="3"/>
        <v>105593.04000000001</v>
      </c>
      <c r="M9" s="40">
        <f t="shared" si="3"/>
        <v>105593.04000000001</v>
      </c>
      <c r="N9" s="40">
        <f t="shared" si="3"/>
        <v>105593.04000000001</v>
      </c>
      <c r="O9" s="40">
        <f t="shared" si="3"/>
        <v>105593.04000000001</v>
      </c>
      <c r="P9" s="40">
        <f t="shared" si="3"/>
        <v>105593.04000000001</v>
      </c>
      <c r="Q9" s="40">
        <f t="shared" si="3"/>
        <v>105593.04000000001</v>
      </c>
      <c r="R9" s="40">
        <f t="shared" si="3"/>
        <v>105593.04000000001</v>
      </c>
      <c r="S9" s="40">
        <f t="shared" si="3"/>
        <v>105593.04000000001</v>
      </c>
      <c r="T9" s="40">
        <f t="shared" si="3"/>
        <v>105593.04000000001</v>
      </c>
      <c r="U9" s="40">
        <f t="shared" si="3"/>
        <v>105593.04000000001</v>
      </c>
    </row>
    <row r="10" spans="1:21" ht="29.1" x14ac:dyDescent="0.35">
      <c r="A10" s="29" t="s">
        <v>25</v>
      </c>
      <c r="B10">
        <v>35</v>
      </c>
      <c r="C10">
        <f>B10</f>
        <v>35</v>
      </c>
      <c r="D10">
        <f t="shared" ref="D10:U10" si="4">C10</f>
        <v>35</v>
      </c>
      <c r="E10">
        <f t="shared" si="4"/>
        <v>35</v>
      </c>
      <c r="F10">
        <f t="shared" si="4"/>
        <v>35</v>
      </c>
      <c r="G10">
        <f t="shared" si="4"/>
        <v>35</v>
      </c>
      <c r="H10">
        <f t="shared" si="4"/>
        <v>35</v>
      </c>
      <c r="I10">
        <f t="shared" si="4"/>
        <v>35</v>
      </c>
      <c r="J10">
        <f t="shared" si="4"/>
        <v>35</v>
      </c>
      <c r="K10">
        <f t="shared" si="4"/>
        <v>35</v>
      </c>
      <c r="L10">
        <f t="shared" si="4"/>
        <v>35</v>
      </c>
      <c r="M10">
        <f t="shared" si="4"/>
        <v>35</v>
      </c>
      <c r="N10">
        <f t="shared" si="4"/>
        <v>35</v>
      </c>
      <c r="O10">
        <f t="shared" si="4"/>
        <v>35</v>
      </c>
      <c r="P10">
        <f t="shared" si="4"/>
        <v>35</v>
      </c>
      <c r="Q10">
        <f t="shared" si="4"/>
        <v>35</v>
      </c>
      <c r="R10">
        <f t="shared" si="4"/>
        <v>35</v>
      </c>
      <c r="S10">
        <f t="shared" si="4"/>
        <v>35</v>
      </c>
      <c r="T10">
        <f t="shared" si="4"/>
        <v>35</v>
      </c>
      <c r="U10">
        <f t="shared" si="4"/>
        <v>35</v>
      </c>
    </row>
    <row r="11" spans="1:21" ht="14.45" x14ac:dyDescent="0.35">
      <c r="A11" s="29" t="s">
        <v>26</v>
      </c>
      <c r="B11" s="73">
        <f>B9*B10/1000</f>
        <v>3695.7564000000002</v>
      </c>
      <c r="C11" s="73">
        <f t="shared" ref="C11:U11" si="5">C9*C10/1000</f>
        <v>3695.7564000000002</v>
      </c>
      <c r="D11" s="73">
        <f t="shared" si="5"/>
        <v>3695.7564000000002</v>
      </c>
      <c r="E11" s="73">
        <f t="shared" si="5"/>
        <v>3695.7564000000002</v>
      </c>
      <c r="F11" s="73">
        <f t="shared" si="5"/>
        <v>3695.7564000000002</v>
      </c>
      <c r="G11" s="73">
        <f t="shared" si="5"/>
        <v>3695.7564000000002</v>
      </c>
      <c r="H11" s="73">
        <f t="shared" si="5"/>
        <v>3695.7564000000002</v>
      </c>
      <c r="I11" s="73">
        <f t="shared" si="5"/>
        <v>3695.7564000000002</v>
      </c>
      <c r="J11" s="73">
        <f t="shared" si="5"/>
        <v>3695.7564000000002</v>
      </c>
      <c r="K11" s="73">
        <f t="shared" si="5"/>
        <v>3695.7564000000002</v>
      </c>
      <c r="L11" s="73">
        <f t="shared" si="5"/>
        <v>3695.7564000000002</v>
      </c>
      <c r="M11" s="73">
        <f t="shared" si="5"/>
        <v>3695.7564000000002</v>
      </c>
      <c r="N11" s="73">
        <f t="shared" si="5"/>
        <v>3695.7564000000002</v>
      </c>
      <c r="O11" s="73">
        <f t="shared" si="5"/>
        <v>3695.7564000000002</v>
      </c>
      <c r="P11" s="73">
        <f t="shared" si="5"/>
        <v>3695.7564000000002</v>
      </c>
      <c r="Q11" s="73">
        <f t="shared" si="5"/>
        <v>3695.7564000000002</v>
      </c>
      <c r="R11" s="73">
        <f t="shared" si="5"/>
        <v>3695.7564000000002</v>
      </c>
      <c r="S11" s="73">
        <f t="shared" si="5"/>
        <v>3695.7564000000002</v>
      </c>
      <c r="T11" s="73">
        <f t="shared" si="5"/>
        <v>3695.7564000000002</v>
      </c>
      <c r="U11" s="73">
        <f t="shared" si="5"/>
        <v>3695.7564000000002</v>
      </c>
    </row>
    <row r="12" spans="1:21" ht="14.45" x14ac:dyDescent="0.35">
      <c r="A12" s="29" t="s">
        <v>27</v>
      </c>
      <c r="B12" s="40">
        <f>NPV(0.1,B11:U11)</f>
        <v>31464.057604105492</v>
      </c>
    </row>
    <row r="13" spans="1:21" ht="29.1" x14ac:dyDescent="0.35">
      <c r="A13" s="29" t="s">
        <v>28</v>
      </c>
      <c r="B13" s="40">
        <v>1460</v>
      </c>
      <c r="C13" s="73">
        <f>B13</f>
        <v>1460</v>
      </c>
      <c r="D13" s="73">
        <f t="shared" ref="D13:U13" si="6">C13</f>
        <v>1460</v>
      </c>
      <c r="E13" s="73">
        <f t="shared" si="6"/>
        <v>1460</v>
      </c>
      <c r="F13" s="73">
        <f t="shared" si="6"/>
        <v>1460</v>
      </c>
      <c r="G13" s="73">
        <f t="shared" si="6"/>
        <v>1460</v>
      </c>
      <c r="H13" s="73">
        <f t="shared" si="6"/>
        <v>1460</v>
      </c>
      <c r="I13" s="73">
        <f t="shared" si="6"/>
        <v>1460</v>
      </c>
      <c r="J13" s="73">
        <f t="shared" si="6"/>
        <v>1460</v>
      </c>
      <c r="K13" s="73">
        <f t="shared" si="6"/>
        <v>1460</v>
      </c>
      <c r="L13" s="73">
        <f t="shared" si="6"/>
        <v>1460</v>
      </c>
      <c r="M13" s="73">
        <f t="shared" si="6"/>
        <v>1460</v>
      </c>
      <c r="N13" s="73">
        <f t="shared" si="6"/>
        <v>1460</v>
      </c>
      <c r="O13" s="73">
        <f t="shared" si="6"/>
        <v>1460</v>
      </c>
      <c r="P13" s="73">
        <f t="shared" si="6"/>
        <v>1460</v>
      </c>
      <c r="Q13" s="73">
        <f t="shared" si="6"/>
        <v>1460</v>
      </c>
      <c r="R13" s="73">
        <f t="shared" si="6"/>
        <v>1460</v>
      </c>
      <c r="S13" s="73">
        <f t="shared" si="6"/>
        <v>1460</v>
      </c>
      <c r="T13" s="73">
        <f t="shared" si="6"/>
        <v>1460</v>
      </c>
      <c r="U13" s="73">
        <f t="shared" si="6"/>
        <v>1460</v>
      </c>
    </row>
    <row r="14" spans="1:21" ht="29.1" x14ac:dyDescent="0.35">
      <c r="A14" s="29" t="s">
        <v>29</v>
      </c>
      <c r="B14" s="40">
        <f>NPV(0.1,B13:U13)</f>
        <v>12429.803030847497</v>
      </c>
    </row>
    <row r="15" spans="1:21" ht="29.1" x14ac:dyDescent="0.35">
      <c r="A15" s="29" t="s">
        <v>30</v>
      </c>
      <c r="B15" s="40">
        <f>B7+B12+B14</f>
        <v>193893.86063495299</v>
      </c>
    </row>
    <row r="17" spans="1:21" ht="14.45" x14ac:dyDescent="0.35">
      <c r="A17" s="74" t="s">
        <v>31</v>
      </c>
    </row>
    <row r="18" spans="1:21" ht="14.45" x14ac:dyDescent="0.35">
      <c r="A18" s="29" t="s">
        <v>32</v>
      </c>
      <c r="B18" s="40">
        <v>61</v>
      </c>
      <c r="C18" s="40">
        <f t="shared" ref="C18:U18" si="7">B18</f>
        <v>61</v>
      </c>
      <c r="D18" s="40">
        <f t="shared" si="7"/>
        <v>61</v>
      </c>
      <c r="E18" s="40">
        <f t="shared" si="7"/>
        <v>61</v>
      </c>
      <c r="F18" s="40">
        <f t="shared" si="7"/>
        <v>61</v>
      </c>
      <c r="G18" s="40">
        <f t="shared" si="7"/>
        <v>61</v>
      </c>
      <c r="H18" s="40">
        <f t="shared" si="7"/>
        <v>61</v>
      </c>
      <c r="I18" s="40">
        <f t="shared" si="7"/>
        <v>61</v>
      </c>
      <c r="J18" s="40">
        <f t="shared" si="7"/>
        <v>61</v>
      </c>
      <c r="K18" s="40">
        <f t="shared" si="7"/>
        <v>61</v>
      </c>
      <c r="L18" s="40">
        <f t="shared" si="7"/>
        <v>61</v>
      </c>
      <c r="M18" s="40">
        <f t="shared" si="7"/>
        <v>61</v>
      </c>
      <c r="N18" s="40">
        <f t="shared" si="7"/>
        <v>61</v>
      </c>
      <c r="O18" s="40">
        <f t="shared" si="7"/>
        <v>61</v>
      </c>
      <c r="P18" s="40">
        <f t="shared" si="7"/>
        <v>61</v>
      </c>
      <c r="Q18" s="40">
        <f t="shared" si="7"/>
        <v>61</v>
      </c>
      <c r="R18" s="40">
        <f t="shared" si="7"/>
        <v>61</v>
      </c>
      <c r="S18" s="40">
        <f t="shared" si="7"/>
        <v>61</v>
      </c>
      <c r="T18" s="40">
        <f t="shared" si="7"/>
        <v>61</v>
      </c>
      <c r="U18" s="40">
        <f t="shared" si="7"/>
        <v>61</v>
      </c>
    </row>
    <row r="19" spans="1:21" ht="29.1" x14ac:dyDescent="0.35">
      <c r="A19" s="29" t="s">
        <v>35</v>
      </c>
      <c r="B19" s="38">
        <v>4.0000000000000001E-3</v>
      </c>
      <c r="C19" s="38">
        <f>B19</f>
        <v>4.0000000000000001E-3</v>
      </c>
      <c r="D19" s="38">
        <f t="shared" ref="D19:U19" si="8">C19</f>
        <v>4.0000000000000001E-3</v>
      </c>
      <c r="E19" s="38">
        <f t="shared" si="8"/>
        <v>4.0000000000000001E-3</v>
      </c>
      <c r="F19" s="38">
        <f t="shared" si="8"/>
        <v>4.0000000000000001E-3</v>
      </c>
      <c r="G19" s="38">
        <f t="shared" si="8"/>
        <v>4.0000000000000001E-3</v>
      </c>
      <c r="H19" s="38">
        <f t="shared" si="8"/>
        <v>4.0000000000000001E-3</v>
      </c>
      <c r="I19" s="38">
        <f t="shared" si="8"/>
        <v>4.0000000000000001E-3</v>
      </c>
      <c r="J19" s="38">
        <f t="shared" si="8"/>
        <v>4.0000000000000001E-3</v>
      </c>
      <c r="K19" s="38">
        <f t="shared" si="8"/>
        <v>4.0000000000000001E-3</v>
      </c>
      <c r="L19" s="38">
        <f t="shared" si="8"/>
        <v>4.0000000000000001E-3</v>
      </c>
      <c r="M19" s="38">
        <f t="shared" si="8"/>
        <v>4.0000000000000001E-3</v>
      </c>
      <c r="N19" s="38">
        <f t="shared" si="8"/>
        <v>4.0000000000000001E-3</v>
      </c>
      <c r="O19" s="38">
        <f t="shared" si="8"/>
        <v>4.0000000000000001E-3</v>
      </c>
      <c r="P19" s="38">
        <f t="shared" si="8"/>
        <v>4.0000000000000001E-3</v>
      </c>
      <c r="Q19" s="38">
        <f t="shared" si="8"/>
        <v>4.0000000000000001E-3</v>
      </c>
      <c r="R19" s="38">
        <f t="shared" si="8"/>
        <v>4.0000000000000001E-3</v>
      </c>
      <c r="S19" s="38">
        <f t="shared" si="8"/>
        <v>4.0000000000000001E-3</v>
      </c>
      <c r="T19" s="38">
        <f t="shared" si="8"/>
        <v>4.0000000000000001E-3</v>
      </c>
      <c r="U19" s="38">
        <f t="shared" si="8"/>
        <v>4.0000000000000001E-3</v>
      </c>
    </row>
    <row r="20" spans="1:21" ht="27.95" customHeight="1" x14ac:dyDescent="0.35">
      <c r="A20" s="29" t="s">
        <v>33</v>
      </c>
      <c r="B20" s="75">
        <v>0</v>
      </c>
      <c r="C20" s="72">
        <f>C19</f>
        <v>4.0000000000000001E-3</v>
      </c>
      <c r="D20" s="72">
        <f>C20+D19</f>
        <v>8.0000000000000002E-3</v>
      </c>
      <c r="E20" s="72">
        <f t="shared" ref="E20:U20" si="9">D20+E19</f>
        <v>1.2E-2</v>
      </c>
      <c r="F20" s="72">
        <f t="shared" si="9"/>
        <v>1.6E-2</v>
      </c>
      <c r="G20" s="72">
        <f t="shared" si="9"/>
        <v>0.02</v>
      </c>
      <c r="H20" s="72">
        <f t="shared" si="9"/>
        <v>2.4E-2</v>
      </c>
      <c r="I20" s="72">
        <f t="shared" si="9"/>
        <v>2.8000000000000001E-2</v>
      </c>
      <c r="J20" s="72">
        <f t="shared" si="9"/>
        <v>3.2000000000000001E-2</v>
      </c>
      <c r="K20" s="72">
        <f t="shared" si="9"/>
        <v>3.6000000000000004E-2</v>
      </c>
      <c r="L20" s="72">
        <f t="shared" si="9"/>
        <v>4.0000000000000008E-2</v>
      </c>
      <c r="M20" s="72">
        <f t="shared" si="9"/>
        <v>4.4000000000000011E-2</v>
      </c>
      <c r="N20" s="72">
        <f t="shared" si="9"/>
        <v>4.8000000000000015E-2</v>
      </c>
      <c r="O20" s="72">
        <f t="shared" si="9"/>
        <v>5.2000000000000018E-2</v>
      </c>
      <c r="P20" s="72">
        <f t="shared" si="9"/>
        <v>5.6000000000000022E-2</v>
      </c>
      <c r="Q20" s="72">
        <f t="shared" si="9"/>
        <v>6.0000000000000026E-2</v>
      </c>
      <c r="R20" s="72">
        <f t="shared" si="9"/>
        <v>6.4000000000000029E-2</v>
      </c>
      <c r="S20" s="72">
        <f t="shared" si="9"/>
        <v>6.8000000000000033E-2</v>
      </c>
      <c r="T20" s="72">
        <f t="shared" si="9"/>
        <v>7.2000000000000036E-2</v>
      </c>
      <c r="U20" s="72">
        <f t="shared" si="9"/>
        <v>7.600000000000004E-2</v>
      </c>
    </row>
    <row r="21" spans="1:21" ht="29.1" x14ac:dyDescent="0.35">
      <c r="A21" s="29" t="s">
        <v>34</v>
      </c>
      <c r="B21" s="49">
        <f>B18*(1-B20)</f>
        <v>61</v>
      </c>
      <c r="C21" s="49">
        <f>C18*(1-C20)</f>
        <v>60.756</v>
      </c>
      <c r="D21" s="49">
        <f t="shared" ref="D21:U21" si="10">D18*(1-D20)</f>
        <v>60.512</v>
      </c>
      <c r="E21" s="49">
        <f t="shared" si="10"/>
        <v>60.268000000000001</v>
      </c>
      <c r="F21" s="49">
        <f t="shared" si="10"/>
        <v>60.024000000000001</v>
      </c>
      <c r="G21" s="49">
        <f t="shared" si="10"/>
        <v>59.78</v>
      </c>
      <c r="H21" s="49">
        <f t="shared" si="10"/>
        <v>59.536000000000001</v>
      </c>
      <c r="I21" s="49">
        <f t="shared" si="10"/>
        <v>59.292000000000002</v>
      </c>
      <c r="J21" s="49">
        <f t="shared" si="10"/>
        <v>59.048000000000002</v>
      </c>
      <c r="K21" s="49">
        <f t="shared" si="10"/>
        <v>58.803999999999995</v>
      </c>
      <c r="L21" s="49">
        <f t="shared" si="10"/>
        <v>58.559999999999995</v>
      </c>
      <c r="M21" s="49">
        <f t="shared" si="10"/>
        <v>58.315999999999995</v>
      </c>
      <c r="N21" s="49">
        <f t="shared" si="10"/>
        <v>58.071999999999996</v>
      </c>
      <c r="O21" s="49">
        <f t="shared" si="10"/>
        <v>57.827999999999996</v>
      </c>
      <c r="P21" s="49">
        <f t="shared" si="10"/>
        <v>57.583999999999996</v>
      </c>
      <c r="Q21" s="49">
        <f t="shared" si="10"/>
        <v>57.339999999999996</v>
      </c>
      <c r="R21" s="49">
        <f t="shared" si="10"/>
        <v>57.095999999999997</v>
      </c>
      <c r="S21" s="49">
        <f t="shared" si="10"/>
        <v>56.851999999999997</v>
      </c>
      <c r="T21" s="49">
        <f t="shared" si="10"/>
        <v>56.607999999999997</v>
      </c>
      <c r="U21" s="49">
        <f t="shared" si="10"/>
        <v>56.363999999999997</v>
      </c>
    </row>
    <row r="22" spans="1:21" x14ac:dyDescent="0.25">
      <c r="A22" s="29" t="s">
        <v>36</v>
      </c>
      <c r="B22" s="39">
        <v>1.85</v>
      </c>
    </row>
    <row r="23" spans="1:21" x14ac:dyDescent="0.25">
      <c r="A23" s="29" t="s">
        <v>37</v>
      </c>
      <c r="B23" s="40">
        <f>B18*1000000*B22/1000</f>
        <v>112850</v>
      </c>
    </row>
    <row r="24" spans="1:21" x14ac:dyDescent="0.25">
      <c r="A24" s="29" t="s">
        <v>38</v>
      </c>
      <c r="B24" s="40">
        <v>98</v>
      </c>
      <c r="C24" s="40">
        <f>B24</f>
        <v>98</v>
      </c>
      <c r="D24" s="40">
        <f t="shared" ref="D24:U24" si="11">C24</f>
        <v>98</v>
      </c>
      <c r="E24" s="40">
        <f t="shared" si="11"/>
        <v>98</v>
      </c>
      <c r="F24" s="40">
        <f t="shared" si="11"/>
        <v>98</v>
      </c>
      <c r="G24" s="40">
        <f t="shared" si="11"/>
        <v>98</v>
      </c>
      <c r="H24" s="40">
        <f t="shared" si="11"/>
        <v>98</v>
      </c>
      <c r="I24" s="40">
        <f t="shared" si="11"/>
        <v>98</v>
      </c>
      <c r="J24" s="40">
        <f t="shared" si="11"/>
        <v>98</v>
      </c>
      <c r="K24" s="40">
        <f t="shared" si="11"/>
        <v>98</v>
      </c>
      <c r="L24" s="40">
        <f t="shared" si="11"/>
        <v>98</v>
      </c>
      <c r="M24" s="40">
        <f t="shared" si="11"/>
        <v>98</v>
      </c>
      <c r="N24" s="40">
        <f t="shared" si="11"/>
        <v>98</v>
      </c>
      <c r="O24" s="40">
        <f t="shared" si="11"/>
        <v>98</v>
      </c>
      <c r="P24" s="40">
        <f t="shared" si="11"/>
        <v>98</v>
      </c>
      <c r="Q24" s="40">
        <f t="shared" si="11"/>
        <v>98</v>
      </c>
      <c r="R24" s="40">
        <f t="shared" si="11"/>
        <v>98</v>
      </c>
      <c r="S24" s="40">
        <f t="shared" si="11"/>
        <v>98</v>
      </c>
      <c r="T24" s="40">
        <f t="shared" si="11"/>
        <v>98</v>
      </c>
      <c r="U24" s="40">
        <f t="shared" si="11"/>
        <v>98</v>
      </c>
    </row>
    <row r="25" spans="1:21" ht="45" x14ac:dyDescent="0.25">
      <c r="A25" s="29" t="s">
        <v>39</v>
      </c>
      <c r="B25" s="73">
        <f>B24*4</f>
        <v>392</v>
      </c>
    </row>
    <row r="26" spans="1:21" ht="45" x14ac:dyDescent="0.25">
      <c r="A26" s="29" t="s">
        <v>40</v>
      </c>
      <c r="B26" s="73">
        <f>B25/0.75-B25</f>
        <v>130.66666666666663</v>
      </c>
    </row>
    <row r="27" spans="1:21" ht="45" x14ac:dyDescent="0.25">
      <c r="A27" s="29" t="s">
        <v>41</v>
      </c>
      <c r="B27" s="40">
        <v>335000</v>
      </c>
    </row>
    <row r="28" spans="1:21" ht="30" x14ac:dyDescent="0.25">
      <c r="A28" s="29" t="s">
        <v>42</v>
      </c>
      <c r="B28" s="73">
        <f>(B25+B26)*B27/1000</f>
        <v>175093.33333333331</v>
      </c>
    </row>
    <row r="29" spans="1:21" ht="30" x14ac:dyDescent="0.25">
      <c r="A29" s="29" t="s">
        <v>43</v>
      </c>
      <c r="B29" s="73">
        <f>B28+B23</f>
        <v>287943.33333333331</v>
      </c>
    </row>
    <row r="30" spans="1:21" x14ac:dyDescent="0.25">
      <c r="A30" s="29" t="s">
        <v>44</v>
      </c>
      <c r="B30" s="75">
        <v>0.3</v>
      </c>
    </row>
    <row r="31" spans="1:21" ht="30" x14ac:dyDescent="0.25">
      <c r="A31" s="29" t="s">
        <v>45</v>
      </c>
      <c r="B31" s="73">
        <f>B29*(1-B30)</f>
        <v>201560.33333333331</v>
      </c>
      <c r="C31" s="106">
        <f>B32/15000</f>
        <v>0.185</v>
      </c>
    </row>
    <row r="32" spans="1:21" ht="30" x14ac:dyDescent="0.25">
      <c r="A32" s="29" t="s">
        <v>28</v>
      </c>
      <c r="B32" s="40">
        <v>2775</v>
      </c>
      <c r="C32" s="73">
        <f>B32</f>
        <v>2775</v>
      </c>
      <c r="D32" s="73">
        <f t="shared" ref="D32:U32" si="12">C32</f>
        <v>2775</v>
      </c>
      <c r="E32" s="73">
        <f t="shared" si="12"/>
        <v>2775</v>
      </c>
      <c r="F32" s="73">
        <f t="shared" si="12"/>
        <v>2775</v>
      </c>
      <c r="G32" s="73">
        <f t="shared" si="12"/>
        <v>2775</v>
      </c>
      <c r="H32" s="73">
        <f t="shared" si="12"/>
        <v>2775</v>
      </c>
      <c r="I32" s="73">
        <f t="shared" si="12"/>
        <v>2775</v>
      </c>
      <c r="J32" s="73">
        <f t="shared" si="12"/>
        <v>2775</v>
      </c>
      <c r="K32" s="73">
        <f t="shared" si="12"/>
        <v>2775</v>
      </c>
      <c r="L32" s="73">
        <f t="shared" si="12"/>
        <v>2775</v>
      </c>
      <c r="M32" s="73">
        <f t="shared" si="12"/>
        <v>2775</v>
      </c>
      <c r="N32" s="73">
        <f t="shared" si="12"/>
        <v>2775</v>
      </c>
      <c r="O32" s="73">
        <f t="shared" si="12"/>
        <v>2775</v>
      </c>
      <c r="P32" s="73">
        <f t="shared" si="12"/>
        <v>2775</v>
      </c>
      <c r="Q32" s="73">
        <f t="shared" si="12"/>
        <v>2775</v>
      </c>
      <c r="R32" s="73">
        <f t="shared" si="12"/>
        <v>2775</v>
      </c>
      <c r="S32" s="73">
        <f t="shared" si="12"/>
        <v>2775</v>
      </c>
      <c r="T32" s="73">
        <f t="shared" si="12"/>
        <v>2775</v>
      </c>
      <c r="U32" s="73">
        <f t="shared" si="12"/>
        <v>2775</v>
      </c>
    </row>
    <row r="33" spans="1:21" x14ac:dyDescent="0.25">
      <c r="A33" s="29" t="s">
        <v>46</v>
      </c>
      <c r="B33" s="40">
        <f>NPV(0.1,B32:U32)</f>
        <v>23625.139322329997</v>
      </c>
    </row>
    <row r="34" spans="1:21" ht="45" x14ac:dyDescent="0.25">
      <c r="A34" s="29" t="s">
        <v>47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131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131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131</v>
      </c>
      <c r="T34" s="73">
        <v>0</v>
      </c>
      <c r="U34" s="73">
        <v>0</v>
      </c>
    </row>
    <row r="35" spans="1:21" ht="30" x14ac:dyDescent="0.25">
      <c r="A35" s="29" t="s">
        <v>48</v>
      </c>
      <c r="B35" s="48">
        <v>0.02</v>
      </c>
      <c r="C35" s="48">
        <f>B35</f>
        <v>0.02</v>
      </c>
      <c r="D35" s="48">
        <f t="shared" ref="D35:U35" si="13">C35</f>
        <v>0.02</v>
      </c>
      <c r="E35" s="48">
        <f t="shared" si="13"/>
        <v>0.02</v>
      </c>
      <c r="F35" s="48">
        <f t="shared" si="13"/>
        <v>0.02</v>
      </c>
      <c r="G35" s="48">
        <f t="shared" si="13"/>
        <v>0.02</v>
      </c>
      <c r="H35" s="48">
        <f t="shared" si="13"/>
        <v>0.02</v>
      </c>
      <c r="I35" s="48">
        <f t="shared" si="13"/>
        <v>0.02</v>
      </c>
      <c r="J35" s="48">
        <f t="shared" si="13"/>
        <v>0.02</v>
      </c>
      <c r="K35" s="48">
        <f t="shared" si="13"/>
        <v>0.02</v>
      </c>
      <c r="L35" s="48">
        <f t="shared" si="13"/>
        <v>0.02</v>
      </c>
      <c r="M35" s="48">
        <f t="shared" si="13"/>
        <v>0.02</v>
      </c>
      <c r="N35" s="48">
        <f t="shared" si="13"/>
        <v>0.02</v>
      </c>
      <c r="O35" s="48">
        <f t="shared" si="13"/>
        <v>0.02</v>
      </c>
      <c r="P35" s="48">
        <f t="shared" si="13"/>
        <v>0.02</v>
      </c>
      <c r="Q35" s="48">
        <f t="shared" si="13"/>
        <v>0.02</v>
      </c>
      <c r="R35" s="48">
        <f t="shared" si="13"/>
        <v>0.02</v>
      </c>
      <c r="S35" s="48">
        <f t="shared" si="13"/>
        <v>0.02</v>
      </c>
      <c r="T35" s="48">
        <f t="shared" si="13"/>
        <v>0.02</v>
      </c>
      <c r="U35" s="48">
        <f t="shared" si="13"/>
        <v>0.02</v>
      </c>
    </row>
    <row r="36" spans="1:21" ht="45" x14ac:dyDescent="0.25">
      <c r="A36" s="29" t="s">
        <v>49</v>
      </c>
      <c r="B36" s="48">
        <v>0</v>
      </c>
      <c r="C36" s="48">
        <f>C35</f>
        <v>0.02</v>
      </c>
      <c r="D36" s="48">
        <f>C36+D35</f>
        <v>0.04</v>
      </c>
      <c r="E36" s="48">
        <f t="shared" ref="E36:U36" si="14">D36+E35</f>
        <v>0.06</v>
      </c>
      <c r="F36" s="48">
        <f t="shared" si="14"/>
        <v>0.08</v>
      </c>
      <c r="G36" s="48">
        <f t="shared" si="14"/>
        <v>0.1</v>
      </c>
      <c r="H36" s="48">
        <f t="shared" si="14"/>
        <v>0.12000000000000001</v>
      </c>
      <c r="I36" s="48">
        <f t="shared" si="14"/>
        <v>0.14000000000000001</v>
      </c>
      <c r="J36" s="48">
        <f t="shared" si="14"/>
        <v>0.16</v>
      </c>
      <c r="K36" s="48">
        <f t="shared" si="14"/>
        <v>0.18</v>
      </c>
      <c r="L36" s="48">
        <f t="shared" si="14"/>
        <v>0.19999999999999998</v>
      </c>
      <c r="M36" s="48">
        <f t="shared" si="14"/>
        <v>0.21999999999999997</v>
      </c>
      <c r="N36" s="48">
        <f t="shared" si="14"/>
        <v>0.23999999999999996</v>
      </c>
      <c r="O36" s="48">
        <f t="shared" si="14"/>
        <v>0.25999999999999995</v>
      </c>
      <c r="P36" s="48">
        <f t="shared" si="14"/>
        <v>0.27999999999999997</v>
      </c>
      <c r="Q36" s="48">
        <f t="shared" si="14"/>
        <v>0.3</v>
      </c>
      <c r="R36" s="48">
        <f t="shared" si="14"/>
        <v>0.32</v>
      </c>
      <c r="S36" s="48">
        <f t="shared" si="14"/>
        <v>0.34</v>
      </c>
      <c r="T36" s="48">
        <f t="shared" si="14"/>
        <v>0.36000000000000004</v>
      </c>
      <c r="U36" s="48">
        <f t="shared" si="14"/>
        <v>0.38000000000000006</v>
      </c>
    </row>
    <row r="37" spans="1:21" ht="45" x14ac:dyDescent="0.25">
      <c r="A37" s="29" t="s">
        <v>50</v>
      </c>
      <c r="B37" s="73">
        <f>B34*$B$27/1000</f>
        <v>0</v>
      </c>
      <c r="C37" s="73">
        <f t="shared" ref="C37:U37" si="15">C34*$B$27/1000</f>
        <v>0</v>
      </c>
      <c r="D37" s="73">
        <f t="shared" si="15"/>
        <v>0</v>
      </c>
      <c r="E37" s="73">
        <f t="shared" si="15"/>
        <v>0</v>
      </c>
      <c r="F37" s="73">
        <f>F34*$B$27/1000</f>
        <v>0</v>
      </c>
      <c r="G37" s="73">
        <f t="shared" si="15"/>
        <v>43885</v>
      </c>
      <c r="H37" s="73">
        <f t="shared" si="15"/>
        <v>0</v>
      </c>
      <c r="I37" s="73">
        <f t="shared" si="15"/>
        <v>0</v>
      </c>
      <c r="J37" s="73">
        <f t="shared" si="15"/>
        <v>0</v>
      </c>
      <c r="K37" s="73">
        <f t="shared" si="15"/>
        <v>0</v>
      </c>
      <c r="L37" s="73">
        <f t="shared" si="15"/>
        <v>0</v>
      </c>
      <c r="M37" s="73">
        <f t="shared" si="15"/>
        <v>43885</v>
      </c>
      <c r="N37" s="73">
        <f t="shared" si="15"/>
        <v>0</v>
      </c>
      <c r="O37" s="73">
        <f t="shared" si="15"/>
        <v>0</v>
      </c>
      <c r="P37" s="73">
        <f t="shared" si="15"/>
        <v>0</v>
      </c>
      <c r="Q37" s="73">
        <f t="shared" si="15"/>
        <v>0</v>
      </c>
      <c r="R37" s="73">
        <f t="shared" si="15"/>
        <v>0</v>
      </c>
      <c r="S37" s="73">
        <f t="shared" si="15"/>
        <v>43885</v>
      </c>
      <c r="T37" s="73">
        <f t="shared" si="15"/>
        <v>0</v>
      </c>
      <c r="U37" s="73">
        <f t="shared" si="15"/>
        <v>0</v>
      </c>
    </row>
    <row r="38" spans="1:21" ht="45" x14ac:dyDescent="0.25">
      <c r="A38" s="29" t="s">
        <v>51</v>
      </c>
      <c r="B38" s="73">
        <f>B37*(1-B36)</f>
        <v>0</v>
      </c>
      <c r="C38" s="73">
        <f t="shared" ref="C38:U38" si="16">C37*(1-C36)</f>
        <v>0</v>
      </c>
      <c r="D38" s="73">
        <f t="shared" si="16"/>
        <v>0</v>
      </c>
      <c r="E38" s="73">
        <f t="shared" si="16"/>
        <v>0</v>
      </c>
      <c r="F38" s="73">
        <f t="shared" si="16"/>
        <v>0</v>
      </c>
      <c r="G38" s="73">
        <f t="shared" si="16"/>
        <v>39496.5</v>
      </c>
      <c r="H38" s="73">
        <f t="shared" si="16"/>
        <v>0</v>
      </c>
      <c r="I38" s="73">
        <f t="shared" si="16"/>
        <v>0</v>
      </c>
      <c r="J38" s="73">
        <f t="shared" si="16"/>
        <v>0</v>
      </c>
      <c r="K38" s="73">
        <f t="shared" si="16"/>
        <v>0</v>
      </c>
      <c r="L38" s="73">
        <f t="shared" si="16"/>
        <v>0</v>
      </c>
      <c r="M38" s="73">
        <f t="shared" si="16"/>
        <v>34230.300000000003</v>
      </c>
      <c r="N38" s="73">
        <f t="shared" si="16"/>
        <v>0</v>
      </c>
      <c r="O38" s="73">
        <f t="shared" si="16"/>
        <v>0</v>
      </c>
      <c r="P38" s="73">
        <f t="shared" si="16"/>
        <v>0</v>
      </c>
      <c r="Q38" s="73">
        <f t="shared" si="16"/>
        <v>0</v>
      </c>
      <c r="R38" s="73">
        <f t="shared" si="16"/>
        <v>0</v>
      </c>
      <c r="S38" s="73">
        <f t="shared" si="16"/>
        <v>28964.099999999995</v>
      </c>
      <c r="T38" s="73">
        <f t="shared" si="16"/>
        <v>0</v>
      </c>
      <c r="U38" s="73">
        <f t="shared" si="16"/>
        <v>0</v>
      </c>
    </row>
    <row r="39" spans="1:21" ht="30" x14ac:dyDescent="0.25">
      <c r="A39" s="29" t="s">
        <v>52</v>
      </c>
      <c r="B39" s="40">
        <f>NPV(0.1,B38:U38)</f>
        <v>38411.021034649275</v>
      </c>
    </row>
    <row r="40" spans="1:21" ht="30" x14ac:dyDescent="0.25">
      <c r="A40" s="29" t="s">
        <v>30</v>
      </c>
      <c r="B40" s="73">
        <f>B31+B33+B39</f>
        <v>263596.49369031261</v>
      </c>
    </row>
    <row r="41" spans="1:21" ht="30" x14ac:dyDescent="0.25">
      <c r="A41" s="29" t="s">
        <v>75</v>
      </c>
      <c r="B41" s="73">
        <f>B28+B39+(0.75*B33)</f>
        <v>231223.2088597301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24.7109375" style="29" customWidth="1"/>
    <col min="2" max="21" width="9.5703125" customWidth="1"/>
  </cols>
  <sheetData>
    <row r="1" spans="1:21" ht="14.45" x14ac:dyDescent="0.35">
      <c r="A1" s="74" t="s">
        <v>19</v>
      </c>
    </row>
    <row r="3" spans="1:21" ht="14.45" x14ac:dyDescent="0.35">
      <c r="A3" s="29" t="s">
        <v>20</v>
      </c>
      <c r="B3">
        <v>1</v>
      </c>
      <c r="C3">
        <f>B3+1</f>
        <v>2</v>
      </c>
      <c r="D3">
        <f t="shared" ref="D3:U3" si="0">C3+1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  <c r="I3">
        <f t="shared" si="0"/>
        <v>8</v>
      </c>
      <c r="J3">
        <f t="shared" si="0"/>
        <v>9</v>
      </c>
      <c r="K3">
        <f t="shared" si="0"/>
        <v>10</v>
      </c>
      <c r="L3">
        <f t="shared" si="0"/>
        <v>11</v>
      </c>
      <c r="M3">
        <f t="shared" si="0"/>
        <v>12</v>
      </c>
      <c r="N3">
        <f t="shared" si="0"/>
        <v>13</v>
      </c>
      <c r="O3">
        <f t="shared" si="0"/>
        <v>14</v>
      </c>
      <c r="P3">
        <f t="shared" si="0"/>
        <v>15</v>
      </c>
      <c r="Q3">
        <f t="shared" si="0"/>
        <v>16</v>
      </c>
      <c r="R3">
        <f t="shared" si="0"/>
        <v>17</v>
      </c>
      <c r="S3">
        <f t="shared" si="0"/>
        <v>18</v>
      </c>
      <c r="T3">
        <f t="shared" si="0"/>
        <v>19</v>
      </c>
      <c r="U3">
        <f t="shared" si="0"/>
        <v>20</v>
      </c>
    </row>
    <row r="5" spans="1:21" ht="14.45" x14ac:dyDescent="0.35">
      <c r="A5" s="71" t="s">
        <v>5</v>
      </c>
    </row>
    <row r="6" spans="1:21" ht="29.1" x14ac:dyDescent="0.35">
      <c r="A6" s="29" t="s">
        <v>21</v>
      </c>
      <c r="B6" s="40">
        <v>98</v>
      </c>
      <c r="C6" s="40">
        <f>B6</f>
        <v>98</v>
      </c>
      <c r="D6" s="40">
        <f t="shared" ref="D6:U6" si="1">C6</f>
        <v>98</v>
      </c>
      <c r="E6" s="40">
        <f t="shared" si="1"/>
        <v>98</v>
      </c>
      <c r="F6" s="40">
        <f t="shared" si="1"/>
        <v>98</v>
      </c>
      <c r="G6" s="40">
        <f t="shared" si="1"/>
        <v>98</v>
      </c>
      <c r="H6" s="40">
        <f t="shared" si="1"/>
        <v>98</v>
      </c>
      <c r="I6" s="40">
        <f t="shared" si="1"/>
        <v>98</v>
      </c>
      <c r="J6" s="40">
        <f t="shared" si="1"/>
        <v>98</v>
      </c>
      <c r="K6" s="40">
        <f t="shared" si="1"/>
        <v>98</v>
      </c>
      <c r="L6" s="40">
        <f t="shared" si="1"/>
        <v>98</v>
      </c>
      <c r="M6" s="40">
        <f t="shared" si="1"/>
        <v>98</v>
      </c>
      <c r="N6" s="40">
        <f t="shared" si="1"/>
        <v>98</v>
      </c>
      <c r="O6" s="40">
        <f t="shared" si="1"/>
        <v>98</v>
      </c>
      <c r="P6" s="40">
        <f t="shared" si="1"/>
        <v>98</v>
      </c>
      <c r="Q6" s="40">
        <f t="shared" si="1"/>
        <v>98</v>
      </c>
      <c r="R6" s="40">
        <f t="shared" si="1"/>
        <v>98</v>
      </c>
      <c r="S6" s="40">
        <f t="shared" si="1"/>
        <v>98</v>
      </c>
      <c r="T6" s="40">
        <f t="shared" si="1"/>
        <v>98</v>
      </c>
      <c r="U6" s="40">
        <f t="shared" si="1"/>
        <v>98</v>
      </c>
    </row>
    <row r="7" spans="1:21" ht="14.45" x14ac:dyDescent="0.35">
      <c r="A7" s="29" t="s">
        <v>22</v>
      </c>
      <c r="B7" s="40">
        <v>150000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</row>
    <row r="8" spans="1:21" ht="14.45" x14ac:dyDescent="0.35">
      <c r="A8" s="29" t="s">
        <v>23</v>
      </c>
      <c r="B8" s="72">
        <f>300/8760</f>
        <v>3.4246575342465752E-2</v>
      </c>
      <c r="C8" s="72">
        <f>B8</f>
        <v>3.4246575342465752E-2</v>
      </c>
      <c r="D8" s="72">
        <f t="shared" ref="D8:U8" si="2">C8</f>
        <v>3.4246575342465752E-2</v>
      </c>
      <c r="E8" s="72">
        <f t="shared" si="2"/>
        <v>3.4246575342465752E-2</v>
      </c>
      <c r="F8" s="72">
        <f t="shared" si="2"/>
        <v>3.4246575342465752E-2</v>
      </c>
      <c r="G8" s="72">
        <f t="shared" si="2"/>
        <v>3.4246575342465752E-2</v>
      </c>
      <c r="H8" s="72">
        <f t="shared" si="2"/>
        <v>3.4246575342465752E-2</v>
      </c>
      <c r="I8" s="72">
        <f t="shared" si="2"/>
        <v>3.4246575342465752E-2</v>
      </c>
      <c r="J8" s="72">
        <f t="shared" si="2"/>
        <v>3.4246575342465752E-2</v>
      </c>
      <c r="K8" s="72">
        <f t="shared" si="2"/>
        <v>3.4246575342465752E-2</v>
      </c>
      <c r="L8" s="72">
        <f t="shared" si="2"/>
        <v>3.4246575342465752E-2</v>
      </c>
      <c r="M8" s="72">
        <f t="shared" si="2"/>
        <v>3.4246575342465752E-2</v>
      </c>
      <c r="N8" s="72">
        <f t="shared" si="2"/>
        <v>3.4246575342465752E-2</v>
      </c>
      <c r="O8" s="72">
        <f t="shared" si="2"/>
        <v>3.4246575342465752E-2</v>
      </c>
      <c r="P8" s="72">
        <f t="shared" si="2"/>
        <v>3.4246575342465752E-2</v>
      </c>
      <c r="Q8" s="72">
        <f t="shared" si="2"/>
        <v>3.4246575342465752E-2</v>
      </c>
      <c r="R8" s="72">
        <f t="shared" si="2"/>
        <v>3.4246575342465752E-2</v>
      </c>
      <c r="S8" s="72">
        <f t="shared" si="2"/>
        <v>3.4246575342465752E-2</v>
      </c>
      <c r="T8" s="72">
        <f t="shared" si="2"/>
        <v>3.4246575342465752E-2</v>
      </c>
      <c r="U8" s="72">
        <f t="shared" si="2"/>
        <v>3.4246575342465752E-2</v>
      </c>
    </row>
    <row r="9" spans="1:21" ht="14.45" x14ac:dyDescent="0.35">
      <c r="A9" s="29" t="s">
        <v>24</v>
      </c>
      <c r="B9" s="40">
        <f>B6*B8*8760</f>
        <v>29399.999999999996</v>
      </c>
      <c r="C9" s="40">
        <f t="shared" ref="C9:U9" si="3">C6*C8*8760</f>
        <v>29399.999999999996</v>
      </c>
      <c r="D9" s="40">
        <f t="shared" si="3"/>
        <v>29399.999999999996</v>
      </c>
      <c r="E9" s="40">
        <f t="shared" si="3"/>
        <v>29399.999999999996</v>
      </c>
      <c r="F9" s="40">
        <f t="shared" si="3"/>
        <v>29399.999999999996</v>
      </c>
      <c r="G9" s="40">
        <f t="shared" si="3"/>
        <v>29399.999999999996</v>
      </c>
      <c r="H9" s="40">
        <f t="shared" si="3"/>
        <v>29399.999999999996</v>
      </c>
      <c r="I9" s="40">
        <f t="shared" si="3"/>
        <v>29399.999999999996</v>
      </c>
      <c r="J9" s="40">
        <f t="shared" si="3"/>
        <v>29399.999999999996</v>
      </c>
      <c r="K9" s="40">
        <f t="shared" si="3"/>
        <v>29399.999999999996</v>
      </c>
      <c r="L9" s="40">
        <f t="shared" si="3"/>
        <v>29399.999999999996</v>
      </c>
      <c r="M9" s="40">
        <f t="shared" si="3"/>
        <v>29399.999999999996</v>
      </c>
      <c r="N9" s="40">
        <f t="shared" si="3"/>
        <v>29399.999999999996</v>
      </c>
      <c r="O9" s="40">
        <f t="shared" si="3"/>
        <v>29399.999999999996</v>
      </c>
      <c r="P9" s="40">
        <f t="shared" si="3"/>
        <v>29399.999999999996</v>
      </c>
      <c r="Q9" s="40">
        <f t="shared" si="3"/>
        <v>29399.999999999996</v>
      </c>
      <c r="R9" s="40">
        <f t="shared" si="3"/>
        <v>29399.999999999996</v>
      </c>
      <c r="S9" s="40">
        <f t="shared" si="3"/>
        <v>29399.999999999996</v>
      </c>
      <c r="T9" s="40">
        <f t="shared" si="3"/>
        <v>29399.999999999996</v>
      </c>
      <c r="U9" s="40">
        <f t="shared" si="3"/>
        <v>29399.999999999996</v>
      </c>
    </row>
    <row r="10" spans="1:21" ht="29.1" x14ac:dyDescent="0.35">
      <c r="A10" s="29" t="s">
        <v>25</v>
      </c>
      <c r="B10">
        <v>35</v>
      </c>
      <c r="C10">
        <f>B10</f>
        <v>35</v>
      </c>
      <c r="D10">
        <f t="shared" ref="D10:U10" si="4">C10</f>
        <v>35</v>
      </c>
      <c r="E10">
        <f t="shared" si="4"/>
        <v>35</v>
      </c>
      <c r="F10">
        <f t="shared" si="4"/>
        <v>35</v>
      </c>
      <c r="G10">
        <f t="shared" si="4"/>
        <v>35</v>
      </c>
      <c r="H10">
        <f t="shared" si="4"/>
        <v>35</v>
      </c>
      <c r="I10">
        <f t="shared" si="4"/>
        <v>35</v>
      </c>
      <c r="J10">
        <f t="shared" si="4"/>
        <v>35</v>
      </c>
      <c r="K10">
        <f t="shared" si="4"/>
        <v>35</v>
      </c>
      <c r="L10">
        <f t="shared" si="4"/>
        <v>35</v>
      </c>
      <c r="M10">
        <f t="shared" si="4"/>
        <v>35</v>
      </c>
      <c r="N10">
        <f t="shared" si="4"/>
        <v>35</v>
      </c>
      <c r="O10">
        <f t="shared" si="4"/>
        <v>35</v>
      </c>
      <c r="P10">
        <f t="shared" si="4"/>
        <v>35</v>
      </c>
      <c r="Q10">
        <f t="shared" si="4"/>
        <v>35</v>
      </c>
      <c r="R10">
        <f t="shared" si="4"/>
        <v>35</v>
      </c>
      <c r="S10">
        <f t="shared" si="4"/>
        <v>35</v>
      </c>
      <c r="T10">
        <f t="shared" si="4"/>
        <v>35</v>
      </c>
      <c r="U10">
        <f t="shared" si="4"/>
        <v>35</v>
      </c>
    </row>
    <row r="11" spans="1:21" ht="14.45" x14ac:dyDescent="0.35">
      <c r="A11" s="29" t="s">
        <v>26</v>
      </c>
      <c r="B11" s="73">
        <f>B9*B10/1000</f>
        <v>1028.9999999999998</v>
      </c>
      <c r="C11" s="73">
        <f t="shared" ref="C11:U11" si="5">C9*C10/1000</f>
        <v>1028.9999999999998</v>
      </c>
      <c r="D11" s="73">
        <f t="shared" si="5"/>
        <v>1028.9999999999998</v>
      </c>
      <c r="E11" s="73">
        <f t="shared" si="5"/>
        <v>1028.9999999999998</v>
      </c>
      <c r="F11" s="73">
        <f t="shared" si="5"/>
        <v>1028.9999999999998</v>
      </c>
      <c r="G11" s="73">
        <f t="shared" si="5"/>
        <v>1028.9999999999998</v>
      </c>
      <c r="H11" s="73">
        <f t="shared" si="5"/>
        <v>1028.9999999999998</v>
      </c>
      <c r="I11" s="73">
        <f t="shared" si="5"/>
        <v>1028.9999999999998</v>
      </c>
      <c r="J11" s="73">
        <f t="shared" si="5"/>
        <v>1028.9999999999998</v>
      </c>
      <c r="K11" s="73">
        <f t="shared" si="5"/>
        <v>1028.9999999999998</v>
      </c>
      <c r="L11" s="73">
        <f t="shared" si="5"/>
        <v>1028.9999999999998</v>
      </c>
      <c r="M11" s="73">
        <f t="shared" si="5"/>
        <v>1028.9999999999998</v>
      </c>
      <c r="N11" s="73">
        <f t="shared" si="5"/>
        <v>1028.9999999999998</v>
      </c>
      <c r="O11" s="73">
        <f t="shared" si="5"/>
        <v>1028.9999999999998</v>
      </c>
      <c r="P11" s="73">
        <f t="shared" si="5"/>
        <v>1028.9999999999998</v>
      </c>
      <c r="Q11" s="73">
        <f t="shared" si="5"/>
        <v>1028.9999999999998</v>
      </c>
      <c r="R11" s="73">
        <f t="shared" si="5"/>
        <v>1028.9999999999998</v>
      </c>
      <c r="S11" s="73">
        <f t="shared" si="5"/>
        <v>1028.9999999999998</v>
      </c>
      <c r="T11" s="73">
        <f t="shared" si="5"/>
        <v>1028.9999999999998</v>
      </c>
      <c r="U11" s="73">
        <f t="shared" si="5"/>
        <v>1028.9999999999998</v>
      </c>
    </row>
    <row r="12" spans="1:21" ht="14.45" x14ac:dyDescent="0.35">
      <c r="A12" s="29" t="s">
        <v>27</v>
      </c>
      <c r="B12" s="40">
        <f>NPV(0.1,B11:U11)</f>
        <v>8760.4570676315543</v>
      </c>
    </row>
    <row r="13" spans="1:21" ht="29.1" x14ac:dyDescent="0.35">
      <c r="A13" s="29" t="s">
        <v>28</v>
      </c>
      <c r="B13" s="40">
        <v>1460</v>
      </c>
      <c r="C13" s="73">
        <f>B13</f>
        <v>1460</v>
      </c>
      <c r="D13" s="73">
        <f t="shared" ref="D13:U13" si="6">C13</f>
        <v>1460</v>
      </c>
      <c r="E13" s="73">
        <f t="shared" si="6"/>
        <v>1460</v>
      </c>
      <c r="F13" s="73">
        <f t="shared" si="6"/>
        <v>1460</v>
      </c>
      <c r="G13" s="73">
        <f t="shared" si="6"/>
        <v>1460</v>
      </c>
      <c r="H13" s="73">
        <f t="shared" si="6"/>
        <v>1460</v>
      </c>
      <c r="I13" s="73">
        <f t="shared" si="6"/>
        <v>1460</v>
      </c>
      <c r="J13" s="73">
        <f t="shared" si="6"/>
        <v>1460</v>
      </c>
      <c r="K13" s="73">
        <f t="shared" si="6"/>
        <v>1460</v>
      </c>
      <c r="L13" s="73">
        <f t="shared" si="6"/>
        <v>1460</v>
      </c>
      <c r="M13" s="73">
        <f t="shared" si="6"/>
        <v>1460</v>
      </c>
      <c r="N13" s="73">
        <f t="shared" si="6"/>
        <v>1460</v>
      </c>
      <c r="O13" s="73">
        <f t="shared" si="6"/>
        <v>1460</v>
      </c>
      <c r="P13" s="73">
        <f t="shared" si="6"/>
        <v>1460</v>
      </c>
      <c r="Q13" s="73">
        <f t="shared" si="6"/>
        <v>1460</v>
      </c>
      <c r="R13" s="73">
        <f t="shared" si="6"/>
        <v>1460</v>
      </c>
      <c r="S13" s="73">
        <f t="shared" si="6"/>
        <v>1460</v>
      </c>
      <c r="T13" s="73">
        <f t="shared" si="6"/>
        <v>1460</v>
      </c>
      <c r="U13" s="73">
        <f t="shared" si="6"/>
        <v>1460</v>
      </c>
    </row>
    <row r="14" spans="1:21" ht="29.1" x14ac:dyDescent="0.35">
      <c r="A14" s="29" t="s">
        <v>29</v>
      </c>
      <c r="B14" s="40">
        <f>NPV(0.1,B13:U13)</f>
        <v>12429.803030847497</v>
      </c>
    </row>
    <row r="15" spans="1:21" ht="29.1" x14ac:dyDescent="0.35">
      <c r="A15" s="29" t="s">
        <v>30</v>
      </c>
      <c r="B15" s="40">
        <f>B7+B12+B14</f>
        <v>171190.26009847905</v>
      </c>
    </row>
    <row r="17" spans="1:21" ht="14.45" x14ac:dyDescent="0.35">
      <c r="A17" s="74" t="s">
        <v>31</v>
      </c>
    </row>
    <row r="18" spans="1:21" ht="14.45" x14ac:dyDescent="0.35">
      <c r="A18" s="29" t="s">
        <v>32</v>
      </c>
      <c r="B18" s="40">
        <v>61</v>
      </c>
      <c r="C18" s="40">
        <f t="shared" ref="C18:U19" si="7">B18</f>
        <v>61</v>
      </c>
      <c r="D18" s="40">
        <f t="shared" si="7"/>
        <v>61</v>
      </c>
      <c r="E18" s="40">
        <f t="shared" si="7"/>
        <v>61</v>
      </c>
      <c r="F18" s="40">
        <f t="shared" si="7"/>
        <v>61</v>
      </c>
      <c r="G18" s="40">
        <f t="shared" si="7"/>
        <v>61</v>
      </c>
      <c r="H18" s="40">
        <f t="shared" si="7"/>
        <v>61</v>
      </c>
      <c r="I18" s="40">
        <f t="shared" si="7"/>
        <v>61</v>
      </c>
      <c r="J18" s="40">
        <f t="shared" si="7"/>
        <v>61</v>
      </c>
      <c r="K18" s="40">
        <f t="shared" si="7"/>
        <v>61</v>
      </c>
      <c r="L18" s="40">
        <f t="shared" si="7"/>
        <v>61</v>
      </c>
      <c r="M18" s="40">
        <f t="shared" si="7"/>
        <v>61</v>
      </c>
      <c r="N18" s="40">
        <f t="shared" si="7"/>
        <v>61</v>
      </c>
      <c r="O18" s="40">
        <f t="shared" si="7"/>
        <v>61</v>
      </c>
      <c r="P18" s="40">
        <f t="shared" si="7"/>
        <v>61</v>
      </c>
      <c r="Q18" s="40">
        <f t="shared" si="7"/>
        <v>61</v>
      </c>
      <c r="R18" s="40">
        <f t="shared" si="7"/>
        <v>61</v>
      </c>
      <c r="S18" s="40">
        <f t="shared" si="7"/>
        <v>61</v>
      </c>
      <c r="T18" s="40">
        <f t="shared" si="7"/>
        <v>61</v>
      </c>
      <c r="U18" s="40">
        <f t="shared" si="7"/>
        <v>61</v>
      </c>
    </row>
    <row r="19" spans="1:21" ht="29.1" x14ac:dyDescent="0.35">
      <c r="A19" s="29" t="s">
        <v>35</v>
      </c>
      <c r="B19" s="38">
        <v>4.0000000000000001E-3</v>
      </c>
      <c r="C19" s="38">
        <f>B19</f>
        <v>4.0000000000000001E-3</v>
      </c>
      <c r="D19" s="38">
        <f t="shared" si="7"/>
        <v>4.0000000000000001E-3</v>
      </c>
      <c r="E19" s="38">
        <f t="shared" si="7"/>
        <v>4.0000000000000001E-3</v>
      </c>
      <c r="F19" s="38">
        <f t="shared" si="7"/>
        <v>4.0000000000000001E-3</v>
      </c>
      <c r="G19" s="38">
        <f t="shared" si="7"/>
        <v>4.0000000000000001E-3</v>
      </c>
      <c r="H19" s="38">
        <f t="shared" si="7"/>
        <v>4.0000000000000001E-3</v>
      </c>
      <c r="I19" s="38">
        <f t="shared" si="7"/>
        <v>4.0000000000000001E-3</v>
      </c>
      <c r="J19" s="38">
        <f t="shared" si="7"/>
        <v>4.0000000000000001E-3</v>
      </c>
      <c r="K19" s="38">
        <f t="shared" si="7"/>
        <v>4.0000000000000001E-3</v>
      </c>
      <c r="L19" s="38">
        <f t="shared" si="7"/>
        <v>4.0000000000000001E-3</v>
      </c>
      <c r="M19" s="38">
        <f t="shared" si="7"/>
        <v>4.0000000000000001E-3</v>
      </c>
      <c r="N19" s="38">
        <f t="shared" si="7"/>
        <v>4.0000000000000001E-3</v>
      </c>
      <c r="O19" s="38">
        <f t="shared" si="7"/>
        <v>4.0000000000000001E-3</v>
      </c>
      <c r="P19" s="38">
        <f t="shared" si="7"/>
        <v>4.0000000000000001E-3</v>
      </c>
      <c r="Q19" s="38">
        <f t="shared" si="7"/>
        <v>4.0000000000000001E-3</v>
      </c>
      <c r="R19" s="38">
        <f t="shared" si="7"/>
        <v>4.0000000000000001E-3</v>
      </c>
      <c r="S19" s="38">
        <f t="shared" si="7"/>
        <v>4.0000000000000001E-3</v>
      </c>
      <c r="T19" s="38">
        <f t="shared" si="7"/>
        <v>4.0000000000000001E-3</v>
      </c>
      <c r="U19" s="38">
        <f t="shared" si="7"/>
        <v>4.0000000000000001E-3</v>
      </c>
    </row>
    <row r="20" spans="1:21" ht="27.95" customHeight="1" x14ac:dyDescent="0.35">
      <c r="A20" s="29" t="s">
        <v>33</v>
      </c>
      <c r="B20" s="75">
        <v>0</v>
      </c>
      <c r="C20" s="72">
        <f>C19</f>
        <v>4.0000000000000001E-3</v>
      </c>
      <c r="D20" s="72">
        <f>C20+D19</f>
        <v>8.0000000000000002E-3</v>
      </c>
      <c r="E20" s="72">
        <f t="shared" ref="E20:U20" si="8">D20+E19</f>
        <v>1.2E-2</v>
      </c>
      <c r="F20" s="72">
        <f t="shared" si="8"/>
        <v>1.6E-2</v>
      </c>
      <c r="G20" s="72">
        <f t="shared" si="8"/>
        <v>0.02</v>
      </c>
      <c r="H20" s="72">
        <f t="shared" si="8"/>
        <v>2.4E-2</v>
      </c>
      <c r="I20" s="72">
        <f t="shared" si="8"/>
        <v>2.8000000000000001E-2</v>
      </c>
      <c r="J20" s="72">
        <f t="shared" si="8"/>
        <v>3.2000000000000001E-2</v>
      </c>
      <c r="K20" s="72">
        <f t="shared" si="8"/>
        <v>3.6000000000000004E-2</v>
      </c>
      <c r="L20" s="72">
        <f t="shared" si="8"/>
        <v>4.0000000000000008E-2</v>
      </c>
      <c r="M20" s="72">
        <f t="shared" si="8"/>
        <v>4.4000000000000011E-2</v>
      </c>
      <c r="N20" s="72">
        <f t="shared" si="8"/>
        <v>4.8000000000000015E-2</v>
      </c>
      <c r="O20" s="72">
        <f t="shared" si="8"/>
        <v>5.2000000000000018E-2</v>
      </c>
      <c r="P20" s="72">
        <f t="shared" si="8"/>
        <v>5.6000000000000022E-2</v>
      </c>
      <c r="Q20" s="72">
        <f t="shared" si="8"/>
        <v>6.0000000000000026E-2</v>
      </c>
      <c r="R20" s="72">
        <f t="shared" si="8"/>
        <v>6.4000000000000029E-2</v>
      </c>
      <c r="S20" s="72">
        <f t="shared" si="8"/>
        <v>6.8000000000000033E-2</v>
      </c>
      <c r="T20" s="72">
        <f t="shared" si="8"/>
        <v>7.2000000000000036E-2</v>
      </c>
      <c r="U20" s="72">
        <f t="shared" si="8"/>
        <v>7.600000000000004E-2</v>
      </c>
    </row>
    <row r="21" spans="1:21" ht="29.1" x14ac:dyDescent="0.35">
      <c r="A21" s="29" t="s">
        <v>34</v>
      </c>
      <c r="B21" s="49">
        <f>B18*(1-B20)</f>
        <v>61</v>
      </c>
      <c r="C21" s="49">
        <f>C18*(1-C20)</f>
        <v>60.756</v>
      </c>
      <c r="D21" s="49">
        <f t="shared" ref="D21:U21" si="9">D18*(1-D20)</f>
        <v>60.512</v>
      </c>
      <c r="E21" s="49">
        <f t="shared" si="9"/>
        <v>60.268000000000001</v>
      </c>
      <c r="F21" s="49">
        <f t="shared" si="9"/>
        <v>60.024000000000001</v>
      </c>
      <c r="G21" s="49">
        <f t="shared" si="9"/>
        <v>59.78</v>
      </c>
      <c r="H21" s="49">
        <f t="shared" si="9"/>
        <v>59.536000000000001</v>
      </c>
      <c r="I21" s="49">
        <f t="shared" si="9"/>
        <v>59.292000000000002</v>
      </c>
      <c r="J21" s="49">
        <f t="shared" si="9"/>
        <v>59.048000000000002</v>
      </c>
      <c r="K21" s="49">
        <f t="shared" si="9"/>
        <v>58.803999999999995</v>
      </c>
      <c r="L21" s="49">
        <f t="shared" si="9"/>
        <v>58.559999999999995</v>
      </c>
      <c r="M21" s="49">
        <f t="shared" si="9"/>
        <v>58.315999999999995</v>
      </c>
      <c r="N21" s="49">
        <f t="shared" si="9"/>
        <v>58.071999999999996</v>
      </c>
      <c r="O21" s="49">
        <f t="shared" si="9"/>
        <v>57.827999999999996</v>
      </c>
      <c r="P21" s="49">
        <f t="shared" si="9"/>
        <v>57.583999999999996</v>
      </c>
      <c r="Q21" s="49">
        <f t="shared" si="9"/>
        <v>57.339999999999996</v>
      </c>
      <c r="R21" s="49">
        <f t="shared" si="9"/>
        <v>57.095999999999997</v>
      </c>
      <c r="S21" s="49">
        <f t="shared" si="9"/>
        <v>56.851999999999997</v>
      </c>
      <c r="T21" s="49">
        <f t="shared" si="9"/>
        <v>56.607999999999997</v>
      </c>
      <c r="U21" s="49">
        <f t="shared" si="9"/>
        <v>56.363999999999997</v>
      </c>
    </row>
    <row r="22" spans="1:21" x14ac:dyDescent="0.25">
      <c r="A22" s="29" t="s">
        <v>36</v>
      </c>
      <c r="B22" s="39">
        <v>1.85</v>
      </c>
    </row>
    <row r="23" spans="1:21" x14ac:dyDescent="0.25">
      <c r="A23" s="29" t="s">
        <v>37</v>
      </c>
      <c r="B23" s="40">
        <f>B18*1000000*B22/1000</f>
        <v>112850</v>
      </c>
    </row>
    <row r="24" spans="1:21" x14ac:dyDescent="0.25">
      <c r="A24" s="29" t="s">
        <v>38</v>
      </c>
      <c r="B24" s="40">
        <v>98</v>
      </c>
      <c r="C24" s="40">
        <f>B24</f>
        <v>98</v>
      </c>
      <c r="D24" s="40">
        <f t="shared" ref="D24:U24" si="10">C24</f>
        <v>98</v>
      </c>
      <c r="E24" s="40">
        <f t="shared" si="10"/>
        <v>98</v>
      </c>
      <c r="F24" s="40">
        <f t="shared" si="10"/>
        <v>98</v>
      </c>
      <c r="G24" s="40">
        <f t="shared" si="10"/>
        <v>98</v>
      </c>
      <c r="H24" s="40">
        <f t="shared" si="10"/>
        <v>98</v>
      </c>
      <c r="I24" s="40">
        <f t="shared" si="10"/>
        <v>98</v>
      </c>
      <c r="J24" s="40">
        <f t="shared" si="10"/>
        <v>98</v>
      </c>
      <c r="K24" s="40">
        <f t="shared" si="10"/>
        <v>98</v>
      </c>
      <c r="L24" s="40">
        <f t="shared" si="10"/>
        <v>98</v>
      </c>
      <c r="M24" s="40">
        <f t="shared" si="10"/>
        <v>98</v>
      </c>
      <c r="N24" s="40">
        <f t="shared" si="10"/>
        <v>98</v>
      </c>
      <c r="O24" s="40">
        <f t="shared" si="10"/>
        <v>98</v>
      </c>
      <c r="P24" s="40">
        <f t="shared" si="10"/>
        <v>98</v>
      </c>
      <c r="Q24" s="40">
        <f t="shared" si="10"/>
        <v>98</v>
      </c>
      <c r="R24" s="40">
        <f t="shared" si="10"/>
        <v>98</v>
      </c>
      <c r="S24" s="40">
        <f t="shared" si="10"/>
        <v>98</v>
      </c>
      <c r="T24" s="40">
        <f t="shared" si="10"/>
        <v>98</v>
      </c>
      <c r="U24" s="40">
        <f t="shared" si="10"/>
        <v>98</v>
      </c>
    </row>
    <row r="25" spans="1:21" ht="45" x14ac:dyDescent="0.25">
      <c r="A25" s="29" t="s">
        <v>39</v>
      </c>
      <c r="B25" s="73">
        <f>B24*4</f>
        <v>392</v>
      </c>
    </row>
    <row r="26" spans="1:21" ht="45" x14ac:dyDescent="0.25">
      <c r="A26" s="29" t="s">
        <v>40</v>
      </c>
      <c r="B26" s="73">
        <f>B25/0.75-B25</f>
        <v>130.66666666666663</v>
      </c>
    </row>
    <row r="27" spans="1:21" ht="45" x14ac:dyDescent="0.25">
      <c r="A27" s="29" t="s">
        <v>41</v>
      </c>
      <c r="B27" s="40">
        <v>335000</v>
      </c>
    </row>
    <row r="28" spans="1:21" ht="30" x14ac:dyDescent="0.25">
      <c r="A28" s="29" t="s">
        <v>42</v>
      </c>
      <c r="B28" s="73">
        <f>(B25+B26)*B27/1000</f>
        <v>175093.33333333331</v>
      </c>
    </row>
    <row r="29" spans="1:21" ht="30" x14ac:dyDescent="0.25">
      <c r="A29" s="29" t="s">
        <v>43</v>
      </c>
      <c r="B29" s="73">
        <f>B28+B23</f>
        <v>287943.33333333331</v>
      </c>
    </row>
    <row r="30" spans="1:21" x14ac:dyDescent="0.25">
      <c r="A30" s="29" t="s">
        <v>44</v>
      </c>
      <c r="B30" s="75">
        <v>0.3</v>
      </c>
    </row>
    <row r="31" spans="1:21" ht="30" x14ac:dyDescent="0.25">
      <c r="A31" s="29" t="s">
        <v>45</v>
      </c>
      <c r="B31" s="73">
        <f>B29*(1-B30)</f>
        <v>201560.33333333331</v>
      </c>
    </row>
    <row r="32" spans="1:21" ht="30" x14ac:dyDescent="0.25">
      <c r="A32" s="29" t="s">
        <v>28</v>
      </c>
      <c r="B32" s="40">
        <v>2775</v>
      </c>
      <c r="C32" s="73">
        <f>B32</f>
        <v>2775</v>
      </c>
      <c r="D32" s="73">
        <f t="shared" ref="D32:U32" si="11">C32</f>
        <v>2775</v>
      </c>
      <c r="E32" s="73">
        <f t="shared" si="11"/>
        <v>2775</v>
      </c>
      <c r="F32" s="73">
        <f t="shared" si="11"/>
        <v>2775</v>
      </c>
      <c r="G32" s="73">
        <f t="shared" si="11"/>
        <v>2775</v>
      </c>
      <c r="H32" s="73">
        <f t="shared" si="11"/>
        <v>2775</v>
      </c>
      <c r="I32" s="73">
        <f t="shared" si="11"/>
        <v>2775</v>
      </c>
      <c r="J32" s="73">
        <f t="shared" si="11"/>
        <v>2775</v>
      </c>
      <c r="K32" s="73">
        <f t="shared" si="11"/>
        <v>2775</v>
      </c>
      <c r="L32" s="73">
        <f t="shared" si="11"/>
        <v>2775</v>
      </c>
      <c r="M32" s="73">
        <f t="shared" si="11"/>
        <v>2775</v>
      </c>
      <c r="N32" s="73">
        <f t="shared" si="11"/>
        <v>2775</v>
      </c>
      <c r="O32" s="73">
        <f t="shared" si="11"/>
        <v>2775</v>
      </c>
      <c r="P32" s="73">
        <f t="shared" si="11"/>
        <v>2775</v>
      </c>
      <c r="Q32" s="73">
        <f t="shared" si="11"/>
        <v>2775</v>
      </c>
      <c r="R32" s="73">
        <f t="shared" si="11"/>
        <v>2775</v>
      </c>
      <c r="S32" s="73">
        <f t="shared" si="11"/>
        <v>2775</v>
      </c>
      <c r="T32" s="73">
        <f t="shared" si="11"/>
        <v>2775</v>
      </c>
      <c r="U32" s="73">
        <f t="shared" si="11"/>
        <v>2775</v>
      </c>
    </row>
    <row r="33" spans="1:21" x14ac:dyDescent="0.25">
      <c r="A33" s="29" t="s">
        <v>46</v>
      </c>
      <c r="B33" s="40">
        <f>NPV(0.1,B32:U32)</f>
        <v>23625.139322329997</v>
      </c>
    </row>
    <row r="34" spans="1:21" ht="45" x14ac:dyDescent="0.25">
      <c r="A34" s="29" t="s">
        <v>47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131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131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131</v>
      </c>
      <c r="T34" s="73">
        <v>0</v>
      </c>
      <c r="U34" s="73">
        <v>0</v>
      </c>
    </row>
    <row r="35" spans="1:21" ht="30" x14ac:dyDescent="0.25">
      <c r="A35" s="29" t="s">
        <v>48</v>
      </c>
      <c r="B35" s="48">
        <v>0.02</v>
      </c>
      <c r="C35" s="48">
        <f>B35</f>
        <v>0.02</v>
      </c>
      <c r="D35" s="48">
        <f t="shared" ref="D35:U35" si="12">C35</f>
        <v>0.02</v>
      </c>
      <c r="E35" s="48">
        <f t="shared" si="12"/>
        <v>0.02</v>
      </c>
      <c r="F35" s="48">
        <f t="shared" si="12"/>
        <v>0.02</v>
      </c>
      <c r="G35" s="48">
        <f t="shared" si="12"/>
        <v>0.02</v>
      </c>
      <c r="H35" s="48">
        <f t="shared" si="12"/>
        <v>0.02</v>
      </c>
      <c r="I35" s="48">
        <f t="shared" si="12"/>
        <v>0.02</v>
      </c>
      <c r="J35" s="48">
        <f t="shared" si="12"/>
        <v>0.02</v>
      </c>
      <c r="K35" s="48">
        <f t="shared" si="12"/>
        <v>0.02</v>
      </c>
      <c r="L35" s="48">
        <f t="shared" si="12"/>
        <v>0.02</v>
      </c>
      <c r="M35" s="48">
        <f t="shared" si="12"/>
        <v>0.02</v>
      </c>
      <c r="N35" s="48">
        <f t="shared" si="12"/>
        <v>0.02</v>
      </c>
      <c r="O35" s="48">
        <f t="shared" si="12"/>
        <v>0.02</v>
      </c>
      <c r="P35" s="48">
        <f t="shared" si="12"/>
        <v>0.02</v>
      </c>
      <c r="Q35" s="48">
        <f t="shared" si="12"/>
        <v>0.02</v>
      </c>
      <c r="R35" s="48">
        <f t="shared" si="12"/>
        <v>0.02</v>
      </c>
      <c r="S35" s="48">
        <f t="shared" si="12"/>
        <v>0.02</v>
      </c>
      <c r="T35" s="48">
        <f t="shared" si="12"/>
        <v>0.02</v>
      </c>
      <c r="U35" s="48">
        <f t="shared" si="12"/>
        <v>0.02</v>
      </c>
    </row>
    <row r="36" spans="1:21" ht="45" x14ac:dyDescent="0.25">
      <c r="A36" s="29" t="s">
        <v>49</v>
      </c>
      <c r="B36" s="48">
        <v>0</v>
      </c>
      <c r="C36" s="48">
        <f>C35</f>
        <v>0.02</v>
      </c>
      <c r="D36" s="48">
        <f>C36+D35</f>
        <v>0.04</v>
      </c>
      <c r="E36" s="48">
        <f t="shared" ref="E36:U36" si="13">D36+E35</f>
        <v>0.06</v>
      </c>
      <c r="F36" s="48">
        <f t="shared" si="13"/>
        <v>0.08</v>
      </c>
      <c r="G36" s="48">
        <f t="shared" si="13"/>
        <v>0.1</v>
      </c>
      <c r="H36" s="48">
        <f t="shared" si="13"/>
        <v>0.12000000000000001</v>
      </c>
      <c r="I36" s="48">
        <f t="shared" si="13"/>
        <v>0.14000000000000001</v>
      </c>
      <c r="J36" s="48">
        <f t="shared" si="13"/>
        <v>0.16</v>
      </c>
      <c r="K36" s="48">
        <f t="shared" si="13"/>
        <v>0.18</v>
      </c>
      <c r="L36" s="48">
        <f t="shared" si="13"/>
        <v>0.19999999999999998</v>
      </c>
      <c r="M36" s="48">
        <f t="shared" si="13"/>
        <v>0.21999999999999997</v>
      </c>
      <c r="N36" s="48">
        <f t="shared" si="13"/>
        <v>0.23999999999999996</v>
      </c>
      <c r="O36" s="48">
        <f t="shared" si="13"/>
        <v>0.25999999999999995</v>
      </c>
      <c r="P36" s="48">
        <f t="shared" si="13"/>
        <v>0.27999999999999997</v>
      </c>
      <c r="Q36" s="48">
        <f t="shared" si="13"/>
        <v>0.3</v>
      </c>
      <c r="R36" s="48">
        <f t="shared" si="13"/>
        <v>0.32</v>
      </c>
      <c r="S36" s="48">
        <f t="shared" si="13"/>
        <v>0.34</v>
      </c>
      <c r="T36" s="48">
        <f t="shared" si="13"/>
        <v>0.36000000000000004</v>
      </c>
      <c r="U36" s="48">
        <f t="shared" si="13"/>
        <v>0.38000000000000006</v>
      </c>
    </row>
    <row r="37" spans="1:21" ht="45" x14ac:dyDescent="0.25">
      <c r="A37" s="29" t="s">
        <v>50</v>
      </c>
      <c r="B37" s="73">
        <f>B34*$B$27/1000</f>
        <v>0</v>
      </c>
      <c r="C37" s="73">
        <f t="shared" ref="C37:U37" si="14">C34*$B$27/1000</f>
        <v>0</v>
      </c>
      <c r="D37" s="73">
        <f t="shared" si="14"/>
        <v>0</v>
      </c>
      <c r="E37" s="73">
        <f t="shared" si="14"/>
        <v>0</v>
      </c>
      <c r="F37" s="73">
        <f t="shared" si="14"/>
        <v>0</v>
      </c>
      <c r="G37" s="73">
        <f t="shared" si="14"/>
        <v>43885</v>
      </c>
      <c r="H37" s="73">
        <f t="shared" si="14"/>
        <v>0</v>
      </c>
      <c r="I37" s="73">
        <f t="shared" si="14"/>
        <v>0</v>
      </c>
      <c r="J37" s="73">
        <f t="shared" si="14"/>
        <v>0</v>
      </c>
      <c r="K37" s="73">
        <f t="shared" si="14"/>
        <v>0</v>
      </c>
      <c r="L37" s="73">
        <f t="shared" si="14"/>
        <v>0</v>
      </c>
      <c r="M37" s="73">
        <f t="shared" si="14"/>
        <v>43885</v>
      </c>
      <c r="N37" s="73">
        <f t="shared" si="14"/>
        <v>0</v>
      </c>
      <c r="O37" s="73">
        <f t="shared" si="14"/>
        <v>0</v>
      </c>
      <c r="P37" s="73">
        <f t="shared" si="14"/>
        <v>0</v>
      </c>
      <c r="Q37" s="73">
        <f t="shared" si="14"/>
        <v>0</v>
      </c>
      <c r="R37" s="73">
        <f t="shared" si="14"/>
        <v>0</v>
      </c>
      <c r="S37" s="73">
        <f t="shared" si="14"/>
        <v>43885</v>
      </c>
      <c r="T37" s="73">
        <f t="shared" si="14"/>
        <v>0</v>
      </c>
      <c r="U37" s="73">
        <f t="shared" si="14"/>
        <v>0</v>
      </c>
    </row>
    <row r="38" spans="1:21" ht="45" x14ac:dyDescent="0.25">
      <c r="A38" s="29" t="s">
        <v>51</v>
      </c>
      <c r="B38" s="73">
        <f>B37*(1-B36)</f>
        <v>0</v>
      </c>
      <c r="C38" s="73">
        <f t="shared" ref="C38:U38" si="15">C37*(1-C36)</f>
        <v>0</v>
      </c>
      <c r="D38" s="73">
        <f t="shared" si="15"/>
        <v>0</v>
      </c>
      <c r="E38" s="73">
        <f t="shared" si="15"/>
        <v>0</v>
      </c>
      <c r="F38" s="73">
        <f t="shared" si="15"/>
        <v>0</v>
      </c>
      <c r="G38" s="73">
        <f t="shared" si="15"/>
        <v>39496.5</v>
      </c>
      <c r="H38" s="73">
        <f t="shared" si="15"/>
        <v>0</v>
      </c>
      <c r="I38" s="73">
        <f t="shared" si="15"/>
        <v>0</v>
      </c>
      <c r="J38" s="73">
        <f t="shared" si="15"/>
        <v>0</v>
      </c>
      <c r="K38" s="73">
        <f t="shared" si="15"/>
        <v>0</v>
      </c>
      <c r="L38" s="73">
        <f t="shared" si="15"/>
        <v>0</v>
      </c>
      <c r="M38" s="73">
        <f t="shared" si="15"/>
        <v>34230.300000000003</v>
      </c>
      <c r="N38" s="73">
        <f t="shared" si="15"/>
        <v>0</v>
      </c>
      <c r="O38" s="73">
        <f t="shared" si="15"/>
        <v>0</v>
      </c>
      <c r="P38" s="73">
        <f t="shared" si="15"/>
        <v>0</v>
      </c>
      <c r="Q38" s="73">
        <f t="shared" si="15"/>
        <v>0</v>
      </c>
      <c r="R38" s="73">
        <f t="shared" si="15"/>
        <v>0</v>
      </c>
      <c r="S38" s="73">
        <f t="shared" si="15"/>
        <v>28964.099999999995</v>
      </c>
      <c r="T38" s="73">
        <f t="shared" si="15"/>
        <v>0</v>
      </c>
      <c r="U38" s="73">
        <f t="shared" si="15"/>
        <v>0</v>
      </c>
    </row>
    <row r="39" spans="1:21" ht="30" x14ac:dyDescent="0.25">
      <c r="A39" s="29" t="s">
        <v>52</v>
      </c>
      <c r="B39" s="40">
        <f>NPV(0.1,B38:U38)</f>
        <v>38411.021034649275</v>
      </c>
    </row>
    <row r="40" spans="1:21" ht="30" x14ac:dyDescent="0.25">
      <c r="A40" s="29" t="s">
        <v>30</v>
      </c>
      <c r="B40" s="73">
        <f>B31+B33+B39</f>
        <v>263596.49369031261</v>
      </c>
    </row>
    <row r="41" spans="1:21" ht="30" x14ac:dyDescent="0.25">
      <c r="A41" s="29" t="s">
        <v>75</v>
      </c>
      <c r="B41" s="73">
        <f>B28+B39+(0.75*B33)</f>
        <v>231223.2088597301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/>
  </sheetViews>
  <sheetFormatPr defaultRowHeight="15" x14ac:dyDescent="0.25"/>
  <cols>
    <col min="1" max="1" width="35.42578125" customWidth="1"/>
    <col min="2" max="4" width="18.5703125" style="23" customWidth="1"/>
  </cols>
  <sheetData>
    <row r="1" spans="1:4" ht="14.45" x14ac:dyDescent="0.35">
      <c r="A1" t="s">
        <v>74</v>
      </c>
    </row>
    <row r="2" spans="1:4" ht="14.45" x14ac:dyDescent="0.35">
      <c r="A2" s="92" t="s">
        <v>53</v>
      </c>
    </row>
    <row r="3" spans="1:4" thickBot="1" x14ac:dyDescent="0.4"/>
    <row r="4" spans="1:4" ht="29.45" thickBot="1" x14ac:dyDescent="0.4">
      <c r="B4" s="105" t="s">
        <v>70</v>
      </c>
      <c r="C4" s="105" t="s">
        <v>71</v>
      </c>
      <c r="D4" s="80" t="s">
        <v>54</v>
      </c>
    </row>
    <row r="5" spans="1:4" thickBot="1" x14ac:dyDescent="0.4">
      <c r="B5" s="105" t="s">
        <v>72</v>
      </c>
      <c r="C5" s="105" t="s">
        <v>73</v>
      </c>
      <c r="D5" s="80"/>
    </row>
    <row r="6" spans="1:4" ht="14.45" x14ac:dyDescent="0.35">
      <c r="A6" s="93" t="s">
        <v>55</v>
      </c>
      <c r="B6" s="87">
        <v>98</v>
      </c>
      <c r="C6" s="87">
        <v>98</v>
      </c>
      <c r="D6" s="81">
        <v>98</v>
      </c>
    </row>
    <row r="7" spans="1:4" ht="14.45" x14ac:dyDescent="0.35">
      <c r="A7" s="94" t="s">
        <v>57</v>
      </c>
      <c r="B7" s="88">
        <v>98</v>
      </c>
      <c r="C7" s="88">
        <v>98</v>
      </c>
      <c r="D7" s="82"/>
    </row>
    <row r="8" spans="1:4" ht="14.45" x14ac:dyDescent="0.35">
      <c r="A8" s="94" t="s">
        <v>32</v>
      </c>
      <c r="B8" s="88"/>
      <c r="C8" s="88"/>
      <c r="D8" s="82">
        <v>61</v>
      </c>
    </row>
    <row r="9" spans="1:4" ht="14.45" x14ac:dyDescent="0.35">
      <c r="A9" s="94" t="s">
        <v>56</v>
      </c>
      <c r="B9" s="88">
        <v>20</v>
      </c>
      <c r="C9" s="88">
        <v>20</v>
      </c>
      <c r="D9" s="82">
        <v>98</v>
      </c>
    </row>
    <row r="10" spans="1:4" ht="14.45" x14ac:dyDescent="0.35">
      <c r="A10" s="94" t="s">
        <v>58</v>
      </c>
      <c r="B10" s="88">
        <v>8.6</v>
      </c>
      <c r="C10" s="88">
        <v>8.6</v>
      </c>
      <c r="D10" s="82">
        <f>D9*4</f>
        <v>392</v>
      </c>
    </row>
    <row r="11" spans="1:4" ht="14.45" x14ac:dyDescent="0.35">
      <c r="A11" s="94" t="s">
        <v>78</v>
      </c>
      <c r="B11" s="88">
        <v>0</v>
      </c>
      <c r="C11" s="88">
        <v>0</v>
      </c>
      <c r="D11" s="82">
        <f>D10/0.75-D10</f>
        <v>130.66666666666663</v>
      </c>
    </row>
    <row r="12" spans="1:4" ht="14.45" x14ac:dyDescent="0.35">
      <c r="A12" s="94" t="s">
        <v>79</v>
      </c>
      <c r="B12" s="88">
        <f>B10+B11</f>
        <v>8.6</v>
      </c>
      <c r="C12" s="88">
        <f t="shared" ref="C12:D12" si="0">C10+C11</f>
        <v>8.6</v>
      </c>
      <c r="D12" s="88">
        <f t="shared" si="0"/>
        <v>522.66666666666663</v>
      </c>
    </row>
    <row r="13" spans="1:4" ht="14.45" x14ac:dyDescent="0.35">
      <c r="A13" s="94"/>
      <c r="B13" s="89"/>
      <c r="C13" s="89"/>
      <c r="D13" s="83"/>
    </row>
    <row r="14" spans="1:4" ht="14.45" x14ac:dyDescent="0.35">
      <c r="A14" s="94" t="s">
        <v>59</v>
      </c>
      <c r="B14" s="90">
        <f>'20 year comparison, 12.3% CF'!B7*1000</f>
        <v>150000000</v>
      </c>
      <c r="C14" s="90">
        <f>'20 year comparison, 3.4% CF'!B7*1000</f>
        <v>150000000</v>
      </c>
      <c r="D14" s="84">
        <f>'20 year comparison, 12.3% CF'!B29*1000</f>
        <v>287943333.33333331</v>
      </c>
    </row>
    <row r="15" spans="1:4" ht="14.45" x14ac:dyDescent="0.35">
      <c r="A15" s="94" t="s">
        <v>60</v>
      </c>
      <c r="B15" s="90">
        <f>B14</f>
        <v>150000000</v>
      </c>
      <c r="C15" s="90">
        <f>C14</f>
        <v>150000000</v>
      </c>
      <c r="D15" s="84">
        <f>'20 year comparison, 12.3% CF'!B31*1000</f>
        <v>201560333.33333331</v>
      </c>
    </row>
    <row r="16" spans="1:4" ht="14.45" x14ac:dyDescent="0.35">
      <c r="A16" s="94" t="s">
        <v>67</v>
      </c>
      <c r="B16" s="90">
        <f>'20 year comparison, 12.3% CF'!B14*1000</f>
        <v>12429803.030847497</v>
      </c>
      <c r="C16" s="84">
        <f>'20 year comparison, 3.4% CF'!B14*1000</f>
        <v>12429803.030847497</v>
      </c>
      <c r="D16" s="84">
        <f>'20 year comparison, 12.3% CF'!B33*1000</f>
        <v>23625139.322329998</v>
      </c>
    </row>
    <row r="17" spans="1:4" ht="14.45" x14ac:dyDescent="0.35">
      <c r="A17" s="94" t="s">
        <v>68</v>
      </c>
      <c r="B17" s="90">
        <f>'20 year comparison, 12.3% CF'!B12*1000</f>
        <v>31464057.604105491</v>
      </c>
      <c r="C17" s="84">
        <f>'20 year comparison, 3.4% CF'!B12*1000</f>
        <v>8760457.0676315539</v>
      </c>
      <c r="D17" s="84">
        <v>0</v>
      </c>
    </row>
    <row r="18" spans="1:4" thickBot="1" x14ac:dyDescent="0.4">
      <c r="A18" s="95" t="s">
        <v>69</v>
      </c>
      <c r="B18" s="91">
        <v>0</v>
      </c>
      <c r="C18" s="85">
        <v>0</v>
      </c>
      <c r="D18" s="85">
        <f>'20 year comparison, 12.3% CF'!B39*1000</f>
        <v>38411021.034649275</v>
      </c>
    </row>
    <row r="19" spans="1:4" ht="14.45" x14ac:dyDescent="0.35">
      <c r="A19" s="78"/>
      <c r="B19" s="76"/>
      <c r="C19" s="86"/>
      <c r="D19" s="86"/>
    </row>
    <row r="20" spans="1:4" thickBot="1" x14ac:dyDescent="0.4">
      <c r="A20" s="79" t="s">
        <v>61</v>
      </c>
      <c r="B20" s="77">
        <f>B15+B16+B17+B18</f>
        <v>193893860.63495299</v>
      </c>
      <c r="C20" s="77">
        <f>C15+C16+C17+C18</f>
        <v>171190260.09847903</v>
      </c>
      <c r="D20" s="77">
        <f>D15+D16+D17+D18</f>
        <v>263596493.69031259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Illustrative model</vt:lpstr>
      <vt:lpstr>20 year comparison, 12.3% CF</vt:lpstr>
      <vt:lpstr>20 year comparison, 3.4% CF</vt:lpstr>
      <vt:lpstr>Summary of Costs SERC vs S+S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2017-08-09T02:48:49Z</dcterms:created>
  <dcterms:modified xsi:type="dcterms:W3CDTF">2018-07-06T21:43:09Z</dcterms:modified>
</cp:coreProperties>
</file>