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filterPrivacy="1" defaultThemeVersion="166925"/>
  <xr:revisionPtr revIDLastSave="0" documentId="8_{8A97F52C-389D-415A-9242-5821EF02C43A}" xr6:coauthVersionLast="33" xr6:coauthVersionMax="33" xr10:uidLastSave="{00000000-0000-0000-0000-000000000000}"/>
  <bookViews>
    <workbookView xWindow="0" yWindow="0" windowWidth="9885" windowHeight="7350" tabRatio="852" xr2:uid="{00000000-000D-0000-FFFF-FFFF00000000}"/>
  </bookViews>
  <sheets>
    <sheet name="Summary" sheetId="9" r:id="rId1"/>
    <sheet name="Model procedure" sheetId="22" r:id="rId2"/>
    <sheet name="Cost Comparison" sheetId="23" r:id="rId3"/>
    <sheet name="Illustrative model" sheetId="25" r:id="rId4"/>
  </sheets>
  <calcPr calcId="179017"/>
  <fileRecoveryPr autoRecover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6" i="25" l="1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E20" i="23"/>
  <c r="E22" i="23" s="1"/>
  <c r="E24" i="23" s="1"/>
  <c r="E17" i="23"/>
  <c r="E23" i="23" s="1"/>
  <c r="E26" i="23" l="1"/>
  <c r="C18" i="23" l="1"/>
  <c r="C23" i="23" s="1"/>
  <c r="C10" i="23"/>
  <c r="AD10" i="25"/>
  <c r="E13" i="25"/>
  <c r="C9" i="23" l="1"/>
  <c r="C5" i="23"/>
  <c r="D9" i="25"/>
  <c r="C11" i="23" l="1"/>
  <c r="C14" i="23"/>
  <c r="C15" i="23" s="1"/>
  <c r="C12" i="23"/>
  <c r="C13" i="23" s="1"/>
  <c r="P7" i="25"/>
  <c r="O7" i="25"/>
  <c r="N7" i="25"/>
  <c r="M7" i="25"/>
  <c r="L7" i="25"/>
  <c r="AA7" i="25"/>
  <c r="Z7" i="25"/>
  <c r="Y7" i="25"/>
  <c r="X7" i="25"/>
  <c r="U7" i="25"/>
  <c r="S7" i="25"/>
  <c r="R7" i="25"/>
  <c r="Q7" i="25"/>
  <c r="J7" i="25"/>
  <c r="I7" i="25"/>
  <c r="H7" i="25"/>
  <c r="G7" i="25"/>
  <c r="F7" i="25"/>
  <c r="E7" i="25"/>
  <c r="C16" i="23" l="1"/>
  <c r="C26" i="23" s="1"/>
  <c r="Q10" i="25"/>
  <c r="I10" i="25"/>
  <c r="Z10" i="25"/>
  <c r="J10" i="25"/>
  <c r="AA10" i="25"/>
  <c r="L10" i="25"/>
  <c r="R10" i="25"/>
  <c r="M10" i="25"/>
  <c r="S10" i="25"/>
  <c r="N10" i="25"/>
  <c r="F10" i="25"/>
  <c r="U10" i="25"/>
  <c r="O10" i="25"/>
  <c r="G10" i="25"/>
  <c r="X10" i="25"/>
  <c r="P10" i="25"/>
  <c r="H10" i="25"/>
  <c r="Y10" i="25"/>
  <c r="E10" i="25"/>
  <c r="T7" i="25"/>
  <c r="AB7" i="25"/>
  <c r="V7" i="25"/>
  <c r="W7" i="25"/>
  <c r="K7" i="25"/>
  <c r="K10" i="25" s="1"/>
  <c r="K12" i="25" l="1"/>
  <c r="K11" i="25"/>
  <c r="P12" i="25"/>
  <c r="P11" i="25"/>
  <c r="M12" i="25"/>
  <c r="M11" i="25"/>
  <c r="X12" i="25"/>
  <c r="X11" i="25"/>
  <c r="R12" i="25"/>
  <c r="R11" i="25"/>
  <c r="G12" i="25"/>
  <c r="G11" i="25"/>
  <c r="L12" i="25"/>
  <c r="L11" i="25"/>
  <c r="O12" i="25"/>
  <c r="O11" i="25"/>
  <c r="AA12" i="25"/>
  <c r="AA11" i="25"/>
  <c r="U12" i="25"/>
  <c r="U11" i="25"/>
  <c r="J12" i="25"/>
  <c r="J11" i="25"/>
  <c r="E12" i="25"/>
  <c r="E11" i="25"/>
  <c r="F12" i="25"/>
  <c r="F11" i="25"/>
  <c r="Z12" i="25"/>
  <c r="Z11" i="25"/>
  <c r="Y12" i="25"/>
  <c r="Y11" i="25"/>
  <c r="N12" i="25"/>
  <c r="N11" i="25"/>
  <c r="I12" i="25"/>
  <c r="I11" i="25"/>
  <c r="H12" i="25"/>
  <c r="H11" i="25"/>
  <c r="S12" i="25"/>
  <c r="S11" i="25"/>
  <c r="Q12" i="25"/>
  <c r="Q11" i="25"/>
  <c r="AB10" i="25"/>
  <c r="V10" i="25"/>
  <c r="W10" i="25"/>
  <c r="T10" i="25"/>
  <c r="F13" i="25" l="1"/>
  <c r="G13" i="25" s="1"/>
  <c r="H13" i="25" s="1"/>
  <c r="I13" i="25" s="1"/>
  <c r="J13" i="25" s="1"/>
  <c r="K13" i="25" s="1"/>
  <c r="L13" i="25" s="1"/>
  <c r="M13" i="25" s="1"/>
  <c r="N13" i="25" s="1"/>
  <c r="O13" i="25" s="1"/>
  <c r="P13" i="25" s="1"/>
  <c r="Q13" i="25" s="1"/>
  <c r="R13" i="25" s="1"/>
  <c r="S13" i="25" s="1"/>
  <c r="T12" i="25"/>
  <c r="T11" i="25"/>
  <c r="V12" i="25"/>
  <c r="V11" i="25"/>
  <c r="W12" i="25"/>
  <c r="W11" i="25"/>
  <c r="AB12" i="25"/>
  <c r="AB11" i="25"/>
  <c r="T13" i="25" l="1"/>
  <c r="U13" i="25" s="1"/>
  <c r="V13" i="25" s="1"/>
  <c r="W13" i="25" s="1"/>
  <c r="X13" i="25" s="1"/>
  <c r="Y13" i="25" s="1"/>
  <c r="Z13" i="25" s="1"/>
  <c r="AA13" i="25" s="1"/>
  <c r="AB13" i="25" s="1"/>
  <c r="AD11" i="25"/>
  <c r="AD12" i="25" s="1"/>
  <c r="AD13" i="25" l="1"/>
</calcChain>
</file>

<file path=xl/sharedStrings.xml><?xml version="1.0" encoding="utf-8"?>
<sst xmlns="http://schemas.openxmlformats.org/spreadsheetml/2006/main" count="89" uniqueCount="83">
  <si>
    <t>Hour</t>
  </si>
  <si>
    <t>1)</t>
  </si>
  <si>
    <t>Task</t>
  </si>
  <si>
    <t>Summary</t>
  </si>
  <si>
    <t>Remaining Load To Serve</t>
  </si>
  <si>
    <t>CAISO PV Generation Data</t>
  </si>
  <si>
    <t>CAISO PV Generation Factor</t>
  </si>
  <si>
    <t>PV</t>
  </si>
  <si>
    <t>MW</t>
  </si>
  <si>
    <t>Procedure</t>
  </si>
  <si>
    <t>Step 1</t>
  </si>
  <si>
    <t>Step 2</t>
  </si>
  <si>
    <t>Step 3</t>
  </si>
  <si>
    <t>Step 4</t>
  </si>
  <si>
    <t>Step 5</t>
  </si>
  <si>
    <t xml:space="preserve">Step 6 </t>
  </si>
  <si>
    <t>Step 7</t>
  </si>
  <si>
    <t>Step 8</t>
  </si>
  <si>
    <t>Step 9</t>
  </si>
  <si>
    <t>Step 10</t>
  </si>
  <si>
    <t>Total Cost</t>
  </si>
  <si>
    <t>With ITC</t>
  </si>
  <si>
    <t>Solar + Storage Alternative</t>
  </si>
  <si>
    <t>Nameplate (MW) (solar)</t>
  </si>
  <si>
    <t>Remaining Load</t>
  </si>
  <si>
    <t>State of Charge</t>
  </si>
  <si>
    <t>PV Generation Factor</t>
  </si>
  <si>
    <t>Equivalent Capacity Factor</t>
  </si>
  <si>
    <t>Energy Storage (dispatch)</t>
  </si>
  <si>
    <t>Energy Storage (PV charging)</t>
  </si>
  <si>
    <t>Total Storage</t>
  </si>
  <si>
    <t>Cost per Watt</t>
  </si>
  <si>
    <t>PV System Costs</t>
  </si>
  <si>
    <t>Energy storage (MWH)</t>
  </si>
  <si>
    <t>Energy storage (MW)</t>
  </si>
  <si>
    <t xml:space="preserve">NREL , U.S. Solar Photovoltaic System Cost Benchmark: Q1 2017, </t>
  </si>
  <si>
    <t>https://www.nrel.gov/docs/fy17osti/68925.pdf</t>
  </si>
  <si>
    <t>URL</t>
  </si>
  <si>
    <t>Abe, et al. (2012) Lifetime Prediction for Heavy-duty Industrial Lithium-ion, Hitachi Review Vol. 61 (2012), No. 6
Batteries that Enables Highly Reliable System Design</t>
  </si>
  <si>
    <t>10-year degradation/Depth of Discharge margin</t>
  </si>
  <si>
    <t> NREL, Smith et al (2017) Life Prediction Model for Grid-Connected Li-ion Battery Energy Storage System </t>
  </si>
  <si>
    <t>Grid inputs</t>
  </si>
  <si>
    <t>Total Grid Input</t>
  </si>
  <si>
    <t>Total PV Charge</t>
  </si>
  <si>
    <t>Percent PV (must &gt; 70%)</t>
  </si>
  <si>
    <t>Initial supplement to the requisite storage, based on 25% degradation over ten years and to provide depth of discharge reserve</t>
  </si>
  <si>
    <t>https://www.lazard.com/media/450338/lazard-levelized-cost-of-storage-version-30.pdf</t>
  </si>
  <si>
    <t>Lazard's Levelized Cost of Storage</t>
  </si>
  <si>
    <t>Energy Storage Cost</t>
  </si>
  <si>
    <t>Total cost before ITC</t>
  </si>
  <si>
    <t>Energy storage supplement at 10 years</t>
  </si>
  <si>
    <t>Energy storage supplement at 20 years</t>
  </si>
  <si>
    <t>Assuming continued 6%/year real cost declines</t>
  </si>
  <si>
    <t xml:space="preserve">Annual O&amp;M </t>
  </si>
  <si>
    <t>Operations &amp; Maintenance ($ per MW -yr)</t>
  </si>
  <si>
    <t>Notes</t>
  </si>
  <si>
    <t>SERC</t>
  </si>
  <si>
    <t>2017 Installed Cost ($/MWh)</t>
  </si>
  <si>
    <t>Fuel Costs</t>
  </si>
  <si>
    <t>Total Capital Costs</t>
  </si>
  <si>
    <t>Capital Cost</t>
  </si>
  <si>
    <t>O&amp;M ($/kw)</t>
  </si>
  <si>
    <t>MWh/year (60% cap factor)</t>
  </si>
  <si>
    <t>Fuel ($/MWh)</t>
  </si>
  <si>
    <t>Annual</t>
  </si>
  <si>
    <t>30 year O&amp;M</t>
  </si>
  <si>
    <t>Annual O&amp;M</t>
  </si>
  <si>
    <t>30 year Fuel</t>
  </si>
  <si>
    <t>(note: this is a first approximation estimate, not discounted for either alternative)</t>
  </si>
  <si>
    <t>Source (Solar + PV estimates)</t>
  </si>
  <si>
    <t>PV Generation (9500 kW nameplate)</t>
  </si>
  <si>
    <t>[Illustrative Model, Rows 15, 16] the PV production profile for a 9500 kW</t>
  </si>
  <si>
    <t>[Illustrative Model, Cell D7] Nameplate PV solar (note: the PRP area includes 160 MW of solar siting area alone)</t>
  </si>
  <si>
    <t>[Illustrative Model, Row 7] The projected Solar output, which meets the generation profile first</t>
  </si>
  <si>
    <t>[Illustrative Model, Row 5] Based on the 60% capacity factor and expectation that peaking and load following generation would occur during 7am - 11 pm, the generation profile to be matched was chosen at 98 MW  during that window, and 50MW during the 10-11pm window.  The Equivalent Capacity Factor is 63%</t>
  </si>
  <si>
    <t>[Illustrative Model, Row 11]. The remaining load after DG is met with battery discharge</t>
  </si>
  <si>
    <t>[Illustrative Model, Row 10]. The remaining Load is calculated, with negative remaining load reflecting battery charging from PV in row 12</t>
  </si>
  <si>
    <t>[Illustrative Model, Row 13]. The State of Charge is tracked with PV inputs and discharged tracked, starting at zero at midnight]</t>
  </si>
  <si>
    <t>[Illustrative Model, Row 8]. Energy is pulled off the grid during the hours of midnight to 4 am.</t>
  </si>
  <si>
    <t>[Illustrative Model, Cells AC11:AD13]. The total grid energy and total PV energy are calculated and the PV system is sized to provide for 70% of the energy charging to be taken from the PV system in order to allow for the ITC to be claimed for the entire system</t>
  </si>
  <si>
    <t>[Illustrative Model, Cells AD13]. The total battery system size is taken as the maximum state of charge.  This is roughly 100MW- four-hour batteries</t>
  </si>
  <si>
    <t xml:space="preserve">The Clean Coalition Estimates that the cost of a solar+storage distributed power plant would cost approximately $500 million over thirty years, including O&amp;M and fuel costs.  By our estimates (based on what incomplete data we have) the comparable 30 year cost for the SERC would cost ratepayers $700 million.  These estimates are sensitive to unit costs, fuel costs, and other assumptions, but illustrate that solar+storage is clearly cost competitive. </t>
  </si>
  <si>
    <t>SERC Capital costs, Final Staff Assessment, Socioeconomics Section 4.9, page 4.9 - 20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</si>
</sst>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"/>
    <numFmt numFmtId="166" formatCode="&quot;$&quot;#,##0.00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1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0" fillId="0" borderId="12" xfId="0" applyFill="1" applyBorder="1" applyAlignment="1">
      <alignment horizontal="center"/>
    </xf>
    <xf numFmtId="0" fontId="0" fillId="2" borderId="0" xfId="0" applyFill="1"/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64" fontId="0" fillId="0" borderId="10" xfId="0" applyNumberFormat="1" applyFill="1" applyBorder="1"/>
    <xf numFmtId="164" fontId="0" fillId="0" borderId="11" xfId="0" applyNumberFormat="1" applyFill="1" applyBorder="1"/>
    <xf numFmtId="164" fontId="0" fillId="0" borderId="8" xfId="0" applyNumberFormat="1" applyFill="1" applyBorder="1"/>
    <xf numFmtId="2" fontId="0" fillId="0" borderId="15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8" xfId="0" applyFont="1" applyFill="1" applyBorder="1"/>
    <xf numFmtId="0" fontId="0" fillId="0" borderId="19" xfId="0" applyFont="1" applyFill="1" applyBorder="1"/>
    <xf numFmtId="0" fontId="0" fillId="0" borderId="20" xfId="0" applyFont="1" applyFill="1" applyBorder="1"/>
    <xf numFmtId="0" fontId="0" fillId="0" borderId="23" xfId="0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0" xfId="0" applyFont="1" applyFill="1" applyBorder="1"/>
    <xf numFmtId="164" fontId="0" fillId="3" borderId="0" xfId="0" applyNumberFormat="1" applyFill="1" applyBorder="1" applyAlignment="1">
      <alignment horizontal="center"/>
    </xf>
    <xf numFmtId="0" fontId="0" fillId="4" borderId="0" xfId="0" applyFill="1"/>
    <xf numFmtId="0" fontId="0" fillId="4" borderId="0" xfId="0" applyFill="1" applyBorder="1" applyAlignment="1">
      <alignment horizontal="left" vertical="top"/>
    </xf>
    <xf numFmtId="0" fontId="3" fillId="4" borderId="0" xfId="0" applyFont="1" applyFill="1"/>
    <xf numFmtId="0" fontId="3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0" borderId="24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64" fontId="0" fillId="0" borderId="6" xfId="0" applyNumberForma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9" fontId="0" fillId="0" borderId="0" xfId="0" applyNumberFormat="1" applyFill="1" applyBorder="1" applyAlignment="1">
      <alignment horizontal="center"/>
    </xf>
    <xf numFmtId="2" fontId="0" fillId="0" borderId="0" xfId="0" applyNumberFormat="1"/>
    <xf numFmtId="164" fontId="0" fillId="0" borderId="23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ill="1" applyBorder="1"/>
    <xf numFmtId="0" fontId="0" fillId="0" borderId="6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 wrapText="1"/>
    </xf>
    <xf numFmtId="0" fontId="10" fillId="0" borderId="0" xfId="0" applyFont="1"/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8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165" fontId="5" fillId="5" borderId="0" xfId="0" applyNumberFormat="1" applyFont="1" applyFill="1" applyBorder="1"/>
    <xf numFmtId="0" fontId="0" fillId="0" borderId="0" xfId="0" applyAlignment="1">
      <alignment wrapText="1"/>
    </xf>
    <xf numFmtId="0" fontId="9" fillId="0" borderId="0" xfId="0" applyFont="1"/>
    <xf numFmtId="164" fontId="0" fillId="0" borderId="26" xfId="0" applyNumberForma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64" fontId="0" fillId="0" borderId="29" xfId="0" applyNumberFormat="1" applyFill="1" applyBorder="1" applyAlignment="1">
      <alignment horizontal="center"/>
    </xf>
    <xf numFmtId="164" fontId="0" fillId="0" borderId="30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0" xfId="0" applyBorder="1"/>
    <xf numFmtId="164" fontId="0" fillId="0" borderId="2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164" fontId="0" fillId="0" borderId="25" xfId="0" applyNumberFormat="1" applyFill="1" applyBorder="1" applyAlignment="1">
      <alignment horizontal="center" wrapText="1"/>
    </xf>
    <xf numFmtId="164" fontId="0" fillId="0" borderId="28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26" xfId="0" applyBorder="1"/>
    <xf numFmtId="165" fontId="1" fillId="0" borderId="0" xfId="0" applyNumberFormat="1" applyFont="1" applyBorder="1"/>
    <xf numFmtId="0" fontId="0" fillId="0" borderId="0" xfId="0" applyBorder="1"/>
    <xf numFmtId="16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31" xfId="0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11" xfId="0" applyFont="1" applyBorder="1"/>
    <xf numFmtId="0" fontId="2" fillId="0" borderId="11" xfId="0" applyFont="1" applyBorder="1"/>
    <xf numFmtId="0" fontId="1" fillId="0" borderId="11" xfId="0" applyFont="1" applyBorder="1" applyAlignment="1">
      <alignment horizontal="left" indent="1"/>
    </xf>
    <xf numFmtId="8" fontId="2" fillId="0" borderId="11" xfId="0" applyNumberFormat="1" applyFont="1" applyBorder="1"/>
    <xf numFmtId="0" fontId="5" fillId="0" borderId="11" xfId="0" applyFont="1" applyBorder="1" applyAlignment="1">
      <alignment horizontal="left" indent="1"/>
    </xf>
    <xf numFmtId="0" fontId="1" fillId="0" borderId="11" xfId="0" applyFont="1" applyBorder="1" applyAlignment="1">
      <alignment horizontal="left" wrapText="1" indent="1"/>
    </xf>
    <xf numFmtId="165" fontId="2" fillId="0" borderId="11" xfId="0" applyNumberFormat="1" applyFont="1" applyBorder="1"/>
    <xf numFmtId="0" fontId="1" fillId="0" borderId="11" xfId="0" applyFont="1" applyFill="1" applyBorder="1" applyAlignment="1">
      <alignment horizontal="left" indent="1"/>
    </xf>
    <xf numFmtId="165" fontId="0" fillId="0" borderId="11" xfId="0" applyNumberFormat="1" applyBorder="1"/>
    <xf numFmtId="0" fontId="1" fillId="0" borderId="11" xfId="0" applyFont="1" applyBorder="1"/>
    <xf numFmtId="0" fontId="1" fillId="0" borderId="11" xfId="0" applyFont="1" applyBorder="1" applyAlignment="1">
      <alignment wrapText="1"/>
    </xf>
    <xf numFmtId="166" fontId="2" fillId="0" borderId="11" xfId="0" applyNumberFormat="1" applyFont="1" applyBorder="1"/>
    <xf numFmtId="166" fontId="1" fillId="0" borderId="11" xfId="0" applyNumberFormat="1" applyFont="1" applyBorder="1"/>
    <xf numFmtId="165" fontId="1" fillId="0" borderId="11" xfId="0" applyNumberFormat="1" applyFont="1" applyBorder="1"/>
    <xf numFmtId="166" fontId="0" fillId="0" borderId="11" xfId="0" applyNumberFormat="1" applyBorder="1"/>
    <xf numFmtId="165" fontId="1" fillId="0" borderId="11" xfId="0" applyNumberFormat="1" applyFont="1" applyBorder="1" applyAlignment="1">
      <alignment wrapText="1"/>
    </xf>
    <xf numFmtId="3" fontId="0" fillId="0" borderId="11" xfId="0" applyNumberFormat="1" applyBorder="1"/>
    <xf numFmtId="0" fontId="5" fillId="5" borderId="32" xfId="0" applyFont="1" applyFill="1" applyBorder="1"/>
    <xf numFmtId="165" fontId="5" fillId="5" borderId="32" xfId="0" applyNumberFormat="1" applyFont="1" applyFill="1" applyBorder="1"/>
    <xf numFmtId="166" fontId="0" fillId="0" borderId="11" xfId="0" applyNumberFormat="1" applyFont="1" applyBorder="1"/>
    <xf numFmtId="0" fontId="5" fillId="4" borderId="32" xfId="0" applyFont="1" applyFill="1" applyBorder="1"/>
    <xf numFmtId="165" fontId="5" fillId="4" borderId="32" xfId="0" applyNumberFormat="1" applyFont="1" applyFill="1" applyBorder="1"/>
    <xf numFmtId="0" fontId="2" fillId="0" borderId="33" xfId="0" applyFont="1" applyBorder="1"/>
    <xf numFmtId="6" fontId="2" fillId="0" borderId="11" xfId="0" applyNumberFormat="1" applyFont="1" applyBorder="1"/>
    <xf numFmtId="167" fontId="0" fillId="0" borderId="8" xfId="0" applyNumberFormat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165" fontId="1" fillId="0" borderId="0" xfId="0" applyNumberFormat="1" applyFont="1" applyBorder="1" applyAlignment="1">
      <alignment horizontal="left" wrapText="1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0" fillId="0" borderId="0" xfId="0" applyBorder="1" applyAlignment="1">
      <alignment horizontal="center" textRotation="90" wrapText="1"/>
    </xf>
    <xf numFmtId="164" fontId="0" fillId="0" borderId="0" xfId="0" applyNumberFormat="1" applyFill="1" applyBorder="1" applyAlignment="1">
      <alignment horizontal="center" wrapText="1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0</xdr:row>
      <xdr:rowOff>128118</xdr:rowOff>
    </xdr:from>
    <xdr:to>
      <xdr:col>2</xdr:col>
      <xdr:colOff>3566160</xdr:colOff>
      <xdr:row>0</xdr:row>
      <xdr:rowOff>769620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128118"/>
          <a:ext cx="3520440" cy="641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297368</xdr:colOff>
      <xdr:row>0</xdr:row>
      <xdr:rowOff>609600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3345368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63500</xdr:colOff>
      <xdr:row>0</xdr:row>
      <xdr:rowOff>101600</xdr:rowOff>
    </xdr:from>
    <xdr:to>
      <xdr:col>16</xdr:col>
      <xdr:colOff>165898</xdr:colOff>
      <xdr:row>2</xdr:row>
      <xdr:rowOff>116893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0" y="812800"/>
          <a:ext cx="3467898" cy="1158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2167418</xdr:colOff>
      <xdr:row>1</xdr:row>
      <xdr:rowOff>76253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5518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"/>
  <sheetViews>
    <sheetView showGridLines="0" tabSelected="1" workbookViewId="0">
      <selection activeCell="D3" sqref="D3"/>
    </sheetView>
  </sheetViews>
  <sheetFormatPr defaultColWidth="8.85546875" defaultRowHeight="15" x14ac:dyDescent="0.25"/>
  <cols>
    <col min="3" max="3" width="116.85546875" customWidth="1"/>
    <col min="4" max="4" width="63.140625" customWidth="1"/>
  </cols>
  <sheetData>
    <row r="1" spans="2:4" ht="69" customHeight="1" thickBot="1" x14ac:dyDescent="0.3"/>
    <row r="2" spans="2:4" ht="16.5" thickTop="1" thickBot="1" x14ac:dyDescent="0.3">
      <c r="B2" s="6" t="s">
        <v>2</v>
      </c>
      <c r="C2" s="7" t="s">
        <v>3</v>
      </c>
      <c r="D2" s="7"/>
    </row>
    <row r="3" spans="2:4" ht="61.5" thickTop="1" thickBot="1" x14ac:dyDescent="0.3">
      <c r="B3" s="5" t="s">
        <v>1</v>
      </c>
      <c r="C3" s="4" t="s">
        <v>81</v>
      </c>
      <c r="D3" s="4"/>
    </row>
    <row r="4" spans="2:4" ht="15.75" thickTop="1" x14ac:dyDescent="0.25"/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12"/>
  <sheetViews>
    <sheetView workbookViewId="0">
      <selection activeCell="A13" sqref="A13:XFD18"/>
    </sheetView>
  </sheetViews>
  <sheetFormatPr defaultColWidth="8.85546875" defaultRowHeight="15" x14ac:dyDescent="0.25"/>
  <cols>
    <col min="3" max="26" width="8.85546875" style="50"/>
  </cols>
  <sheetData>
    <row r="1" spans="2:26" ht="54.6" customHeight="1" x14ac:dyDescent="0.25"/>
    <row r="2" spans="2:26" s="40" customFormat="1" x14ac:dyDescent="0.25">
      <c r="B2" s="42" t="s">
        <v>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2:26" s="40" customFormat="1" ht="30.95" customHeight="1" x14ac:dyDescent="0.25">
      <c r="B3" s="43" t="s">
        <v>10</v>
      </c>
      <c r="C3" s="118" t="s">
        <v>74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44"/>
    </row>
    <row r="4" spans="2:26" s="40" customFormat="1" x14ac:dyDescent="0.25">
      <c r="B4" s="43" t="s">
        <v>11</v>
      </c>
      <c r="C4" s="118" t="s">
        <v>71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2:26" s="40" customFormat="1" ht="15" customHeight="1" x14ac:dyDescent="0.25">
      <c r="B5" s="43" t="s">
        <v>12</v>
      </c>
      <c r="C5" s="118" t="s">
        <v>72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2:26" s="40" customFormat="1" x14ac:dyDescent="0.25">
      <c r="B6" s="43" t="s">
        <v>13</v>
      </c>
      <c r="C6" s="44" t="s">
        <v>73</v>
      </c>
    </row>
    <row r="7" spans="2:26" s="40" customFormat="1" x14ac:dyDescent="0.25">
      <c r="B7" s="43" t="s">
        <v>14</v>
      </c>
      <c r="C7" s="118" t="s">
        <v>76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44"/>
    </row>
    <row r="8" spans="2:26" s="40" customFormat="1" x14ac:dyDescent="0.25">
      <c r="B8" s="43" t="s">
        <v>15</v>
      </c>
      <c r="C8" s="118" t="s">
        <v>75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44"/>
    </row>
    <row r="9" spans="2:26" s="40" customFormat="1" x14ac:dyDescent="0.25">
      <c r="B9" s="43" t="s">
        <v>16</v>
      </c>
      <c r="C9" s="44" t="s">
        <v>77</v>
      </c>
      <c r="Z9" s="44"/>
    </row>
    <row r="10" spans="2:26" s="40" customFormat="1" x14ac:dyDescent="0.25">
      <c r="B10" s="43" t="s">
        <v>17</v>
      </c>
      <c r="C10" s="118" t="s">
        <v>78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spans="2:26" s="40" customFormat="1" x14ac:dyDescent="0.25">
      <c r="B11" s="43" t="s">
        <v>18</v>
      </c>
      <c r="C11" s="41" t="s">
        <v>79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2:26" s="40" customFormat="1" ht="32.450000000000003" customHeight="1" x14ac:dyDescent="0.25">
      <c r="B12" s="43" t="s">
        <v>19</v>
      </c>
      <c r="C12" s="119" t="s">
        <v>80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</sheetData>
  <mergeCells count="7">
    <mergeCell ref="C10:Z10"/>
    <mergeCell ref="C12:Z12"/>
    <mergeCell ref="C3:Y3"/>
    <mergeCell ref="C4:Z4"/>
    <mergeCell ref="C5:Z5"/>
    <mergeCell ref="C7:Y7"/>
    <mergeCell ref="C8:Y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72"/>
  <sheetViews>
    <sheetView topLeftCell="A9" workbookViewId="0">
      <selection activeCell="C11" sqref="C11"/>
    </sheetView>
  </sheetViews>
  <sheetFormatPr defaultColWidth="8.85546875" defaultRowHeight="15" x14ac:dyDescent="0.25"/>
  <cols>
    <col min="1" max="1" width="3" customWidth="1"/>
    <col min="2" max="2" width="37.140625" customWidth="1"/>
    <col min="3" max="3" width="30.28515625" style="86" customWidth="1"/>
    <col min="4" max="4" width="19.85546875" style="88" customWidth="1"/>
    <col min="5" max="5" width="23.42578125" style="88" customWidth="1"/>
    <col min="6" max="6" width="47.28515625" customWidth="1"/>
    <col min="7" max="7" width="52.7109375" customWidth="1"/>
    <col min="8" max="8" width="40" customWidth="1"/>
  </cols>
  <sheetData>
    <row r="2" spans="2:8" s="90" customFormat="1" ht="75" customHeight="1" x14ac:dyDescent="0.25">
      <c r="B2" s="91"/>
      <c r="C2" s="92" t="s">
        <v>22</v>
      </c>
      <c r="D2" s="92"/>
      <c r="E2" s="92" t="s">
        <v>56</v>
      </c>
      <c r="F2" s="62" t="s">
        <v>55</v>
      </c>
      <c r="G2" s="89" t="s">
        <v>69</v>
      </c>
      <c r="H2" s="90" t="s">
        <v>37</v>
      </c>
    </row>
    <row r="3" spans="2:8" ht="15.75" x14ac:dyDescent="0.25">
      <c r="B3" s="93" t="s">
        <v>23</v>
      </c>
      <c r="C3" s="94">
        <v>185</v>
      </c>
      <c r="D3" s="94"/>
      <c r="E3" s="94">
        <v>98</v>
      </c>
      <c r="F3" s="63"/>
    </row>
    <row r="4" spans="2:8" ht="15.75" x14ac:dyDescent="0.25">
      <c r="B4" s="95" t="s">
        <v>31</v>
      </c>
      <c r="C4" s="96">
        <v>1.85</v>
      </c>
      <c r="D4" s="96"/>
      <c r="E4" s="96"/>
      <c r="F4" s="64"/>
      <c r="G4" t="s">
        <v>35</v>
      </c>
      <c r="H4" s="61" t="s">
        <v>36</v>
      </c>
    </row>
    <row r="5" spans="2:8" ht="15.75" x14ac:dyDescent="0.25">
      <c r="B5" s="95" t="s">
        <v>32</v>
      </c>
      <c r="C5" s="116">
        <f>C3*1000000*C4</f>
        <v>342250000</v>
      </c>
      <c r="D5" s="96"/>
      <c r="E5" s="96"/>
      <c r="F5" s="64"/>
    </row>
    <row r="6" spans="2:8" ht="15.75" x14ac:dyDescent="0.25">
      <c r="B6" s="97"/>
      <c r="C6" s="96"/>
      <c r="D6" s="96"/>
      <c r="E6" s="96"/>
      <c r="F6" s="64"/>
    </row>
    <row r="7" spans="2:8" ht="15.75" x14ac:dyDescent="0.25">
      <c r="B7" s="93" t="s">
        <v>34</v>
      </c>
      <c r="C7" s="94">
        <v>100</v>
      </c>
      <c r="D7" s="94"/>
      <c r="E7" s="94">
        <v>20</v>
      </c>
      <c r="F7" s="63"/>
    </row>
    <row r="8" spans="2:8" ht="15.75" x14ac:dyDescent="0.25">
      <c r="B8" s="95" t="s">
        <v>33</v>
      </c>
      <c r="C8" s="94">
        <v>445</v>
      </c>
      <c r="D8" s="94"/>
      <c r="E8" s="94"/>
      <c r="F8" s="63"/>
    </row>
    <row r="9" spans="2:8" ht="60" x14ac:dyDescent="0.25">
      <c r="B9" s="98" t="s">
        <v>39</v>
      </c>
      <c r="C9" s="94">
        <f>ROUND(C8/0.75-C8,0)</f>
        <v>148</v>
      </c>
      <c r="D9" s="94"/>
      <c r="E9" s="94"/>
      <c r="F9" s="68" t="s">
        <v>45</v>
      </c>
      <c r="G9" s="68" t="s">
        <v>38</v>
      </c>
      <c r="H9" s="69" t="s">
        <v>40</v>
      </c>
    </row>
    <row r="10" spans="2:8" ht="15.75" x14ac:dyDescent="0.25">
      <c r="B10" s="95" t="s">
        <v>57</v>
      </c>
      <c r="C10" s="99">
        <f>335*1000</f>
        <v>335000</v>
      </c>
      <c r="D10" s="99"/>
      <c r="E10" s="99"/>
      <c r="F10" s="63"/>
    </row>
    <row r="11" spans="2:8" ht="15.75" x14ac:dyDescent="0.25">
      <c r="B11" s="100" t="s">
        <v>48</v>
      </c>
      <c r="C11" s="101">
        <f>C10*(C9+C8)</f>
        <v>198655000</v>
      </c>
      <c r="D11" s="101"/>
      <c r="E11" s="101"/>
      <c r="F11" s="65"/>
      <c r="G11" t="s">
        <v>47</v>
      </c>
      <c r="H11" s="61" t="s">
        <v>46</v>
      </c>
    </row>
    <row r="12" spans="2:8" ht="15.75" x14ac:dyDescent="0.25">
      <c r="B12" s="100" t="s">
        <v>49</v>
      </c>
      <c r="C12" s="101">
        <f>C11+C5</f>
        <v>540905000</v>
      </c>
      <c r="D12" s="101"/>
      <c r="E12" s="101"/>
      <c r="F12" s="65"/>
      <c r="H12" s="61"/>
    </row>
    <row r="13" spans="2:8" ht="15.75" x14ac:dyDescent="0.25">
      <c r="B13" s="102" t="s">
        <v>21</v>
      </c>
      <c r="C13" s="99">
        <f>C12*0.7</f>
        <v>378633500</v>
      </c>
      <c r="D13" s="99"/>
      <c r="E13" s="99"/>
      <c r="F13" s="65"/>
    </row>
    <row r="14" spans="2:8" ht="15.75" x14ac:dyDescent="0.25">
      <c r="B14" s="102" t="s">
        <v>50</v>
      </c>
      <c r="C14" s="99">
        <f>C9*C10*0.94^10</f>
        <v>26704537.356825121</v>
      </c>
      <c r="D14" s="99"/>
      <c r="E14" s="99"/>
      <c r="F14" s="87" t="s">
        <v>52</v>
      </c>
    </row>
    <row r="15" spans="2:8" ht="15.75" x14ac:dyDescent="0.25">
      <c r="B15" s="102" t="s">
        <v>51</v>
      </c>
      <c r="C15" s="99">
        <f>C14*0.94^10</f>
        <v>14383467.435297871</v>
      </c>
      <c r="D15" s="99"/>
      <c r="E15" s="99"/>
      <c r="F15" s="87" t="s">
        <v>52</v>
      </c>
    </row>
    <row r="16" spans="2:8" ht="15.75" x14ac:dyDescent="0.25">
      <c r="B16" s="113" t="s">
        <v>59</v>
      </c>
      <c r="C16" s="114">
        <f>C15+C14+C13</f>
        <v>419721504.79212296</v>
      </c>
      <c r="D16" s="114" t="s">
        <v>60</v>
      </c>
      <c r="E16" s="114">
        <v>150000000</v>
      </c>
      <c r="F16" s="65"/>
      <c r="G16" t="s">
        <v>82</v>
      </c>
    </row>
    <row r="17" spans="2:8" ht="31.5" x14ac:dyDescent="0.25">
      <c r="B17" s="103" t="s">
        <v>54</v>
      </c>
      <c r="C17" s="104">
        <v>15000</v>
      </c>
      <c r="D17" s="105" t="s">
        <v>61</v>
      </c>
      <c r="E17" s="112">
        <f>2.34+2.38</f>
        <v>4.72</v>
      </c>
      <c r="F17" s="66"/>
      <c r="G17" t="s">
        <v>35</v>
      </c>
      <c r="H17" s="61" t="s">
        <v>36</v>
      </c>
    </row>
    <row r="18" spans="2:8" ht="15.75" x14ac:dyDescent="0.25">
      <c r="B18" s="102" t="s">
        <v>53</v>
      </c>
      <c r="C18" s="99">
        <f>C3*C17</f>
        <v>2775000</v>
      </c>
      <c r="D18" s="106" t="s">
        <v>66</v>
      </c>
      <c r="E18" s="107">
        <v>1460000</v>
      </c>
      <c r="F18" s="65"/>
      <c r="G18" t="s">
        <v>82</v>
      </c>
    </row>
    <row r="19" spans="2:8" ht="15.75" x14ac:dyDescent="0.25">
      <c r="B19" s="102"/>
      <c r="C19" s="99"/>
      <c r="D19" s="106"/>
      <c r="E19" s="107"/>
      <c r="F19" s="65"/>
    </row>
    <row r="20" spans="2:8" ht="31.5" x14ac:dyDescent="0.25">
      <c r="B20" s="102"/>
      <c r="C20" s="99"/>
      <c r="D20" s="108" t="s">
        <v>62</v>
      </c>
      <c r="E20" s="109">
        <f>E3*24*365*0.6</f>
        <v>515088</v>
      </c>
      <c r="F20" s="65"/>
    </row>
    <row r="21" spans="2:8" ht="15.75" x14ac:dyDescent="0.25">
      <c r="B21" s="102" t="s">
        <v>58</v>
      </c>
      <c r="C21" s="99">
        <v>0</v>
      </c>
      <c r="D21" s="106" t="s">
        <v>63</v>
      </c>
      <c r="E21" s="112">
        <v>35</v>
      </c>
      <c r="F21" s="65"/>
    </row>
    <row r="22" spans="2:8" ht="15.75" x14ac:dyDescent="0.25">
      <c r="B22" s="102"/>
      <c r="C22" s="99"/>
      <c r="D22" s="106" t="s">
        <v>64</v>
      </c>
      <c r="E22" s="99">
        <f>E21*E20</f>
        <v>18028080</v>
      </c>
      <c r="F22" s="65"/>
    </row>
    <row r="23" spans="2:8" ht="15.75" x14ac:dyDescent="0.25">
      <c r="B23" s="106" t="s">
        <v>65</v>
      </c>
      <c r="C23" s="99">
        <f>C18*30</f>
        <v>83250000</v>
      </c>
      <c r="D23" s="106" t="s">
        <v>65</v>
      </c>
      <c r="E23" s="99">
        <f>E18*30</f>
        <v>43800000</v>
      </c>
      <c r="F23" s="120" t="s">
        <v>68</v>
      </c>
    </row>
    <row r="24" spans="2:8" ht="15.75" x14ac:dyDescent="0.25">
      <c r="B24" s="106" t="s">
        <v>67</v>
      </c>
      <c r="C24" s="99">
        <v>0</v>
      </c>
      <c r="D24" s="106" t="s">
        <v>67</v>
      </c>
      <c r="E24" s="99">
        <f>E22*30</f>
        <v>540842400</v>
      </c>
      <c r="F24" s="120"/>
    </row>
    <row r="25" spans="2:8" ht="15.75" x14ac:dyDescent="0.25">
      <c r="B25" s="106"/>
      <c r="C25" s="99"/>
      <c r="D25" s="106"/>
      <c r="E25" s="99"/>
      <c r="F25" s="65"/>
    </row>
    <row r="26" spans="2:8" ht="15.75" x14ac:dyDescent="0.25">
      <c r="B26" s="110" t="s">
        <v>20</v>
      </c>
      <c r="C26" s="111">
        <f>C23+C16</f>
        <v>502971504.79212296</v>
      </c>
      <c r="D26" s="111"/>
      <c r="E26" s="111">
        <f>E24+E23+E16</f>
        <v>734642400</v>
      </c>
      <c r="F26" s="67"/>
    </row>
    <row r="27" spans="2:8" ht="15.75" x14ac:dyDescent="0.25">
      <c r="B27" s="115"/>
      <c r="C27" s="115"/>
      <c r="D27" s="115"/>
      <c r="E27" s="115"/>
      <c r="F27" s="63"/>
    </row>
    <row r="28" spans="2:8" x14ac:dyDescent="0.25">
      <c r="B28" s="88"/>
      <c r="C28" s="88"/>
    </row>
    <row r="29" spans="2:8" x14ac:dyDescent="0.25">
      <c r="B29" s="88"/>
      <c r="C29" s="88"/>
    </row>
    <row r="30" spans="2:8" x14ac:dyDescent="0.25">
      <c r="B30" s="88"/>
      <c r="C30" s="88"/>
    </row>
    <row r="31" spans="2:8" x14ac:dyDescent="0.25">
      <c r="B31" s="88"/>
      <c r="C31" s="88"/>
    </row>
    <row r="32" spans="2:8" x14ac:dyDescent="0.25">
      <c r="B32" s="88"/>
      <c r="C32" s="88"/>
    </row>
    <row r="33" spans="2:3" x14ac:dyDescent="0.25">
      <c r="B33" s="88"/>
      <c r="C33" s="88"/>
    </row>
    <row r="34" spans="2:3" x14ac:dyDescent="0.25">
      <c r="B34" s="88"/>
      <c r="C34" s="88"/>
    </row>
    <row r="35" spans="2:3" x14ac:dyDescent="0.25">
      <c r="B35" s="88"/>
      <c r="C35" s="88"/>
    </row>
    <row r="36" spans="2:3" x14ac:dyDescent="0.25">
      <c r="B36" s="88"/>
      <c r="C36" s="88"/>
    </row>
    <row r="37" spans="2:3" x14ac:dyDescent="0.25">
      <c r="B37" s="88"/>
      <c r="C37" s="88"/>
    </row>
    <row r="38" spans="2:3" x14ac:dyDescent="0.25">
      <c r="B38" s="88"/>
      <c r="C38" s="88"/>
    </row>
    <row r="39" spans="2:3" x14ac:dyDescent="0.25">
      <c r="B39" s="88"/>
      <c r="C39" s="88"/>
    </row>
    <row r="40" spans="2:3" x14ac:dyDescent="0.25">
      <c r="B40" s="88"/>
      <c r="C40" s="88"/>
    </row>
    <row r="41" spans="2:3" x14ac:dyDescent="0.25">
      <c r="B41" s="88"/>
      <c r="C41" s="88"/>
    </row>
    <row r="42" spans="2:3" x14ac:dyDescent="0.25">
      <c r="B42" s="88"/>
      <c r="C42" s="88"/>
    </row>
    <row r="43" spans="2:3" x14ac:dyDescent="0.25">
      <c r="B43" s="88"/>
      <c r="C43" s="88"/>
    </row>
    <row r="44" spans="2:3" x14ac:dyDescent="0.25">
      <c r="B44" s="88"/>
      <c r="C44" s="88"/>
    </row>
    <row r="45" spans="2:3" x14ac:dyDescent="0.25">
      <c r="B45" s="88"/>
      <c r="C45" s="88"/>
    </row>
    <row r="46" spans="2:3" x14ac:dyDescent="0.25">
      <c r="B46" s="88"/>
      <c r="C46" s="88"/>
    </row>
    <row r="47" spans="2:3" x14ac:dyDescent="0.25">
      <c r="B47" s="88"/>
      <c r="C47" s="88"/>
    </row>
    <row r="48" spans="2:3" x14ac:dyDescent="0.25">
      <c r="B48" s="88"/>
      <c r="C48" s="88"/>
    </row>
    <row r="49" spans="2:3" x14ac:dyDescent="0.25">
      <c r="B49" s="88"/>
      <c r="C49" s="88"/>
    </row>
    <row r="50" spans="2:3" x14ac:dyDescent="0.25">
      <c r="B50" s="88"/>
      <c r="C50" s="88"/>
    </row>
    <row r="51" spans="2:3" x14ac:dyDescent="0.25">
      <c r="B51" s="88"/>
      <c r="C51" s="88"/>
    </row>
    <row r="52" spans="2:3" x14ac:dyDescent="0.25">
      <c r="B52" s="88"/>
      <c r="C52" s="88"/>
    </row>
    <row r="53" spans="2:3" x14ac:dyDescent="0.25">
      <c r="B53" s="88"/>
      <c r="C53" s="88"/>
    </row>
    <row r="54" spans="2:3" x14ac:dyDescent="0.25">
      <c r="B54" s="88"/>
      <c r="C54" s="88"/>
    </row>
    <row r="55" spans="2:3" x14ac:dyDescent="0.25">
      <c r="B55" s="88"/>
      <c r="C55" s="88"/>
    </row>
    <row r="56" spans="2:3" x14ac:dyDescent="0.25">
      <c r="B56" s="88"/>
      <c r="C56" s="88"/>
    </row>
    <row r="57" spans="2:3" x14ac:dyDescent="0.25">
      <c r="B57" s="88"/>
      <c r="C57" s="88"/>
    </row>
    <row r="58" spans="2:3" x14ac:dyDescent="0.25">
      <c r="B58" s="88"/>
      <c r="C58" s="88"/>
    </row>
    <row r="59" spans="2:3" x14ac:dyDescent="0.25">
      <c r="B59" s="88"/>
      <c r="C59" s="88"/>
    </row>
    <row r="60" spans="2:3" x14ac:dyDescent="0.25">
      <c r="B60" s="88"/>
      <c r="C60" s="88"/>
    </row>
    <row r="61" spans="2:3" x14ac:dyDescent="0.25">
      <c r="B61" s="88"/>
      <c r="C61" s="88"/>
    </row>
    <row r="62" spans="2:3" x14ac:dyDescent="0.25">
      <c r="B62" s="88"/>
      <c r="C62" s="88"/>
    </row>
    <row r="63" spans="2:3" x14ac:dyDescent="0.25">
      <c r="B63" s="88"/>
      <c r="C63" s="88"/>
    </row>
    <row r="64" spans="2:3" x14ac:dyDescent="0.25">
      <c r="B64" s="88"/>
      <c r="C64" s="88"/>
    </row>
    <row r="65" spans="2:3" x14ac:dyDescent="0.25">
      <c r="B65" s="88"/>
      <c r="C65" s="88"/>
    </row>
    <row r="66" spans="2:3" x14ac:dyDescent="0.25">
      <c r="B66" s="88"/>
      <c r="C66" s="88"/>
    </row>
    <row r="67" spans="2:3" x14ac:dyDescent="0.25">
      <c r="B67" s="88"/>
      <c r="C67" s="88"/>
    </row>
    <row r="68" spans="2:3" x14ac:dyDescent="0.25">
      <c r="B68" s="88"/>
      <c r="C68" s="88"/>
    </row>
    <row r="69" spans="2:3" x14ac:dyDescent="0.25">
      <c r="B69" s="88"/>
      <c r="C69" s="88"/>
    </row>
    <row r="70" spans="2:3" x14ac:dyDescent="0.25">
      <c r="B70" s="88"/>
      <c r="C70" s="88"/>
    </row>
    <row r="71" spans="2:3" x14ac:dyDescent="0.25">
      <c r="B71" s="88"/>
      <c r="C71" s="88"/>
    </row>
    <row r="72" spans="2:3" x14ac:dyDescent="0.25">
      <c r="B72" s="88"/>
      <c r="C72" s="88"/>
    </row>
    <row r="73" spans="2:3" x14ac:dyDescent="0.25">
      <c r="B73" s="88"/>
      <c r="C73" s="88"/>
    </row>
    <row r="74" spans="2:3" x14ac:dyDescent="0.25">
      <c r="B74" s="88"/>
      <c r="C74" s="88"/>
    </row>
    <row r="75" spans="2:3" x14ac:dyDescent="0.25">
      <c r="B75" s="88"/>
      <c r="C75" s="88"/>
    </row>
    <row r="76" spans="2:3" x14ac:dyDescent="0.25">
      <c r="B76" s="88"/>
      <c r="C76" s="88"/>
    </row>
    <row r="77" spans="2:3" x14ac:dyDescent="0.25">
      <c r="B77" s="88"/>
      <c r="C77" s="88"/>
    </row>
    <row r="78" spans="2:3" x14ac:dyDescent="0.25">
      <c r="B78" s="88"/>
      <c r="C78" s="88"/>
    </row>
    <row r="79" spans="2:3" x14ac:dyDescent="0.25">
      <c r="B79" s="88"/>
      <c r="C79" s="88"/>
    </row>
    <row r="80" spans="2:3" x14ac:dyDescent="0.25">
      <c r="B80" s="88"/>
      <c r="C80" s="88"/>
    </row>
    <row r="81" spans="2:3" x14ac:dyDescent="0.25">
      <c r="B81" s="88"/>
      <c r="C81" s="88"/>
    </row>
    <row r="82" spans="2:3" x14ac:dyDescent="0.25">
      <c r="B82" s="88"/>
      <c r="C82" s="88"/>
    </row>
    <row r="83" spans="2:3" x14ac:dyDescent="0.25">
      <c r="B83" s="88"/>
      <c r="C83" s="88"/>
    </row>
    <row r="84" spans="2:3" x14ac:dyDescent="0.25">
      <c r="B84" s="88"/>
      <c r="C84" s="88"/>
    </row>
    <row r="85" spans="2:3" x14ac:dyDescent="0.25">
      <c r="B85" s="88"/>
      <c r="C85" s="88"/>
    </row>
    <row r="86" spans="2:3" x14ac:dyDescent="0.25">
      <c r="B86" s="88"/>
      <c r="C86" s="88"/>
    </row>
    <row r="87" spans="2:3" x14ac:dyDescent="0.25">
      <c r="B87" s="88"/>
      <c r="C87" s="88"/>
    </row>
    <row r="88" spans="2:3" x14ac:dyDescent="0.25">
      <c r="B88" s="88"/>
      <c r="C88" s="88"/>
    </row>
    <row r="89" spans="2:3" x14ac:dyDescent="0.25">
      <c r="B89" s="88"/>
      <c r="C89" s="88"/>
    </row>
    <row r="90" spans="2:3" x14ac:dyDescent="0.25">
      <c r="B90" s="88"/>
      <c r="C90" s="88"/>
    </row>
    <row r="91" spans="2:3" x14ac:dyDescent="0.25">
      <c r="B91" s="88"/>
      <c r="C91" s="88"/>
    </row>
    <row r="92" spans="2:3" x14ac:dyDescent="0.25">
      <c r="B92" s="88"/>
      <c r="C92" s="88"/>
    </row>
    <row r="93" spans="2:3" x14ac:dyDescent="0.25">
      <c r="B93" s="88"/>
      <c r="C93" s="88"/>
    </row>
    <row r="94" spans="2:3" x14ac:dyDescent="0.25">
      <c r="B94" s="88"/>
      <c r="C94" s="88"/>
    </row>
    <row r="95" spans="2:3" x14ac:dyDescent="0.25">
      <c r="B95" s="88"/>
      <c r="C95" s="88"/>
    </row>
    <row r="96" spans="2:3" x14ac:dyDescent="0.25">
      <c r="B96" s="88"/>
      <c r="C96" s="88"/>
    </row>
    <row r="97" spans="2:3" x14ac:dyDescent="0.25">
      <c r="B97" s="88"/>
      <c r="C97" s="88"/>
    </row>
    <row r="98" spans="2:3" x14ac:dyDescent="0.25">
      <c r="B98" s="88"/>
      <c r="C98" s="88"/>
    </row>
    <row r="99" spans="2:3" x14ac:dyDescent="0.25">
      <c r="B99" s="88"/>
      <c r="C99" s="88"/>
    </row>
    <row r="100" spans="2:3" x14ac:dyDescent="0.25">
      <c r="B100" s="88"/>
      <c r="C100" s="88"/>
    </row>
    <row r="101" spans="2:3" x14ac:dyDescent="0.25">
      <c r="B101" s="88"/>
      <c r="C101" s="88"/>
    </row>
    <row r="102" spans="2:3" x14ac:dyDescent="0.25">
      <c r="B102" s="88"/>
      <c r="C102" s="88"/>
    </row>
    <row r="103" spans="2:3" x14ac:dyDescent="0.25">
      <c r="B103" s="88"/>
      <c r="C103" s="88"/>
    </row>
    <row r="104" spans="2:3" x14ac:dyDescent="0.25">
      <c r="B104" s="88"/>
      <c r="C104" s="88"/>
    </row>
    <row r="105" spans="2:3" x14ac:dyDescent="0.25">
      <c r="B105" s="88"/>
      <c r="C105" s="88"/>
    </row>
    <row r="106" spans="2:3" x14ac:dyDescent="0.25">
      <c r="B106" s="88"/>
      <c r="C106" s="88"/>
    </row>
    <row r="107" spans="2:3" x14ac:dyDescent="0.25">
      <c r="B107" s="88"/>
      <c r="C107" s="88"/>
    </row>
    <row r="108" spans="2:3" x14ac:dyDescent="0.25">
      <c r="B108" s="88"/>
      <c r="C108" s="88"/>
    </row>
    <row r="109" spans="2:3" x14ac:dyDescent="0.25">
      <c r="B109" s="88"/>
      <c r="C109" s="88"/>
    </row>
    <row r="110" spans="2:3" x14ac:dyDescent="0.25">
      <c r="B110" s="88"/>
      <c r="C110" s="88"/>
    </row>
    <row r="111" spans="2:3" x14ac:dyDescent="0.25">
      <c r="B111" s="88"/>
      <c r="C111" s="88"/>
    </row>
    <row r="112" spans="2:3" x14ac:dyDescent="0.25">
      <c r="B112" s="88"/>
      <c r="C112" s="88"/>
    </row>
    <row r="113" spans="2:3" x14ac:dyDescent="0.25">
      <c r="B113" s="88"/>
      <c r="C113" s="88"/>
    </row>
    <row r="114" spans="2:3" x14ac:dyDescent="0.25">
      <c r="B114" s="88"/>
      <c r="C114" s="88"/>
    </row>
    <row r="115" spans="2:3" x14ac:dyDescent="0.25">
      <c r="B115" s="88"/>
      <c r="C115" s="88"/>
    </row>
    <row r="116" spans="2:3" x14ac:dyDescent="0.25">
      <c r="B116" s="88"/>
      <c r="C116" s="88"/>
    </row>
    <row r="117" spans="2:3" x14ac:dyDescent="0.25">
      <c r="B117" s="88"/>
      <c r="C117" s="88"/>
    </row>
    <row r="118" spans="2:3" x14ac:dyDescent="0.25">
      <c r="B118" s="88"/>
      <c r="C118" s="88"/>
    </row>
    <row r="119" spans="2:3" x14ac:dyDescent="0.25">
      <c r="B119" s="88"/>
      <c r="C119" s="88"/>
    </row>
    <row r="120" spans="2:3" x14ac:dyDescent="0.25">
      <c r="B120" s="88"/>
      <c r="C120" s="88"/>
    </row>
    <row r="121" spans="2:3" x14ac:dyDescent="0.25">
      <c r="B121" s="88"/>
      <c r="C121" s="88"/>
    </row>
    <row r="122" spans="2:3" x14ac:dyDescent="0.25">
      <c r="B122" s="88"/>
      <c r="C122" s="88"/>
    </row>
    <row r="123" spans="2:3" x14ac:dyDescent="0.25">
      <c r="B123" s="88"/>
      <c r="C123" s="88"/>
    </row>
    <row r="124" spans="2:3" x14ac:dyDescent="0.25">
      <c r="B124" s="88"/>
      <c r="C124" s="88"/>
    </row>
    <row r="125" spans="2:3" x14ac:dyDescent="0.25">
      <c r="B125" s="88"/>
      <c r="C125" s="88"/>
    </row>
    <row r="126" spans="2:3" x14ac:dyDescent="0.25">
      <c r="B126" s="88"/>
      <c r="C126" s="88"/>
    </row>
    <row r="127" spans="2:3" x14ac:dyDescent="0.25">
      <c r="B127" s="88"/>
      <c r="C127" s="88"/>
    </row>
    <row r="128" spans="2:3" x14ac:dyDescent="0.25">
      <c r="B128" s="88"/>
      <c r="C128" s="88"/>
    </row>
    <row r="129" spans="2:3" x14ac:dyDescent="0.25">
      <c r="B129" s="88"/>
      <c r="C129" s="88"/>
    </row>
    <row r="130" spans="2:3" x14ac:dyDescent="0.25">
      <c r="B130" s="88"/>
      <c r="C130" s="88"/>
    </row>
    <row r="131" spans="2:3" x14ac:dyDescent="0.25">
      <c r="B131" s="88"/>
      <c r="C131" s="88"/>
    </row>
    <row r="132" spans="2:3" x14ac:dyDescent="0.25">
      <c r="B132" s="88"/>
      <c r="C132" s="88"/>
    </row>
    <row r="133" spans="2:3" x14ac:dyDescent="0.25">
      <c r="B133" s="88"/>
      <c r="C133" s="88"/>
    </row>
    <row r="134" spans="2:3" x14ac:dyDescent="0.25">
      <c r="B134" s="88"/>
      <c r="C134" s="88"/>
    </row>
    <row r="135" spans="2:3" x14ac:dyDescent="0.25">
      <c r="B135" s="88"/>
      <c r="C135" s="88"/>
    </row>
    <row r="136" spans="2:3" x14ac:dyDescent="0.25">
      <c r="B136" s="88"/>
      <c r="C136" s="88"/>
    </row>
    <row r="137" spans="2:3" x14ac:dyDescent="0.25">
      <c r="B137" s="88"/>
      <c r="C137" s="88"/>
    </row>
    <row r="138" spans="2:3" x14ac:dyDescent="0.25">
      <c r="B138" s="88"/>
      <c r="C138" s="88"/>
    </row>
    <row r="139" spans="2:3" x14ac:dyDescent="0.25">
      <c r="B139" s="88"/>
      <c r="C139" s="88"/>
    </row>
    <row r="140" spans="2:3" x14ac:dyDescent="0.25">
      <c r="B140" s="88"/>
      <c r="C140" s="88"/>
    </row>
    <row r="141" spans="2:3" x14ac:dyDescent="0.25">
      <c r="B141" s="88"/>
      <c r="C141" s="88"/>
    </row>
    <row r="142" spans="2:3" x14ac:dyDescent="0.25">
      <c r="B142" s="88"/>
      <c r="C142" s="88"/>
    </row>
    <row r="143" spans="2:3" x14ac:dyDescent="0.25">
      <c r="B143" s="88"/>
      <c r="C143" s="88"/>
    </row>
    <row r="144" spans="2:3" x14ac:dyDescent="0.25">
      <c r="B144" s="88"/>
      <c r="C144" s="88"/>
    </row>
    <row r="145" spans="2:3" x14ac:dyDescent="0.25">
      <c r="B145" s="88"/>
      <c r="C145" s="88"/>
    </row>
    <row r="146" spans="2:3" x14ac:dyDescent="0.25">
      <c r="B146" s="88"/>
      <c r="C146" s="88"/>
    </row>
    <row r="147" spans="2:3" x14ac:dyDescent="0.25">
      <c r="B147" s="88"/>
      <c r="C147" s="88"/>
    </row>
    <row r="148" spans="2:3" x14ac:dyDescent="0.25">
      <c r="B148" s="88"/>
      <c r="C148" s="88"/>
    </row>
    <row r="149" spans="2:3" x14ac:dyDescent="0.25">
      <c r="B149" s="88"/>
      <c r="C149" s="88"/>
    </row>
    <row r="150" spans="2:3" x14ac:dyDescent="0.25">
      <c r="B150" s="88"/>
      <c r="C150" s="88"/>
    </row>
    <row r="151" spans="2:3" x14ac:dyDescent="0.25">
      <c r="B151" s="88"/>
      <c r="C151" s="88"/>
    </row>
    <row r="152" spans="2:3" x14ac:dyDescent="0.25">
      <c r="B152" s="88"/>
      <c r="C152" s="88"/>
    </row>
    <row r="153" spans="2:3" x14ac:dyDescent="0.25">
      <c r="B153" s="88"/>
      <c r="C153" s="88"/>
    </row>
    <row r="154" spans="2:3" x14ac:dyDescent="0.25">
      <c r="B154" s="88"/>
      <c r="C154" s="88"/>
    </row>
    <row r="155" spans="2:3" x14ac:dyDescent="0.25">
      <c r="B155" s="88"/>
      <c r="C155" s="88"/>
    </row>
    <row r="156" spans="2:3" x14ac:dyDescent="0.25">
      <c r="B156" s="88"/>
      <c r="C156" s="88"/>
    </row>
    <row r="157" spans="2:3" x14ac:dyDescent="0.25">
      <c r="B157" s="88"/>
      <c r="C157" s="88"/>
    </row>
    <row r="158" spans="2:3" x14ac:dyDescent="0.25">
      <c r="B158" s="88"/>
      <c r="C158" s="88"/>
    </row>
    <row r="159" spans="2:3" x14ac:dyDescent="0.25">
      <c r="B159" s="88"/>
      <c r="C159" s="88"/>
    </row>
    <row r="160" spans="2:3" x14ac:dyDescent="0.25">
      <c r="B160" s="88"/>
      <c r="C160" s="88"/>
    </row>
    <row r="161" spans="2:3" x14ac:dyDescent="0.25">
      <c r="B161" s="88"/>
      <c r="C161" s="88"/>
    </row>
    <row r="162" spans="2:3" x14ac:dyDescent="0.25">
      <c r="B162" s="88"/>
      <c r="C162" s="88"/>
    </row>
    <row r="163" spans="2:3" x14ac:dyDescent="0.25">
      <c r="B163" s="88"/>
      <c r="C163" s="88"/>
    </row>
    <row r="164" spans="2:3" x14ac:dyDescent="0.25">
      <c r="B164" s="88"/>
      <c r="C164" s="88"/>
    </row>
    <row r="165" spans="2:3" x14ac:dyDescent="0.25">
      <c r="B165" s="88"/>
      <c r="C165" s="88"/>
    </row>
    <row r="166" spans="2:3" x14ac:dyDescent="0.25">
      <c r="B166" s="88"/>
      <c r="C166" s="88"/>
    </row>
    <row r="167" spans="2:3" x14ac:dyDescent="0.25">
      <c r="B167" s="88"/>
      <c r="C167" s="88"/>
    </row>
    <row r="168" spans="2:3" x14ac:dyDescent="0.25">
      <c r="B168" s="88"/>
      <c r="C168" s="88"/>
    </row>
    <row r="169" spans="2:3" x14ac:dyDescent="0.25">
      <c r="B169" s="88"/>
      <c r="C169" s="88"/>
    </row>
    <row r="170" spans="2:3" x14ac:dyDescent="0.25">
      <c r="B170" s="88"/>
      <c r="C170" s="88"/>
    </row>
    <row r="171" spans="2:3" x14ac:dyDescent="0.25">
      <c r="B171" s="88"/>
      <c r="C171" s="88"/>
    </row>
    <row r="172" spans="2:3" x14ac:dyDescent="0.25">
      <c r="B172" s="88"/>
      <c r="C172" s="88"/>
    </row>
  </sheetData>
  <mergeCells count="1">
    <mergeCell ref="F23:F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6"/>
  <sheetViews>
    <sheetView topLeftCell="C1" workbookViewId="0">
      <selection activeCell="D8" sqref="D8"/>
    </sheetView>
  </sheetViews>
  <sheetFormatPr defaultColWidth="8.85546875" defaultRowHeight="15" x14ac:dyDescent="0.25"/>
  <cols>
    <col min="1" max="1" width="17.140625" customWidth="1"/>
    <col min="2" max="2" width="34.42578125" customWidth="1"/>
    <col min="3" max="3" width="24.42578125" style="78" customWidth="1"/>
    <col min="4" max="4" width="8.85546875" style="51"/>
    <col min="5" max="5" width="7.140625" bestFit="1" customWidth="1"/>
    <col min="6" max="6" width="8.28515625" customWidth="1"/>
    <col min="7" max="14" width="6.42578125" bestFit="1" customWidth="1"/>
    <col min="15" max="15" width="7.42578125" customWidth="1"/>
    <col min="16" max="28" width="7.140625" bestFit="1" customWidth="1"/>
    <col min="29" max="29" width="18.85546875" customWidth="1"/>
    <col min="30" max="30" width="15" customWidth="1"/>
  </cols>
  <sheetData>
    <row r="1" spans="1:31" ht="42" customHeight="1" x14ac:dyDescent="0.25"/>
    <row r="2" spans="1:31" ht="15.75" thickBot="1" x14ac:dyDescent="0.3"/>
    <row r="3" spans="1:31" ht="18.75" x14ac:dyDescent="0.3">
      <c r="B3" s="121" t="s">
        <v>0</v>
      </c>
      <c r="C3" s="122"/>
      <c r="D3" s="122"/>
      <c r="E3" s="32">
        <v>0</v>
      </c>
      <c r="F3" s="33">
        <v>1</v>
      </c>
      <c r="G3" s="33">
        <v>2</v>
      </c>
      <c r="H3" s="33">
        <v>3</v>
      </c>
      <c r="I3" s="33">
        <v>4</v>
      </c>
      <c r="J3" s="33">
        <v>5</v>
      </c>
      <c r="K3" s="33">
        <v>6</v>
      </c>
      <c r="L3" s="33">
        <v>7</v>
      </c>
      <c r="M3" s="33">
        <v>8</v>
      </c>
      <c r="N3" s="33">
        <v>9</v>
      </c>
      <c r="O3" s="33">
        <v>10</v>
      </c>
      <c r="P3" s="33">
        <v>11</v>
      </c>
      <c r="Q3" s="33">
        <v>12</v>
      </c>
      <c r="R3" s="33">
        <v>13</v>
      </c>
      <c r="S3" s="33">
        <v>14</v>
      </c>
      <c r="T3" s="33">
        <v>15</v>
      </c>
      <c r="U3" s="33">
        <v>16</v>
      </c>
      <c r="V3" s="33">
        <v>17</v>
      </c>
      <c r="W3" s="33">
        <v>18</v>
      </c>
      <c r="X3" s="33">
        <v>19</v>
      </c>
      <c r="Y3" s="33">
        <v>20</v>
      </c>
      <c r="Z3" s="33">
        <v>21</v>
      </c>
      <c r="AA3" s="33">
        <v>22</v>
      </c>
      <c r="AB3" s="34">
        <v>23</v>
      </c>
      <c r="AC3" s="38"/>
      <c r="AD3" s="17"/>
    </row>
    <row r="4" spans="1:31" ht="19.5" thickBot="1" x14ac:dyDescent="0.35">
      <c r="B4" s="123" t="s">
        <v>4</v>
      </c>
      <c r="C4" s="124"/>
      <c r="D4" s="124"/>
      <c r="E4" s="46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98</v>
      </c>
      <c r="N4" s="47">
        <v>98</v>
      </c>
      <c r="O4" s="47">
        <v>98</v>
      </c>
      <c r="P4" s="47">
        <v>98</v>
      </c>
      <c r="Q4" s="47">
        <v>98</v>
      </c>
      <c r="R4" s="47">
        <v>98</v>
      </c>
      <c r="S4" s="47">
        <v>98</v>
      </c>
      <c r="T4" s="47">
        <v>98</v>
      </c>
      <c r="U4" s="47">
        <v>98</v>
      </c>
      <c r="V4" s="47">
        <v>98</v>
      </c>
      <c r="W4" s="47">
        <v>98</v>
      </c>
      <c r="X4" s="47">
        <v>98</v>
      </c>
      <c r="Y4" s="47">
        <v>98</v>
      </c>
      <c r="Z4" s="47">
        <v>98</v>
      </c>
      <c r="AA4" s="47">
        <v>50</v>
      </c>
      <c r="AB4" s="48">
        <v>0</v>
      </c>
      <c r="AC4" s="56"/>
    </row>
    <row r="5" spans="1:31" s="9" customFormat="1" ht="16.5" thickTop="1" thickBot="1" x14ac:dyDescent="0.3">
      <c r="B5" s="11"/>
      <c r="C5" s="79"/>
      <c r="D5" s="11" t="s">
        <v>8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57"/>
      <c r="AD5" s="11"/>
    </row>
    <row r="6" spans="1:31" ht="15.75" thickTop="1" x14ac:dyDescent="0.25">
      <c r="A6" s="125"/>
      <c r="B6" s="17"/>
      <c r="C6" s="80"/>
      <c r="D6" s="8"/>
      <c r="E6" s="3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1"/>
      <c r="AC6" s="59"/>
      <c r="AD6" s="126"/>
    </row>
    <row r="7" spans="1:31" x14ac:dyDescent="0.25">
      <c r="A7" s="125"/>
      <c r="B7" s="2"/>
      <c r="C7" s="60" t="s">
        <v>7</v>
      </c>
      <c r="D7" s="39">
        <v>185</v>
      </c>
      <c r="E7" s="12">
        <f t="shared" ref="E7:AB7" si="0">$D7*E16</f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3">
        <f t="shared" si="0"/>
        <v>0</v>
      </c>
      <c r="M7" s="13">
        <f t="shared" si="0"/>
        <v>16.221578947368421</v>
      </c>
      <c r="N7" s="13">
        <f t="shared" si="0"/>
        <v>81.127368421052637</v>
      </c>
      <c r="O7" s="13">
        <f t="shared" si="0"/>
        <v>113.59</v>
      </c>
      <c r="P7" s="13">
        <f t="shared" si="0"/>
        <v>129.81157894736842</v>
      </c>
      <c r="Q7" s="13">
        <f t="shared" si="0"/>
        <v>146.05263157894737</v>
      </c>
      <c r="R7" s="13">
        <f t="shared" si="0"/>
        <v>154.81578947368422</v>
      </c>
      <c r="S7" s="13">
        <f t="shared" si="0"/>
        <v>161.63157894736844</v>
      </c>
      <c r="T7" s="13">
        <f t="shared" si="0"/>
        <v>162.27421052631578</v>
      </c>
      <c r="U7" s="13">
        <f t="shared" si="0"/>
        <v>129.81157894736842</v>
      </c>
      <c r="V7" s="13">
        <f t="shared" si="0"/>
        <v>81.127368421052637</v>
      </c>
      <c r="W7" s="13">
        <f t="shared" si="0"/>
        <v>16.221578947368421</v>
      </c>
      <c r="X7" s="13">
        <f t="shared" si="0"/>
        <v>0</v>
      </c>
      <c r="Y7" s="13">
        <f t="shared" si="0"/>
        <v>0</v>
      </c>
      <c r="Z7" s="13">
        <f t="shared" si="0"/>
        <v>0</v>
      </c>
      <c r="AA7" s="13">
        <f t="shared" si="0"/>
        <v>0</v>
      </c>
      <c r="AB7" s="16">
        <f t="shared" si="0"/>
        <v>0</v>
      </c>
      <c r="AC7" s="49"/>
      <c r="AD7" s="126"/>
    </row>
    <row r="8" spans="1:31" x14ac:dyDescent="0.25">
      <c r="A8" s="125"/>
      <c r="B8" s="2"/>
      <c r="C8" s="60" t="s">
        <v>41</v>
      </c>
      <c r="D8" s="2"/>
      <c r="E8" s="12">
        <v>60</v>
      </c>
      <c r="F8" s="13">
        <v>60</v>
      </c>
      <c r="G8" s="13">
        <v>55</v>
      </c>
      <c r="H8" s="13">
        <v>55</v>
      </c>
      <c r="I8" s="13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6">
        <v>0</v>
      </c>
      <c r="AC8" s="49"/>
      <c r="AD8" s="60"/>
    </row>
    <row r="9" spans="1:31" ht="30.75" thickBot="1" x14ac:dyDescent="0.3">
      <c r="A9" s="125"/>
      <c r="B9" s="2"/>
      <c r="C9" s="60" t="s">
        <v>27</v>
      </c>
      <c r="D9" s="53">
        <f>COUNTIF(E4:AB4,"&gt;0")/24</f>
        <v>0.625</v>
      </c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6"/>
      <c r="AC9" s="49"/>
      <c r="AD9" s="60"/>
    </row>
    <row r="10" spans="1:31" ht="16.5" thickTop="1" thickBot="1" x14ac:dyDescent="0.3">
      <c r="A10" s="125"/>
      <c r="B10" s="2"/>
      <c r="C10" s="60" t="s">
        <v>24</v>
      </c>
      <c r="D10" s="2"/>
      <c r="E10" s="36">
        <f t="shared" ref="E10:AB10" si="1">E4-E7</f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81.778421052631586</v>
      </c>
      <c r="N10" s="37">
        <f t="shared" si="1"/>
        <v>16.872631578947363</v>
      </c>
      <c r="O10" s="37">
        <f t="shared" si="1"/>
        <v>-15.590000000000003</v>
      </c>
      <c r="P10" s="37">
        <f t="shared" si="1"/>
        <v>-31.811578947368417</v>
      </c>
      <c r="Q10" s="37">
        <f t="shared" si="1"/>
        <v>-48.05263157894737</v>
      </c>
      <c r="R10" s="37">
        <f t="shared" si="1"/>
        <v>-56.81578947368422</v>
      </c>
      <c r="S10" s="37">
        <f t="shared" si="1"/>
        <v>-63.631578947368439</v>
      </c>
      <c r="T10" s="37">
        <f t="shared" si="1"/>
        <v>-64.274210526315784</v>
      </c>
      <c r="U10" s="37">
        <f t="shared" si="1"/>
        <v>-31.811578947368417</v>
      </c>
      <c r="V10" s="37">
        <f t="shared" si="1"/>
        <v>16.872631578947363</v>
      </c>
      <c r="W10" s="37">
        <f t="shared" si="1"/>
        <v>81.778421052631586</v>
      </c>
      <c r="X10" s="37">
        <f t="shared" si="1"/>
        <v>98</v>
      </c>
      <c r="Y10" s="37">
        <f t="shared" si="1"/>
        <v>98</v>
      </c>
      <c r="Z10" s="37">
        <f t="shared" si="1"/>
        <v>98</v>
      </c>
      <c r="AA10" s="37">
        <f t="shared" si="1"/>
        <v>50</v>
      </c>
      <c r="AB10" s="71">
        <f t="shared" si="1"/>
        <v>0</v>
      </c>
      <c r="AC10" s="74" t="s">
        <v>42</v>
      </c>
      <c r="AD10" s="77">
        <f>SUM(E8:AB8)</f>
        <v>230</v>
      </c>
    </row>
    <row r="11" spans="1:31" ht="15.75" thickTop="1" x14ac:dyDescent="0.25">
      <c r="A11" s="125"/>
      <c r="B11" s="11"/>
      <c r="C11" s="81" t="s">
        <v>28</v>
      </c>
      <c r="D11" s="54">
        <v>100</v>
      </c>
      <c r="E11" s="54">
        <f>IF(E10&gt;0,E10,0)</f>
        <v>0</v>
      </c>
      <c r="F11" s="54">
        <f t="shared" ref="F11:AB11" si="2">IF(F10&gt;0,F10,0)</f>
        <v>0</v>
      </c>
      <c r="G11" s="54">
        <f t="shared" si="2"/>
        <v>0</v>
      </c>
      <c r="H11" s="54">
        <f t="shared" si="2"/>
        <v>0</v>
      </c>
      <c r="I11" s="54">
        <f t="shared" si="2"/>
        <v>0</v>
      </c>
      <c r="J11" s="54">
        <f t="shared" si="2"/>
        <v>0</v>
      </c>
      <c r="K11" s="54">
        <f t="shared" si="2"/>
        <v>0</v>
      </c>
      <c r="L11" s="54">
        <f t="shared" si="2"/>
        <v>0</v>
      </c>
      <c r="M11" s="54">
        <f t="shared" si="2"/>
        <v>81.778421052631586</v>
      </c>
      <c r="N11" s="54">
        <f t="shared" si="2"/>
        <v>16.872631578947363</v>
      </c>
      <c r="O11" s="54">
        <f t="shared" si="2"/>
        <v>0</v>
      </c>
      <c r="P11" s="54">
        <f t="shared" si="2"/>
        <v>0</v>
      </c>
      <c r="Q11" s="54">
        <f t="shared" si="2"/>
        <v>0</v>
      </c>
      <c r="R11" s="54">
        <f t="shared" si="2"/>
        <v>0</v>
      </c>
      <c r="S11" s="54">
        <f t="shared" si="2"/>
        <v>0</v>
      </c>
      <c r="T11" s="54">
        <f t="shared" si="2"/>
        <v>0</v>
      </c>
      <c r="U11" s="54">
        <f t="shared" si="2"/>
        <v>0</v>
      </c>
      <c r="V11" s="54">
        <f t="shared" si="2"/>
        <v>16.872631578947363</v>
      </c>
      <c r="W11" s="54">
        <f t="shared" si="2"/>
        <v>81.778421052631586</v>
      </c>
      <c r="X11" s="54">
        <f t="shared" si="2"/>
        <v>98</v>
      </c>
      <c r="Y11" s="54">
        <f t="shared" si="2"/>
        <v>98</v>
      </c>
      <c r="Z11" s="54">
        <f t="shared" si="2"/>
        <v>98</v>
      </c>
      <c r="AA11" s="54">
        <f t="shared" si="2"/>
        <v>50</v>
      </c>
      <c r="AB11" s="72">
        <f t="shared" si="2"/>
        <v>0</v>
      </c>
      <c r="AC11" s="12" t="s">
        <v>43</v>
      </c>
      <c r="AD11" s="16">
        <f>SUMIF(E11:AB11,"&gt;0",E11:AB11)</f>
        <v>541.30210526315796</v>
      </c>
    </row>
    <row r="12" spans="1:31" ht="30" x14ac:dyDescent="0.25">
      <c r="A12" s="125"/>
      <c r="B12" s="2"/>
      <c r="C12" s="82" t="s">
        <v>29</v>
      </c>
      <c r="D12" s="28"/>
      <c r="E12" s="13">
        <f>IF(E10&lt;0,-E10,0)</f>
        <v>0</v>
      </c>
      <c r="F12" s="13">
        <f t="shared" ref="F12:AB12" si="3">IF(F10&lt;0,-F10,0)</f>
        <v>0</v>
      </c>
      <c r="G12" s="13">
        <f t="shared" si="3"/>
        <v>0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0</v>
      </c>
      <c r="O12" s="13">
        <f t="shared" si="3"/>
        <v>15.590000000000003</v>
      </c>
      <c r="P12" s="13">
        <f t="shared" si="3"/>
        <v>31.811578947368417</v>
      </c>
      <c r="Q12" s="13">
        <f t="shared" si="3"/>
        <v>48.05263157894737</v>
      </c>
      <c r="R12" s="13">
        <f t="shared" si="3"/>
        <v>56.81578947368422</v>
      </c>
      <c r="S12" s="13">
        <f t="shared" si="3"/>
        <v>63.631578947368439</v>
      </c>
      <c r="T12" s="13">
        <f t="shared" si="3"/>
        <v>64.274210526315784</v>
      </c>
      <c r="U12" s="13">
        <f t="shared" si="3"/>
        <v>31.811578947368417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0</v>
      </c>
      <c r="AB12" s="70">
        <f t="shared" si="3"/>
        <v>0</v>
      </c>
      <c r="AC12" s="75" t="s">
        <v>44</v>
      </c>
      <c r="AD12" s="117">
        <f>AD11/(AD11+AD10)</f>
        <v>0.70180296613928328</v>
      </c>
      <c r="AE12" s="52"/>
    </row>
    <row r="13" spans="1:31" ht="15.75" thickBot="1" x14ac:dyDescent="0.3">
      <c r="B13" s="2"/>
      <c r="C13" s="83" t="s">
        <v>25</v>
      </c>
      <c r="D13" s="55"/>
      <c r="E13" s="14">
        <f>0+E8</f>
        <v>60</v>
      </c>
      <c r="F13" s="14">
        <f>E13+F12-F11+F8</f>
        <v>120</v>
      </c>
      <c r="G13" s="14">
        <f t="shared" ref="G13:N13" si="4">F13+G12-G11+G8</f>
        <v>175</v>
      </c>
      <c r="H13" s="14">
        <f t="shared" si="4"/>
        <v>230</v>
      </c>
      <c r="I13" s="14">
        <f t="shared" si="4"/>
        <v>230</v>
      </c>
      <c r="J13" s="14">
        <f t="shared" si="4"/>
        <v>230</v>
      </c>
      <c r="K13" s="14">
        <f t="shared" si="4"/>
        <v>230</v>
      </c>
      <c r="L13" s="14">
        <f t="shared" si="4"/>
        <v>230</v>
      </c>
      <c r="M13" s="14">
        <f t="shared" si="4"/>
        <v>148.22157894736841</v>
      </c>
      <c r="N13" s="14">
        <f t="shared" si="4"/>
        <v>131.34894736842105</v>
      </c>
      <c r="O13" s="14">
        <f t="shared" ref="O13" si="5">N13+O12-O11+O8</f>
        <v>146.93894736842105</v>
      </c>
      <c r="P13" s="14">
        <f t="shared" ref="P13" si="6">O13+P12-P11+P8</f>
        <v>178.75052631578947</v>
      </c>
      <c r="Q13" s="14">
        <f t="shared" ref="Q13" si="7">P13+Q12-Q11+Q8</f>
        <v>226.80315789473684</v>
      </c>
      <c r="R13" s="14">
        <f t="shared" ref="R13" si="8">Q13+R12-R11+R8</f>
        <v>283.61894736842106</v>
      </c>
      <c r="S13" s="14">
        <f t="shared" ref="S13" si="9">R13+S12-S11+S8</f>
        <v>347.2505263157895</v>
      </c>
      <c r="T13" s="14">
        <f t="shared" ref="T13" si="10">S13+T12-T11+T8</f>
        <v>411.52473684210531</v>
      </c>
      <c r="U13" s="14">
        <f t="shared" ref="U13" si="11">T13+U12-U11+U8</f>
        <v>443.3363157894737</v>
      </c>
      <c r="V13" s="14">
        <f t="shared" ref="V13" si="12">U13+V12-V11+V8</f>
        <v>426.46368421052637</v>
      </c>
      <c r="W13" s="14">
        <f t="shared" ref="W13" si="13">V13+W12-W11+W8</f>
        <v>344.68526315789478</v>
      </c>
      <c r="X13" s="14">
        <f t="shared" ref="X13" si="14">W13+X12-X11+X8</f>
        <v>246.68526315789478</v>
      </c>
      <c r="Y13" s="14">
        <f t="shared" ref="Y13" si="15">X13+Y12-Y11+Y8</f>
        <v>148.68526315789478</v>
      </c>
      <c r="Z13" s="14">
        <f t="shared" ref="Z13" si="16">Y13+Z12-Z11+Z8</f>
        <v>50.685263157894781</v>
      </c>
      <c r="AA13" s="14">
        <f t="shared" ref="AA13" si="17">Z13+AA12-AA11+AA8</f>
        <v>0.68526315789478076</v>
      </c>
      <c r="AB13" s="73">
        <f t="shared" ref="AB13" si="18">AA13+AB12-AB11+AB8</f>
        <v>0.68526315789478076</v>
      </c>
      <c r="AC13" s="76" t="s">
        <v>30</v>
      </c>
      <c r="AD13" s="15">
        <f>MAX(E13:AB13)</f>
        <v>443.3363157894737</v>
      </c>
    </row>
    <row r="14" spans="1:31" ht="16.5" thickTop="1" thickBot="1" x14ac:dyDescent="0.3">
      <c r="B14" s="17"/>
      <c r="C14" s="79"/>
      <c r="D14" s="11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4"/>
      <c r="AC14" s="58"/>
      <c r="AD14" s="17"/>
    </row>
    <row r="15" spans="1:31" ht="30" x14ac:dyDescent="0.25">
      <c r="B15" s="19" t="s">
        <v>5</v>
      </c>
      <c r="C15" s="84" t="s">
        <v>70</v>
      </c>
      <c r="D15" s="10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833</v>
      </c>
      <c r="N15" s="30">
        <v>4166</v>
      </c>
      <c r="O15" s="30">
        <v>5833</v>
      </c>
      <c r="P15" s="30">
        <v>6666</v>
      </c>
      <c r="Q15" s="30">
        <v>7500</v>
      </c>
      <c r="R15" s="30">
        <v>7950</v>
      </c>
      <c r="S15" s="30">
        <v>8300</v>
      </c>
      <c r="T15" s="30">
        <v>8333</v>
      </c>
      <c r="U15" s="30">
        <v>6666</v>
      </c>
      <c r="V15" s="30">
        <v>4166</v>
      </c>
      <c r="W15" s="30">
        <v>833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  <c r="AC15" s="11"/>
    </row>
    <row r="16" spans="1:31" ht="15.75" thickBot="1" x14ac:dyDescent="0.3">
      <c r="B16" s="20" t="s">
        <v>6</v>
      </c>
      <c r="C16" s="85" t="s">
        <v>26</v>
      </c>
      <c r="D16" s="21"/>
      <c r="E16" s="25">
        <f>E15/9500</f>
        <v>0</v>
      </c>
      <c r="F16" s="26">
        <f t="shared" ref="F16:AB16" si="19">F15/9500</f>
        <v>0</v>
      </c>
      <c r="G16" s="26">
        <f t="shared" si="19"/>
        <v>0</v>
      </c>
      <c r="H16" s="26">
        <f t="shared" si="19"/>
        <v>0</v>
      </c>
      <c r="I16" s="26">
        <f t="shared" si="19"/>
        <v>0</v>
      </c>
      <c r="J16" s="26">
        <f t="shared" si="19"/>
        <v>0</v>
      </c>
      <c r="K16" s="26">
        <f t="shared" si="19"/>
        <v>0</v>
      </c>
      <c r="L16" s="26">
        <f t="shared" si="19"/>
        <v>0</v>
      </c>
      <c r="M16" s="26">
        <f t="shared" si="19"/>
        <v>8.7684210526315795E-2</v>
      </c>
      <c r="N16" s="26">
        <f t="shared" si="19"/>
        <v>0.43852631578947371</v>
      </c>
      <c r="O16" s="26">
        <f t="shared" si="19"/>
        <v>0.61399999999999999</v>
      </c>
      <c r="P16" s="26">
        <f t="shared" si="19"/>
        <v>0.7016842105263158</v>
      </c>
      <c r="Q16" s="26">
        <f t="shared" si="19"/>
        <v>0.78947368421052633</v>
      </c>
      <c r="R16" s="26">
        <f t="shared" si="19"/>
        <v>0.83684210526315794</v>
      </c>
      <c r="S16" s="26">
        <f t="shared" si="19"/>
        <v>0.87368421052631584</v>
      </c>
      <c r="T16" s="26">
        <f t="shared" si="19"/>
        <v>0.87715789473684214</v>
      </c>
      <c r="U16" s="26">
        <f t="shared" si="19"/>
        <v>0.7016842105263158</v>
      </c>
      <c r="V16" s="26">
        <f t="shared" si="19"/>
        <v>0.43852631578947371</v>
      </c>
      <c r="W16" s="26">
        <f t="shared" si="19"/>
        <v>8.7684210526315795E-2</v>
      </c>
      <c r="X16" s="26">
        <f t="shared" si="19"/>
        <v>0</v>
      </c>
      <c r="Y16" s="26">
        <f t="shared" si="19"/>
        <v>0</v>
      </c>
      <c r="Z16" s="26">
        <f t="shared" si="19"/>
        <v>0</v>
      </c>
      <c r="AA16" s="26">
        <f t="shared" si="19"/>
        <v>0</v>
      </c>
      <c r="AB16" s="27">
        <f t="shared" si="19"/>
        <v>0</v>
      </c>
      <c r="AC16" s="18"/>
    </row>
  </sheetData>
  <mergeCells count="4">
    <mergeCell ref="B3:D3"/>
    <mergeCell ref="B4:D4"/>
    <mergeCell ref="A6:A12"/>
    <mergeCell ref="AD6:A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Model procedure</vt:lpstr>
      <vt:lpstr>Cost Comparison</vt:lpstr>
      <vt:lpstr>Illustrative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2017-08-09T02:48:49Z</dcterms:created>
  <dcterms:modified xsi:type="dcterms:W3CDTF">2018-06-29T23:48:30Z</dcterms:modified>
</cp:coreProperties>
</file>