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540" yWindow="90" windowWidth="16950" windowHeight="11865" tabRatio="689"/>
  </bookViews>
  <sheets>
    <sheet name="Read me" sheetId="12" r:id="rId1"/>
    <sheet name="Avg. Power Allocation" sheetId="1" r:id="rId2"/>
    <sheet name="Avg.Emissions Allocation and EP" sheetId="9" r:id="rId3"/>
    <sheet name="Max Power Allocation" sheetId="10" r:id="rId4"/>
    <sheet name="Max Power Emissions and EP" sheetId="11" r:id="rId5"/>
  </sheets>
  <definedNames>
    <definedName name="_xlnm.Print_Area" localSheetId="1">'Avg. Power Allocation'!$A$1:$L$29</definedName>
  </definedNames>
  <calcPr calcId="125725"/>
</workbook>
</file>

<file path=xl/calcChain.xml><?xml version="1.0" encoding="utf-8"?>
<calcChain xmlns="http://schemas.openxmlformats.org/spreadsheetml/2006/main">
  <c r="K16" i="1"/>
  <c r="K16" i="10" s="1"/>
  <c r="L16" s="1"/>
  <c r="K25"/>
  <c r="O13"/>
  <c r="H26"/>
  <c r="K24"/>
  <c r="K23"/>
  <c r="L23" s="1"/>
  <c r="K21"/>
  <c r="L21" s="1"/>
  <c r="K19"/>
  <c r="L19" s="1"/>
  <c r="K18"/>
  <c r="L18"/>
  <c r="K17"/>
  <c r="L17" s="1"/>
  <c r="K15"/>
  <c r="K14"/>
  <c r="K13"/>
  <c r="L13" s="1"/>
  <c r="K12"/>
  <c r="L12"/>
  <c r="K11"/>
  <c r="L11" s="1"/>
  <c r="K9"/>
  <c r="L9"/>
  <c r="B34" i="11"/>
  <c r="D33"/>
  <c r="E33"/>
  <c r="D32"/>
  <c r="E32" s="1"/>
  <c r="D31"/>
  <c r="E31"/>
  <c r="D30"/>
  <c r="E30" s="1"/>
  <c r="D29"/>
  <c r="E29"/>
  <c r="D28"/>
  <c r="E28" s="1"/>
  <c r="D27"/>
  <c r="E27"/>
  <c r="D26"/>
  <c r="E26" s="1"/>
  <c r="D25"/>
  <c r="E25"/>
  <c r="D24"/>
  <c r="E24" s="1"/>
  <c r="D23"/>
  <c r="E23"/>
  <c r="D22"/>
  <c r="E22" s="1"/>
  <c r="D21"/>
  <c r="E21"/>
  <c r="D20"/>
  <c r="E20" s="1"/>
  <c r="B18"/>
  <c r="B16"/>
  <c r="B17"/>
  <c r="D14"/>
  <c r="E14" s="1"/>
  <c r="D13"/>
  <c r="E13"/>
  <c r="D12"/>
  <c r="E12" s="1"/>
  <c r="D11"/>
  <c r="E11"/>
  <c r="D10"/>
  <c r="E10" s="1"/>
  <c r="D9"/>
  <c r="E9"/>
  <c r="D8"/>
  <c r="E8" s="1"/>
  <c r="D7"/>
  <c r="E7"/>
  <c r="D6"/>
  <c r="E6" s="1"/>
  <c r="D5"/>
  <c r="E5"/>
  <c r="D4"/>
  <c r="E4" s="1"/>
  <c r="D3"/>
  <c r="E3"/>
  <c r="K22" i="1"/>
  <c r="K22" i="10" s="1"/>
  <c r="L22" s="1"/>
  <c r="K20" i="1"/>
  <c r="L25" i="10"/>
  <c r="L24"/>
  <c r="K20"/>
  <c r="L20" s="1"/>
  <c r="L14"/>
  <c r="K24" i="1"/>
  <c r="L24" s="1"/>
  <c r="K23"/>
  <c r="L23" s="1"/>
  <c r="K21"/>
  <c r="K19"/>
  <c r="L19" s="1"/>
  <c r="K18"/>
  <c r="K17"/>
  <c r="L17" s="1"/>
  <c r="K15"/>
  <c r="L15" s="1"/>
  <c r="K14"/>
  <c r="K13"/>
  <c r="K12"/>
  <c r="K11"/>
  <c r="L11" s="1"/>
  <c r="K9"/>
  <c r="L15" i="10"/>
  <c r="H32"/>
  <c r="I26"/>
  <c r="G26"/>
  <c r="F26"/>
  <c r="E26"/>
  <c r="D26"/>
  <c r="J25"/>
  <c r="J26" s="1"/>
  <c r="D33" i="9"/>
  <c r="E33"/>
  <c r="D32"/>
  <c r="E32" s="1"/>
  <c r="D31"/>
  <c r="D30"/>
  <c r="E30"/>
  <c r="D29"/>
  <c r="E29" s="1"/>
  <c r="D28"/>
  <c r="E28"/>
  <c r="D27"/>
  <c r="D26"/>
  <c r="D25"/>
  <c r="E25"/>
  <c r="D24"/>
  <c r="E24" s="1"/>
  <c r="D23"/>
  <c r="E23" s="1"/>
  <c r="D22"/>
  <c r="E22" s="1"/>
  <c r="D21"/>
  <c r="E21"/>
  <c r="D20"/>
  <c r="E20" s="1"/>
  <c r="D14"/>
  <c r="D13"/>
  <c r="D12"/>
  <c r="D11"/>
  <c r="D10"/>
  <c r="D9"/>
  <c r="D8"/>
  <c r="D7"/>
  <c r="E7" s="1"/>
  <c r="D6"/>
  <c r="D5"/>
  <c r="D4"/>
  <c r="E4" s="1"/>
  <c r="D3"/>
  <c r="E3" s="1"/>
  <c r="J32" i="1"/>
  <c r="E31" i="9"/>
  <c r="E27"/>
  <c r="E26"/>
  <c r="B34"/>
  <c r="E14"/>
  <c r="E8"/>
  <c r="E13"/>
  <c r="E12"/>
  <c r="E11"/>
  <c r="E10"/>
  <c r="E9"/>
  <c r="E6"/>
  <c r="E5"/>
  <c r="B18"/>
  <c r="B16"/>
  <c r="B17" s="1"/>
  <c r="J25" i="1"/>
  <c r="J26"/>
  <c r="O13"/>
  <c r="K25" s="1"/>
  <c r="L25" s="1"/>
  <c r="L20"/>
  <c r="L14"/>
  <c r="L13"/>
  <c r="L12"/>
  <c r="L21"/>
  <c r="L18"/>
  <c r="L16"/>
  <c r="L9"/>
  <c r="G26"/>
  <c r="E26"/>
  <c r="F26"/>
  <c r="H26"/>
  <c r="I26"/>
  <c r="D26"/>
  <c r="L22" l="1"/>
  <c r="M26" s="1"/>
  <c r="E16" i="9"/>
  <c r="E18"/>
  <c r="D39" s="1"/>
  <c r="E34"/>
  <c r="E18" i="11"/>
  <c r="E34"/>
  <c r="M26" i="10"/>
  <c r="L27"/>
  <c r="B31" s="1"/>
  <c r="H31" s="1"/>
  <c r="E16" i="11"/>
  <c r="L27" i="1" l="1"/>
  <c r="B31" s="1"/>
  <c r="J31" s="1"/>
  <c r="E17" i="11"/>
  <c r="C38" s="1"/>
  <c r="B38"/>
  <c r="D38"/>
  <c r="B39" i="9"/>
  <c r="E17"/>
  <c r="C39" s="1"/>
  <c r="H33" i="10"/>
  <c r="H34"/>
  <c r="D39" i="11" s="1"/>
  <c r="J33" i="1" l="1"/>
  <c r="J34"/>
  <c r="D40" i="9" s="1"/>
  <c r="D41" s="1"/>
  <c r="D40" i="11"/>
  <c r="C39"/>
  <c r="C40" s="1"/>
  <c r="B39"/>
  <c r="B40" s="1"/>
  <c r="B40" i="9" l="1"/>
  <c r="B41" s="1"/>
  <c r="C40"/>
  <c r="C41" s="1"/>
</calcChain>
</file>

<file path=xl/comments1.xml><?xml version="1.0" encoding="utf-8"?>
<comments xmlns="http://schemas.openxmlformats.org/spreadsheetml/2006/main">
  <authors>
    <author>Gerry Bemis</author>
  </authors>
  <commentList>
    <comment ref="E2" authorId="0">
      <text>
        <r>
          <rPr>
            <b/>
            <sz val="10"/>
            <color indexed="81"/>
            <rFont val="Tahoma"/>
            <charset val="1"/>
          </rPr>
          <t>Gerry Bemis:</t>
        </r>
        <r>
          <rPr>
            <sz val="10"/>
            <color indexed="81"/>
            <rFont val="Tahoma"/>
            <charset val="1"/>
          </rPr>
          <t xml:space="preserve">
Allocated to Power?</t>
        </r>
      </text>
    </comment>
  </commentList>
</comments>
</file>

<file path=xl/comments2.xml><?xml version="1.0" encoding="utf-8"?>
<comments xmlns="http://schemas.openxmlformats.org/spreadsheetml/2006/main">
  <authors>
    <author>Gerry Bemis</author>
  </authors>
  <commentList>
    <comment ref="E2" authorId="0">
      <text>
        <r>
          <rPr>
            <b/>
            <sz val="10"/>
            <color indexed="81"/>
            <rFont val="Tahoma"/>
            <charset val="1"/>
          </rPr>
          <t>Gerry Bemis:</t>
        </r>
        <r>
          <rPr>
            <sz val="10"/>
            <color indexed="81"/>
            <rFont val="Tahoma"/>
            <charset val="1"/>
          </rPr>
          <t xml:space="preserve">
Allocated to Power?</t>
        </r>
      </text>
    </comment>
  </commentList>
</comments>
</file>

<file path=xl/sharedStrings.xml><?xml version="1.0" encoding="utf-8"?>
<sst xmlns="http://schemas.openxmlformats.org/spreadsheetml/2006/main" count="357" uniqueCount="110">
  <si>
    <t>Power Balance</t>
  </si>
  <si>
    <t>On-Peak</t>
  </si>
  <si>
    <t>Off-Peak</t>
  </si>
  <si>
    <t>Daily Average</t>
  </si>
  <si>
    <t>MW</t>
  </si>
  <si>
    <t>Power</t>
  </si>
  <si>
    <t>*Fahrenheit</t>
  </si>
  <si>
    <t>Units</t>
  </si>
  <si>
    <t>Maximum Power Production</t>
  </si>
  <si>
    <t>Maximum Ammonia Production</t>
  </si>
  <si>
    <t>Ambient Temperature</t>
  </si>
  <si>
    <t>Gross Power Generation (CT/ST)</t>
  </si>
  <si>
    <t>Power Generation Fertilizer Contribution</t>
  </si>
  <si>
    <t>Power Generation Less Fertilizer Contribution</t>
  </si>
  <si>
    <t>Total Auxiliary Load</t>
  </si>
  <si>
    <t>Gasification</t>
  </si>
  <si>
    <t>Shift and LTGC</t>
  </si>
  <si>
    <t>AGR</t>
  </si>
  <si>
    <t>SRU</t>
  </si>
  <si>
    <r>
      <t>EOR CO</t>
    </r>
    <r>
      <rPr>
        <vertAlign val="subscript"/>
        <sz val="10"/>
        <color indexed="8"/>
        <rFont val="Arial"/>
        <family val="2"/>
      </rPr>
      <t>2</t>
    </r>
    <r>
      <rPr>
        <sz val="10"/>
        <color indexed="8"/>
        <rFont val="Arial"/>
        <family val="2"/>
      </rPr>
      <t xml:space="preserve"> Compression</t>
    </r>
  </si>
  <si>
    <t>PSA and Ammonia Units</t>
  </si>
  <si>
    <t>Urea/UAN</t>
  </si>
  <si>
    <t>Power Block</t>
  </si>
  <si>
    <t>Water Treatment</t>
  </si>
  <si>
    <t>Power Cooling Tower</t>
  </si>
  <si>
    <t>Process Cooling Tower</t>
  </si>
  <si>
    <t>Fertilizer Storage/Handling</t>
  </si>
  <si>
    <t>Other Supporting Systems</t>
  </si>
  <si>
    <t>Total</t>
  </si>
  <si>
    <t>Allocation</t>
  </si>
  <si>
    <t>CTG/HRSG burning syngas/PSA off-gas</t>
  </si>
  <si>
    <t>CTG/HRSG burning natural gas</t>
  </si>
  <si>
    <t>P</t>
  </si>
  <si>
    <t>Flares pilot</t>
  </si>
  <si>
    <t>Flares SU/SD</t>
  </si>
  <si>
    <t>Thermal Oxidizer standby</t>
  </si>
  <si>
    <t>Thermal Oxidizer SU/SD, maintenance</t>
  </si>
  <si>
    <t>Emergency Engines</t>
  </si>
  <si>
    <t>exempt</t>
  </si>
  <si>
    <t>Auxiliary Boiler</t>
  </si>
  <si>
    <t>Ammonia Start-Up Heater</t>
  </si>
  <si>
    <t>F</t>
  </si>
  <si>
    <t>Urea Absorber Vents</t>
  </si>
  <si>
    <t>Fugitives</t>
  </si>
  <si>
    <t>Total Early Operations</t>
  </si>
  <si>
    <t>Total Mature Operations</t>
  </si>
  <si>
    <t>Total Steady State Operations</t>
  </si>
  <si>
    <r>
      <t>CO</t>
    </r>
    <r>
      <rPr>
        <vertAlign val="subscript"/>
        <sz val="10"/>
        <color indexed="8"/>
        <rFont val="Arial"/>
        <family val="2"/>
      </rPr>
      <t>2</t>
    </r>
    <r>
      <rPr>
        <sz val="10"/>
        <color indexed="8"/>
        <rFont val="Arial"/>
        <family val="2"/>
      </rPr>
      <t xml:space="preserve"> Purification</t>
    </r>
  </si>
  <si>
    <t>Regeneration Gas Heater</t>
  </si>
  <si>
    <t>TEG Reboiler</t>
  </si>
  <si>
    <t>Amine Unit</t>
  </si>
  <si>
    <t>Fire Pump Engines</t>
  </si>
  <si>
    <t>CTB – Flare</t>
  </si>
  <si>
    <t>RCF – Flare</t>
  </si>
  <si>
    <t>Fugitive GHG Emissions</t>
  </si>
  <si>
    <t>Maintenance GHG</t>
  </si>
  <si>
    <t>Pressure Relief GHG</t>
  </si>
  <si>
    <t>Miscellaneous Small Tanks</t>
  </si>
  <si>
    <t>Workers Commuting</t>
  </si>
  <si>
    <t>Well Maintenance Activities</t>
  </si>
  <si>
    <t>SB 1368 Net Power</t>
  </si>
  <si>
    <r>
      <t xml:space="preserve">
Notes: 
AGR = acid gas removal
CO</t>
    </r>
    <r>
      <rPr>
        <vertAlign val="subscript"/>
        <sz val="8"/>
        <color indexed="8"/>
        <rFont val="Arial"/>
        <family val="2"/>
      </rPr>
      <t>2</t>
    </r>
    <r>
      <rPr>
        <sz val="8"/>
        <color indexed="8"/>
        <rFont val="Arial"/>
        <family val="2"/>
      </rPr>
      <t xml:space="preserve"> = carbon dioxide
CT = combustion turbine
EOR = enhanced oil recovery
LTGC = low-temperature gas cooling
PSA = Pressure Swing Adsorption
SRU = sulfur recovery unit
ST = steam turbine
UAN = urea ammonium nitrate</t>
    </r>
  </si>
  <si>
    <r>
      <t>Sources of CO</t>
    </r>
    <r>
      <rPr>
        <b/>
        <vertAlign val="subscript"/>
        <sz val="10"/>
        <rFont val="Arial"/>
        <family val="2"/>
      </rPr>
      <t>2</t>
    </r>
  </si>
  <si>
    <t>P = Power
F = Fertilizer
A = Apportioned</t>
  </si>
  <si>
    <t>Percent</t>
  </si>
  <si>
    <t>Allocated</t>
  </si>
  <si>
    <t>A</t>
  </si>
  <si>
    <t>Syngas Power</t>
  </si>
  <si>
    <t>Avg Daily</t>
  </si>
  <si>
    <t>Common Apportionment</t>
  </si>
  <si>
    <t>ASU</t>
  </si>
  <si>
    <t>ASU Power</t>
  </si>
  <si>
    <r>
      <t>OEHI CO</t>
    </r>
    <r>
      <rPr>
        <b/>
        <vertAlign val="subscript"/>
        <sz val="10"/>
        <color indexed="8"/>
        <rFont val="Arial"/>
        <family val="2"/>
      </rPr>
      <t>2</t>
    </r>
    <r>
      <rPr>
        <b/>
        <sz val="10"/>
        <color indexed="8"/>
        <rFont val="Arial"/>
        <family val="2"/>
      </rPr>
      <t xml:space="preserve"> EOR Emission Sources</t>
    </r>
  </si>
  <si>
    <t>Annual CO2 (MT)</t>
  </si>
  <si>
    <t>Allocation for Apportioned</t>
  </si>
  <si>
    <t>Total EOR CO2 Emissions</t>
  </si>
  <si>
    <t>Total Emissions</t>
  </si>
  <si>
    <t>Total Generation</t>
  </si>
  <si>
    <t>Net Power Allocation when Firing Syngas</t>
  </si>
  <si>
    <t>Net Generation Totals for Syngas</t>
  </si>
  <si>
    <t>MW/hr</t>
  </si>
  <si>
    <t>Hrs/Year</t>
  </si>
  <si>
    <t>Net Generation for Natural Gas</t>
  </si>
  <si>
    <t>Total Steady State</t>
  </si>
  <si>
    <t>Early Ops</t>
  </si>
  <si>
    <t>Mature Ops</t>
  </si>
  <si>
    <t>Steady State</t>
  </si>
  <si>
    <t>Average Daily Basis</t>
  </si>
  <si>
    <t>Max Power Basis</t>
  </si>
  <si>
    <t>Emissions Performance MT CO2/MWh</t>
  </si>
  <si>
    <t>EOR Component Power Consumption</t>
  </si>
  <si>
    <t>Max Power</t>
  </si>
  <si>
    <t>Max Power Allocation when Firing Syngas</t>
  </si>
  <si>
    <t>Net Power Export (not incl. OEHI)</t>
  </si>
  <si>
    <t>HECA Annual CO2 Emissions for SB 1368 Emission Performance Standard (max power case)</t>
  </si>
  <si>
    <t>HECA Annual CO2 Emissions for SB 1368 Emission Performance Standard (Avg. Case)</t>
  </si>
  <si>
    <r>
      <t>CO</t>
    </r>
    <r>
      <rPr>
        <b/>
        <i/>
        <vertAlign val="subscript"/>
        <sz val="10"/>
        <color indexed="8"/>
        <rFont val="Arial"/>
        <family val="2"/>
      </rPr>
      <t>2</t>
    </r>
    <r>
      <rPr>
        <b/>
        <i/>
        <sz val="10"/>
        <color indexed="8"/>
        <rFont val="Arial"/>
        <family val="2"/>
      </rPr>
      <t xml:space="preserve"> Vent</t>
    </r>
  </si>
  <si>
    <t>Fertilizer power consumption (MW) included in Net Power</t>
  </si>
  <si>
    <t>Sources: HECA emissions data from HECA 2013 TN 201026. Allocation to power value from HECA 2013 TN 200144; OEHI emissions information from AFC Appendix A, Oxy 2013 TN 69314, and Oxy 2013 TN 69487</t>
  </si>
  <si>
    <t>Allocated to Power</t>
  </si>
  <si>
    <t>Sources for Hrs/Year and MW/hr for natural gas are HECA 2013 TN201026 Table 3.</t>
  </si>
  <si>
    <t>Note Allocation assumes 50/50 split in PSA and Ammonia Units power needs and that PSA is common (So, percent is 50% * 64.9% (syngas power allocation) = 32.5% overall power allocation) - This is staff assumption</t>
  </si>
  <si>
    <t>Note allocation is mixed common 2.0 MW * 64.9% (syngas power allocation) + 3.0 MW all power allocation + 1.4 MW fertilizer no power allocation = 67.2% overall power allocation (directly from applicant source data)</t>
  </si>
  <si>
    <t>Note allocation is mixed common 5.0 MW * 64.9% (syngas power allocation) + 4.6 MW fertilizer no power allocation = 33.5% overall power allocation (directly from applicant source data)</t>
  </si>
  <si>
    <t>Source: Power Generation and Consumption data from HECA 2013 TN200144 Figure CS-7-3; allocation to power percentage data from same source Attachment CS-7-1 for syngas allocation and same source derived from Table CS-7-4, Attachment CS-7-1, and Table CS-7-2 for ASU daily average MW consumption and allocation to power.</t>
  </si>
  <si>
    <r>
      <t>CO</t>
    </r>
    <r>
      <rPr>
        <b/>
        <i/>
        <vertAlign val="subscript"/>
        <sz val="10"/>
        <color indexed="8"/>
        <rFont val="Arial"/>
        <family val="2"/>
      </rPr>
      <t>2</t>
    </r>
    <r>
      <rPr>
        <b/>
        <i/>
        <sz val="10"/>
        <color indexed="8"/>
        <rFont val="Arial"/>
        <family val="2"/>
      </rPr>
      <t xml:space="preserve"> Injection Heaters</t>
    </r>
  </si>
  <si>
    <t xml:space="preserve">Items that may the potential for compromise are shown with yellow highlight - </t>
  </si>
  <si>
    <t>Note allocation is based on average daily common (77 MW*16+76.7 MW*8)/24*64.9% (syngas power allocation) + (27.6 MW*16+18.6 MW*8)/24 nitrogen for power allocation divided by total average ASU consumption of (109 MW*16+102.6 MW*8)/24 = 108.87, so total allocation = 64.1%</t>
  </si>
  <si>
    <t>Note allocation is based on max power common 77 MW*64.9% (syngas power allocation) + 27.6 MW nitrogen for power allocation divided by total ASU consumption of 109.0 MW = 75.7%</t>
  </si>
  <si>
    <t>This spreadsheet was used for discussion purposes during the November 13th PSA workshop. The values used are not the final and do not represent the final staff position regarding the calculated SB 1368 EPS emissions for this project. The FSA will present both staff's position and the applicant's position regarding the project's emissions vs. the EPS.</t>
  </si>
</sst>
</file>

<file path=xl/styles.xml><?xml version="1.0" encoding="utf-8"?>
<styleSheet xmlns="http://schemas.openxmlformats.org/spreadsheetml/2006/main">
  <numFmts count="4">
    <numFmt numFmtId="43" formatCode="_(* #,##0.00_);_(* \(#,##0.00\);_(* &quot;-&quot;??_);_(@_)"/>
    <numFmt numFmtId="164" formatCode="0.0%"/>
    <numFmt numFmtId="165" formatCode="0.0"/>
    <numFmt numFmtId="166" formatCode="0.000"/>
  </numFmts>
  <fonts count="24">
    <font>
      <sz val="11"/>
      <color theme="1"/>
      <name val="Calibri"/>
      <family val="2"/>
      <scheme val="minor"/>
    </font>
    <font>
      <b/>
      <sz val="10"/>
      <name val="Arial"/>
      <family val="2"/>
    </font>
    <font>
      <b/>
      <sz val="10"/>
      <color indexed="8"/>
      <name val="Arial"/>
      <family val="2"/>
    </font>
    <font>
      <sz val="10"/>
      <color indexed="8"/>
      <name val="Arial"/>
      <family val="2"/>
    </font>
    <font>
      <sz val="10"/>
      <name val="Arial"/>
      <family val="2"/>
    </font>
    <font>
      <vertAlign val="subscript"/>
      <sz val="10"/>
      <color indexed="8"/>
      <name val="Arial"/>
      <family val="2"/>
    </font>
    <font>
      <b/>
      <vertAlign val="subscript"/>
      <sz val="10"/>
      <color indexed="8"/>
      <name val="Arial"/>
      <family val="2"/>
    </font>
    <font>
      <sz val="8"/>
      <color indexed="8"/>
      <name val="Arial"/>
      <family val="2"/>
    </font>
    <font>
      <vertAlign val="subscript"/>
      <sz val="8"/>
      <color indexed="8"/>
      <name val="Arial"/>
      <family val="2"/>
    </font>
    <font>
      <b/>
      <vertAlign val="subscript"/>
      <sz val="10"/>
      <name val="Arial"/>
      <family val="2"/>
    </font>
    <font>
      <b/>
      <i/>
      <sz val="10"/>
      <color indexed="8"/>
      <name val="Arial"/>
      <family val="2"/>
    </font>
    <font>
      <b/>
      <i/>
      <vertAlign val="subscript"/>
      <sz val="10"/>
      <color indexed="8"/>
      <name val="Arial"/>
      <family val="2"/>
    </font>
    <font>
      <sz val="10"/>
      <color indexed="81"/>
      <name val="Tahoma"/>
      <charset val="1"/>
    </font>
    <font>
      <b/>
      <sz val="10"/>
      <color indexed="81"/>
      <name val="Tahoma"/>
      <charset val="1"/>
    </font>
    <font>
      <sz val="11"/>
      <color theme="1"/>
      <name val="Calibri"/>
      <family val="2"/>
      <scheme val="minor"/>
    </font>
    <font>
      <sz val="10"/>
      <color theme="1"/>
      <name val="Arial"/>
      <family val="2"/>
    </font>
    <font>
      <b/>
      <sz val="10"/>
      <color theme="1"/>
      <name val="Arial"/>
      <family val="2"/>
    </font>
    <font>
      <sz val="10"/>
      <color rgb="FF000000"/>
      <name val="Arial"/>
      <family val="2"/>
    </font>
    <font>
      <sz val="8"/>
      <color theme="1"/>
      <name val="Arial"/>
      <family val="2"/>
    </font>
    <font>
      <sz val="10"/>
      <color rgb="FFFF0000"/>
      <name val="Arial"/>
      <family val="2"/>
    </font>
    <font>
      <b/>
      <i/>
      <sz val="10"/>
      <color theme="1"/>
      <name val="Arial"/>
      <family val="2"/>
    </font>
    <font>
      <b/>
      <i/>
      <sz val="10"/>
      <color rgb="FF000000"/>
      <name val="Arial"/>
      <family val="2"/>
    </font>
    <font>
      <b/>
      <sz val="11"/>
      <color theme="1"/>
      <name val="Arial"/>
      <family val="2"/>
    </font>
    <font>
      <sz val="11"/>
      <color theme="1"/>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indexed="64"/>
      </right>
      <top style="medium">
        <color indexed="64"/>
      </top>
      <bottom style="medium">
        <color indexed="64"/>
      </bottom>
      <diagonal/>
    </border>
  </borders>
  <cellStyleXfs count="5">
    <xf numFmtId="0" fontId="0"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cellStyleXfs>
  <cellXfs count="161">
    <xf numFmtId="0" fontId="0" fillId="0" borderId="0" xfId="0"/>
    <xf numFmtId="0" fontId="15" fillId="0" borderId="1" xfId="2" applyFont="1" applyFill="1" applyBorder="1" applyAlignment="1">
      <alignment horizontal="center" vertical="center"/>
    </xf>
    <xf numFmtId="0" fontId="4" fillId="0" borderId="1" xfId="2" applyFont="1" applyFill="1" applyBorder="1" applyAlignment="1">
      <alignment horizontal="center" vertical="center"/>
    </xf>
    <xf numFmtId="0" fontId="15" fillId="0" borderId="1" xfId="2" applyFont="1" applyBorder="1" applyAlignment="1">
      <alignment horizontal="left" vertical="center" indent="3"/>
    </xf>
    <xf numFmtId="0" fontId="15" fillId="0" borderId="1" xfId="2" applyFont="1" applyBorder="1" applyAlignment="1">
      <alignment horizontal="center" vertical="center"/>
    </xf>
    <xf numFmtId="0" fontId="15" fillId="0" borderId="1" xfId="2" applyFont="1" applyBorder="1" applyAlignment="1">
      <alignment horizontal="left" vertical="center" wrapText="1" indent="3"/>
    </xf>
    <xf numFmtId="0" fontId="16" fillId="0" borderId="2" xfId="2" applyFont="1" applyFill="1" applyBorder="1" applyAlignment="1">
      <alignment horizontal="center" vertical="center"/>
    </xf>
    <xf numFmtId="0" fontId="1" fillId="0" borderId="4" xfId="2" applyFont="1" applyFill="1" applyBorder="1" applyAlignment="1">
      <alignment horizontal="left" vertical="center" indent="1"/>
    </xf>
    <xf numFmtId="0" fontId="4" fillId="0" borderId="1" xfId="2" applyFont="1" applyFill="1" applyBorder="1" applyAlignment="1">
      <alignment horizontal="left" vertical="center" indent="1"/>
    </xf>
    <xf numFmtId="165" fontId="15" fillId="0" borderId="1" xfId="2" applyNumberFormat="1" applyFont="1" applyFill="1" applyBorder="1" applyAlignment="1">
      <alignment horizontal="center" vertical="center"/>
    </xf>
    <xf numFmtId="165" fontId="4" fillId="0" borderId="1" xfId="2" applyNumberFormat="1" applyFont="1" applyFill="1" applyBorder="1" applyAlignment="1">
      <alignment horizontal="center" vertical="center"/>
    </xf>
    <xf numFmtId="165" fontId="15" fillId="0" borderId="1" xfId="2"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1" xfId="4" applyNumberFormat="1" applyFont="1" applyBorder="1" applyAlignment="1">
      <alignment horizontal="center" vertical="center"/>
    </xf>
    <xf numFmtId="165" fontId="4" fillId="0" borderId="1" xfId="3" applyNumberFormat="1" applyFont="1" applyBorder="1" applyAlignment="1">
      <alignment horizontal="center" vertical="center"/>
    </xf>
    <xf numFmtId="0" fontId="1" fillId="0" borderId="0" xfId="0" applyFont="1"/>
    <xf numFmtId="0" fontId="15" fillId="0" borderId="0" xfId="2" applyFont="1"/>
    <xf numFmtId="3" fontId="15" fillId="0" borderId="1" xfId="2" applyNumberFormat="1" applyFont="1" applyFill="1" applyBorder="1"/>
    <xf numFmtId="0" fontId="15" fillId="0" borderId="1" xfId="2" applyFont="1" applyFill="1" applyBorder="1" applyAlignment="1">
      <alignment horizontal="center"/>
    </xf>
    <xf numFmtId="0" fontId="17" fillId="0" borderId="37" xfId="0" applyFont="1" applyBorder="1" applyAlignment="1">
      <alignment vertical="center" wrapText="1"/>
    </xf>
    <xf numFmtId="0" fontId="17" fillId="0" borderId="38" xfId="0" applyFont="1" applyBorder="1" applyAlignment="1">
      <alignment vertical="center" wrapText="1"/>
    </xf>
    <xf numFmtId="3" fontId="16" fillId="0" borderId="39" xfId="0" applyNumberFormat="1" applyFont="1" applyBorder="1" applyAlignment="1">
      <alignment vertical="center" wrapText="1"/>
    </xf>
    <xf numFmtId="0" fontId="1" fillId="0" borderId="6" xfId="2" applyFont="1" applyFill="1" applyBorder="1" applyAlignment="1">
      <alignment horizontal="center" wrapText="1"/>
    </xf>
    <xf numFmtId="0" fontId="1" fillId="0" borderId="1" xfId="2" applyFont="1" applyFill="1" applyBorder="1" applyAlignment="1">
      <alignment horizontal="center"/>
    </xf>
    <xf numFmtId="0" fontId="1" fillId="0" borderId="1" xfId="2" applyFont="1" applyFill="1" applyBorder="1" applyAlignment="1">
      <alignment horizontal="center" wrapText="1"/>
    </xf>
    <xf numFmtId="1" fontId="15" fillId="0" borderId="1" xfId="2" applyNumberFormat="1" applyFont="1" applyFill="1" applyBorder="1" applyAlignment="1">
      <alignment horizontal="center" vertical="center"/>
    </xf>
    <xf numFmtId="0" fontId="18" fillId="0" borderId="0" xfId="0" applyFont="1" applyAlignment="1">
      <alignment wrapText="1"/>
    </xf>
    <xf numFmtId="0" fontId="15" fillId="2" borderId="1" xfId="2" applyFont="1" applyFill="1" applyBorder="1" applyAlignment="1">
      <alignment horizontal="center" vertical="center"/>
    </xf>
    <xf numFmtId="0" fontId="15" fillId="2" borderId="1" xfId="0" applyFont="1" applyFill="1" applyBorder="1"/>
    <xf numFmtId="0" fontId="15" fillId="0" borderId="0" xfId="0" applyFont="1"/>
    <xf numFmtId="0" fontId="15" fillId="3" borderId="1" xfId="2" applyFont="1" applyFill="1" applyBorder="1" applyAlignment="1">
      <alignment horizontal="center" vertical="center"/>
    </xf>
    <xf numFmtId="0" fontId="15" fillId="0" borderId="7" xfId="0" applyFont="1" applyBorder="1" applyAlignment="1">
      <alignment horizontal="center"/>
    </xf>
    <xf numFmtId="0" fontId="15" fillId="2" borderId="7" xfId="0" applyFont="1" applyFill="1" applyBorder="1" applyAlignment="1">
      <alignment horizontal="center"/>
    </xf>
    <xf numFmtId="164" fontId="4" fillId="3" borderId="12" xfId="4" applyNumberFormat="1" applyFont="1" applyFill="1" applyBorder="1" applyAlignment="1">
      <alignment horizontal="center" vertical="center"/>
    </xf>
    <xf numFmtId="164" fontId="4" fillId="0" borderId="0" xfId="4" applyNumberFormat="1" applyFont="1" applyBorder="1" applyAlignment="1">
      <alignment horizontal="center" vertical="center"/>
    </xf>
    <xf numFmtId="0" fontId="15" fillId="0" borderId="0" xfId="2" applyFont="1" applyBorder="1" applyAlignment="1">
      <alignment horizontal="left"/>
    </xf>
    <xf numFmtId="3" fontId="15" fillId="0" borderId="5" xfId="2" applyNumberFormat="1" applyFont="1" applyFill="1" applyBorder="1"/>
    <xf numFmtId="0" fontId="15" fillId="3" borderId="1" xfId="2" applyFont="1" applyFill="1" applyBorder="1" applyAlignment="1">
      <alignment horizontal="center"/>
    </xf>
    <xf numFmtId="3" fontId="15" fillId="0" borderId="40" xfId="0" applyNumberFormat="1" applyFont="1" applyBorder="1" applyAlignment="1">
      <alignment vertical="center" wrapText="1"/>
    </xf>
    <xf numFmtId="3" fontId="15" fillId="0" borderId="37" xfId="0" applyNumberFormat="1" applyFont="1" applyBorder="1" applyAlignment="1">
      <alignment vertical="center" wrapText="1"/>
    </xf>
    <xf numFmtId="3" fontId="15" fillId="0" borderId="38" xfId="0" applyNumberFormat="1" applyFont="1" applyBorder="1" applyAlignment="1">
      <alignment vertical="center" wrapText="1"/>
    </xf>
    <xf numFmtId="3" fontId="15" fillId="0" borderId="6" xfId="2" applyNumberFormat="1" applyFont="1" applyFill="1" applyBorder="1" applyAlignment="1">
      <alignment horizontal="right"/>
    </xf>
    <xf numFmtId="0" fontId="15" fillId="3" borderId="17" xfId="2" applyFont="1" applyFill="1" applyBorder="1" applyAlignment="1">
      <alignment horizontal="center"/>
    </xf>
    <xf numFmtId="0" fontId="15" fillId="3" borderId="19" xfId="2" applyFont="1" applyFill="1" applyBorder="1" applyAlignment="1">
      <alignment horizontal="center"/>
    </xf>
    <xf numFmtId="0" fontId="15" fillId="3" borderId="20" xfId="2" applyFont="1" applyFill="1" applyBorder="1" applyAlignment="1">
      <alignment horizontal="center"/>
    </xf>
    <xf numFmtId="0" fontId="16" fillId="0" borderId="41" xfId="0" applyFont="1" applyBorder="1" applyAlignment="1">
      <alignment vertical="center" wrapText="1"/>
    </xf>
    <xf numFmtId="0" fontId="16" fillId="0" borderId="41" xfId="0" applyFont="1" applyBorder="1" applyAlignment="1">
      <alignment horizontal="center" vertical="center" wrapText="1"/>
    </xf>
    <xf numFmtId="0" fontId="1" fillId="0" borderId="14" xfId="2" applyFont="1" applyFill="1" applyBorder="1" applyAlignment="1">
      <alignment horizontal="center" vertical="center"/>
    </xf>
    <xf numFmtId="0" fontId="1" fillId="0" borderId="21" xfId="2" applyFont="1" applyFill="1" applyBorder="1" applyAlignment="1">
      <alignment horizontal="center" vertical="center"/>
    </xf>
    <xf numFmtId="0" fontId="1" fillId="0" borderId="22" xfId="2" applyFont="1" applyFill="1" applyBorder="1" applyAlignment="1">
      <alignment horizontal="center" vertical="center"/>
    </xf>
    <xf numFmtId="0" fontId="1" fillId="0" borderId="17" xfId="2" applyFont="1" applyFill="1" applyBorder="1" applyAlignment="1">
      <alignment horizontal="center" vertical="center"/>
    </xf>
    <xf numFmtId="0" fontId="1" fillId="0" borderId="23" xfId="2" applyFont="1" applyFill="1" applyBorder="1" applyAlignment="1">
      <alignment horizontal="center" vertical="center" wrapText="1"/>
    </xf>
    <xf numFmtId="0" fontId="1" fillId="0" borderId="23" xfId="2" applyFont="1" applyFill="1" applyBorder="1" applyAlignment="1">
      <alignment horizontal="center" vertical="center"/>
    </xf>
    <xf numFmtId="0" fontId="1" fillId="0" borderId="18" xfId="2" applyFont="1" applyFill="1" applyBorder="1" applyAlignment="1">
      <alignment horizontal="center" vertical="center"/>
    </xf>
    <xf numFmtId="0" fontId="15" fillId="0" borderId="19" xfId="2" applyFont="1" applyFill="1" applyBorder="1"/>
    <xf numFmtId="3" fontId="15" fillId="0" borderId="12" xfId="2" applyNumberFormat="1" applyFont="1" applyFill="1" applyBorder="1" applyAlignment="1">
      <alignment horizontal="right"/>
    </xf>
    <xf numFmtId="0" fontId="15" fillId="0" borderId="19" xfId="2" applyFont="1" applyFill="1" applyBorder="1" applyAlignment="1">
      <alignment horizontal="left" indent="2"/>
    </xf>
    <xf numFmtId="3" fontId="15" fillId="0" borderId="12" xfId="2" applyNumberFormat="1" applyFont="1" applyFill="1" applyBorder="1"/>
    <xf numFmtId="0" fontId="15" fillId="0" borderId="20" xfId="2" applyFont="1" applyFill="1" applyBorder="1" applyAlignment="1">
      <alignment horizontal="left" indent="2"/>
    </xf>
    <xf numFmtId="3" fontId="15" fillId="0" borderId="24" xfId="2" applyNumberFormat="1" applyFont="1" applyFill="1" applyBorder="1"/>
    <xf numFmtId="3" fontId="15" fillId="0" borderId="16" xfId="2" applyNumberFormat="1" applyFont="1" applyFill="1" applyBorder="1"/>
    <xf numFmtId="0" fontId="15" fillId="0" borderId="25" xfId="2" applyFont="1" applyFill="1" applyBorder="1"/>
    <xf numFmtId="3" fontId="4" fillId="0" borderId="5" xfId="1" applyNumberFormat="1" applyFont="1" applyFill="1" applyBorder="1"/>
    <xf numFmtId="0" fontId="15" fillId="0" borderId="26" xfId="2" applyFont="1" applyFill="1" applyBorder="1" applyAlignment="1">
      <alignment horizontal="center"/>
    </xf>
    <xf numFmtId="0" fontId="15" fillId="0" borderId="17" xfId="2" applyFont="1" applyFill="1" applyBorder="1" applyAlignment="1">
      <alignment horizontal="left" indent="2"/>
    </xf>
    <xf numFmtId="3" fontId="15" fillId="0" borderId="23" xfId="2" applyNumberFormat="1" applyFont="1" applyFill="1" applyBorder="1"/>
    <xf numFmtId="3" fontId="15" fillId="0" borderId="18" xfId="2" applyNumberFormat="1" applyFont="1" applyFill="1" applyBorder="1"/>
    <xf numFmtId="10" fontId="15" fillId="2" borderId="7" xfId="0" applyNumberFormat="1" applyFont="1" applyFill="1" applyBorder="1" applyAlignment="1">
      <alignment horizontal="center"/>
    </xf>
    <xf numFmtId="0" fontId="15" fillId="2" borderId="7" xfId="0" applyFont="1" applyFill="1" applyBorder="1"/>
    <xf numFmtId="0" fontId="16" fillId="0" borderId="27" xfId="0" applyFont="1" applyBorder="1" applyAlignment="1">
      <alignment vertical="center" wrapText="1"/>
    </xf>
    <xf numFmtId="3" fontId="16" fillId="0" borderId="42" xfId="0" applyNumberFormat="1" applyFont="1" applyBorder="1" applyAlignment="1">
      <alignment vertical="center" wrapText="1"/>
    </xf>
    <xf numFmtId="0" fontId="15" fillId="3" borderId="1" xfId="2" applyFont="1" applyFill="1" applyBorder="1" applyAlignment="1">
      <alignment horizontal="left" vertical="center" indent="3"/>
    </xf>
    <xf numFmtId="0" fontId="15" fillId="0" borderId="0" xfId="2" applyFont="1" applyFill="1" applyBorder="1" applyAlignment="1">
      <alignment horizontal="center"/>
    </xf>
    <xf numFmtId="164" fontId="4" fillId="0" borderId="0" xfId="4" applyNumberFormat="1" applyFont="1" applyFill="1" applyBorder="1" applyAlignment="1">
      <alignment horizontal="center" vertical="center"/>
    </xf>
    <xf numFmtId="0" fontId="15" fillId="0" borderId="33" xfId="2" applyFont="1" applyBorder="1" applyAlignment="1">
      <alignment horizontal="center"/>
    </xf>
    <xf numFmtId="164" fontId="4" fillId="3" borderId="35" xfId="4" applyNumberFormat="1" applyFont="1" applyFill="1" applyBorder="1" applyAlignment="1">
      <alignment horizontal="center" vertical="center"/>
    </xf>
    <xf numFmtId="164" fontId="15" fillId="0" borderId="7" xfId="0" applyNumberFormat="1" applyFont="1" applyBorder="1" applyAlignment="1">
      <alignment horizontal="center"/>
    </xf>
    <xf numFmtId="164" fontId="15" fillId="2" borderId="7" xfId="0" applyNumberFormat="1" applyFont="1" applyFill="1" applyBorder="1" applyAlignment="1">
      <alignment horizontal="center"/>
    </xf>
    <xf numFmtId="164" fontId="4" fillId="0" borderId="13" xfId="4" applyNumberFormat="1" applyFont="1" applyFill="1" applyBorder="1" applyAlignment="1">
      <alignment horizontal="center" vertical="center"/>
    </xf>
    <xf numFmtId="0" fontId="15" fillId="2" borderId="5" xfId="0" applyFont="1" applyFill="1" applyBorder="1"/>
    <xf numFmtId="165" fontId="15" fillId="0" borderId="36" xfId="0" applyNumberFormat="1" applyFont="1" applyBorder="1" applyAlignment="1">
      <alignment horizontal="center"/>
    </xf>
    <xf numFmtId="165" fontId="19" fillId="0" borderId="1" xfId="0" applyNumberFormat="1" applyFont="1" applyBorder="1" applyAlignment="1">
      <alignment horizontal="center"/>
    </xf>
    <xf numFmtId="165" fontId="19" fillId="0" borderId="1" xfId="0" applyNumberFormat="1" applyFont="1" applyBorder="1" applyAlignment="1">
      <alignment horizontal="center" vertical="center"/>
    </xf>
    <xf numFmtId="165" fontId="19" fillId="0" borderId="1" xfId="2" applyNumberFormat="1" applyFont="1" applyBorder="1" applyAlignment="1">
      <alignment horizontal="center" vertical="center"/>
    </xf>
    <xf numFmtId="165" fontId="19" fillId="0" borderId="1" xfId="3" applyNumberFormat="1" applyFont="1" applyBorder="1" applyAlignment="1">
      <alignment horizontal="center" vertical="center"/>
    </xf>
    <xf numFmtId="165" fontId="19" fillId="0" borderId="1" xfId="2" applyNumberFormat="1" applyFont="1" applyFill="1" applyBorder="1" applyAlignment="1">
      <alignment horizontal="center" vertical="center"/>
    </xf>
    <xf numFmtId="165" fontId="19" fillId="0" borderId="7" xfId="0" applyNumberFormat="1" applyFont="1" applyBorder="1" applyAlignment="1">
      <alignment horizontal="center"/>
    </xf>
    <xf numFmtId="165" fontId="19" fillId="0" borderId="1" xfId="4" applyNumberFormat="1" applyFont="1" applyBorder="1" applyAlignment="1">
      <alignment horizontal="center" vertical="center"/>
    </xf>
    <xf numFmtId="0" fontId="20" fillId="0" borderId="19" xfId="2" applyFont="1" applyFill="1" applyBorder="1"/>
    <xf numFmtId="0" fontId="21" fillId="0" borderId="40" xfId="0" applyFont="1" applyBorder="1" applyAlignment="1">
      <alignment vertical="center" wrapText="1"/>
    </xf>
    <xf numFmtId="0" fontId="21" fillId="0" borderId="37" xfId="0" applyFont="1" applyBorder="1" applyAlignment="1">
      <alignment vertical="center" wrapText="1"/>
    </xf>
    <xf numFmtId="0" fontId="17" fillId="0" borderId="0" xfId="0" applyFont="1" applyFill="1" applyBorder="1" applyAlignment="1">
      <alignment vertical="center"/>
    </xf>
    <xf numFmtId="0" fontId="22" fillId="0" borderId="0" xfId="0" applyFont="1" applyAlignment="1">
      <alignment wrapText="1"/>
    </xf>
    <xf numFmtId="0" fontId="23" fillId="0" borderId="0" xfId="0" applyFont="1"/>
    <xf numFmtId="0" fontId="23" fillId="0" borderId="3" xfId="0" applyFont="1" applyBorder="1"/>
    <xf numFmtId="0" fontId="23" fillId="0" borderId="5" xfId="0" applyFont="1" applyBorder="1"/>
    <xf numFmtId="0" fontId="22" fillId="0" borderId="1" xfId="0" applyFont="1" applyBorder="1" applyAlignment="1">
      <alignment horizontal="center" wrapText="1"/>
    </xf>
    <xf numFmtId="0" fontId="22" fillId="0" borderId="2" xfId="0" applyFont="1" applyBorder="1" applyAlignment="1">
      <alignment horizontal="center"/>
    </xf>
    <xf numFmtId="10" fontId="23" fillId="2" borderId="1" xfId="0" applyNumberFormat="1" applyFont="1" applyFill="1" applyBorder="1"/>
    <xf numFmtId="0" fontId="23" fillId="2" borderId="1" xfId="0" applyFont="1" applyFill="1" applyBorder="1"/>
    <xf numFmtId="10" fontId="23" fillId="0" borderId="1" xfId="0" applyNumberFormat="1" applyFont="1" applyBorder="1"/>
    <xf numFmtId="0" fontId="23" fillId="0" borderId="1" xfId="0" applyFont="1" applyBorder="1"/>
    <xf numFmtId="164" fontId="23" fillId="0" borderId="12" xfId="0" applyNumberFormat="1" applyFont="1" applyBorder="1" applyAlignment="1">
      <alignment horizontal="center"/>
    </xf>
    <xf numFmtId="0" fontId="23" fillId="0" borderId="8" xfId="0" applyFont="1" applyBorder="1"/>
    <xf numFmtId="0" fontId="23" fillId="0" borderId="9" xfId="0" applyFont="1" applyBorder="1"/>
    <xf numFmtId="0" fontId="23" fillId="0" borderId="10" xfId="0" applyFont="1" applyBorder="1"/>
    <xf numFmtId="0" fontId="23" fillId="0" borderId="11" xfId="0" applyFont="1" applyBorder="1"/>
    <xf numFmtId="0" fontId="23" fillId="0" borderId="0" xfId="0" applyFont="1" applyBorder="1"/>
    <xf numFmtId="0" fontId="23" fillId="0" borderId="11" xfId="0" applyFont="1" applyFill="1" applyBorder="1"/>
    <xf numFmtId="0" fontId="23" fillId="0" borderId="0" xfId="0" applyFont="1" applyFill="1" applyBorder="1"/>
    <xf numFmtId="0" fontId="23" fillId="0" borderId="13" xfId="0" applyFont="1" applyBorder="1"/>
    <xf numFmtId="0" fontId="23" fillId="0" borderId="14" xfId="0" applyFont="1" applyBorder="1"/>
    <xf numFmtId="0" fontId="23" fillId="0" borderId="15" xfId="0" applyFont="1" applyBorder="1"/>
    <xf numFmtId="164" fontId="23" fillId="3" borderId="16" xfId="0" applyNumberFormat="1" applyFont="1" applyFill="1" applyBorder="1" applyAlignment="1">
      <alignment horizontal="center"/>
    </xf>
    <xf numFmtId="164" fontId="23" fillId="3" borderId="12" xfId="0" applyNumberFormat="1" applyFont="1" applyFill="1" applyBorder="1" applyAlignment="1">
      <alignment horizontal="center"/>
    </xf>
    <xf numFmtId="165" fontId="23" fillId="0" borderId="0" xfId="0" applyNumberFormat="1" applyFont="1"/>
    <xf numFmtId="165" fontId="23" fillId="0" borderId="6" xfId="0" applyNumberFormat="1" applyFont="1" applyBorder="1"/>
    <xf numFmtId="2" fontId="23" fillId="2" borderId="1" xfId="0" applyNumberFormat="1" applyFont="1" applyFill="1" applyBorder="1"/>
    <xf numFmtId="2" fontId="23" fillId="0" borderId="1" xfId="0" applyNumberFormat="1" applyFont="1" applyBorder="1"/>
    <xf numFmtId="0" fontId="23" fillId="0" borderId="0" xfId="0" applyFont="1" applyAlignment="1">
      <alignment wrapText="1"/>
    </xf>
    <xf numFmtId="0" fontId="23" fillId="0" borderId="1" xfId="0" applyFont="1" applyBorder="1" applyAlignment="1">
      <alignment horizontal="center"/>
    </xf>
    <xf numFmtId="165" fontId="23" fillId="0" borderId="1" xfId="0" applyNumberFormat="1" applyFont="1" applyBorder="1" applyAlignment="1">
      <alignment horizontal="center"/>
    </xf>
    <xf numFmtId="0" fontId="23" fillId="0" borderId="0" xfId="0" applyFont="1" applyAlignment="1">
      <alignment horizontal="right"/>
    </xf>
    <xf numFmtId="165" fontId="23" fillId="0" borderId="1" xfId="0" applyNumberFormat="1" applyFont="1" applyBorder="1"/>
    <xf numFmtId="0" fontId="23" fillId="0" borderId="0" xfId="0" applyFont="1" applyAlignment="1">
      <alignment horizontal="center"/>
    </xf>
    <xf numFmtId="164" fontId="23" fillId="0" borderId="1" xfId="0" applyNumberFormat="1" applyFont="1" applyBorder="1" applyAlignment="1">
      <alignment horizontal="center"/>
    </xf>
    <xf numFmtId="164" fontId="23" fillId="0" borderId="18" xfId="0" applyNumberFormat="1" applyFont="1" applyBorder="1" applyAlignment="1">
      <alignment horizontal="center"/>
    </xf>
    <xf numFmtId="164" fontId="23" fillId="0" borderId="16" xfId="0" applyNumberFormat="1" applyFont="1" applyBorder="1" applyAlignment="1">
      <alignment horizontal="center"/>
    </xf>
    <xf numFmtId="3" fontId="23" fillId="0" borderId="0" xfId="0" applyNumberFormat="1" applyFont="1" applyBorder="1"/>
    <xf numFmtId="0" fontId="22" fillId="0" borderId="0" xfId="0" applyFont="1"/>
    <xf numFmtId="0" fontId="23" fillId="0" borderId="33" xfId="0" applyFont="1" applyBorder="1" applyAlignment="1">
      <alignment horizontal="center"/>
    </xf>
    <xf numFmtId="0" fontId="23" fillId="0" borderId="34" xfId="0" applyFont="1" applyBorder="1" applyAlignment="1">
      <alignment horizontal="center"/>
    </xf>
    <xf numFmtId="0" fontId="23" fillId="0" borderId="35" xfId="0" applyFont="1" applyBorder="1" applyAlignment="1">
      <alignment horizontal="center"/>
    </xf>
    <xf numFmtId="0" fontId="23" fillId="0" borderId="28" xfId="0" applyFont="1" applyBorder="1"/>
    <xf numFmtId="3" fontId="23" fillId="0" borderId="31" xfId="0" applyNumberFormat="1" applyFont="1" applyBorder="1" applyAlignment="1">
      <alignment horizontal="center"/>
    </xf>
    <xf numFmtId="3" fontId="23" fillId="0" borderId="2" xfId="0" applyNumberFormat="1" applyFont="1" applyBorder="1" applyAlignment="1">
      <alignment horizontal="center"/>
    </xf>
    <xf numFmtId="3" fontId="23" fillId="0" borderId="32" xfId="0" applyNumberFormat="1" applyFont="1" applyBorder="1" applyAlignment="1">
      <alignment horizontal="center"/>
    </xf>
    <xf numFmtId="0" fontId="23" fillId="0" borderId="29" xfId="0" applyFont="1" applyBorder="1"/>
    <xf numFmtId="3" fontId="23" fillId="0" borderId="19" xfId="0" applyNumberFormat="1" applyFont="1" applyBorder="1" applyAlignment="1">
      <alignment horizontal="center"/>
    </xf>
    <xf numFmtId="3" fontId="23" fillId="0" borderId="1" xfId="0" applyNumberFormat="1" applyFont="1" applyBorder="1" applyAlignment="1">
      <alignment horizontal="center"/>
    </xf>
    <xf numFmtId="3" fontId="23" fillId="0" borderId="12" xfId="0" applyNumberFormat="1" applyFont="1" applyBorder="1" applyAlignment="1">
      <alignment horizontal="center"/>
    </xf>
    <xf numFmtId="0" fontId="23" fillId="0" borderId="30" xfId="0" applyFont="1" applyBorder="1" applyAlignment="1">
      <alignment horizontal="right"/>
    </xf>
    <xf numFmtId="166" fontId="23" fillId="0" borderId="20" xfId="0" applyNumberFormat="1" applyFont="1" applyBorder="1" applyAlignment="1">
      <alignment horizontal="center"/>
    </xf>
    <xf numFmtId="166" fontId="23" fillId="0" borderId="24" xfId="0" applyNumberFormat="1" applyFont="1" applyBorder="1" applyAlignment="1">
      <alignment horizontal="center"/>
    </xf>
    <xf numFmtId="166" fontId="23" fillId="0" borderId="16" xfId="0" applyNumberFormat="1" applyFont="1" applyBorder="1" applyAlignment="1">
      <alignment horizontal="center"/>
    </xf>
    <xf numFmtId="0" fontId="23" fillId="0" borderId="0" xfId="0" applyFont="1" applyBorder="1" applyAlignment="1">
      <alignment horizontal="center"/>
    </xf>
    <xf numFmtId="3" fontId="23" fillId="0" borderId="0" xfId="0" applyNumberFormat="1" applyFont="1" applyBorder="1" applyAlignment="1">
      <alignment horizontal="center"/>
    </xf>
    <xf numFmtId="0" fontId="23" fillId="0" borderId="0" xfId="0" applyFont="1" applyBorder="1" applyAlignment="1">
      <alignment horizontal="right"/>
    </xf>
    <xf numFmtId="0" fontId="23" fillId="3" borderId="1" xfId="0" applyFont="1" applyFill="1" applyBorder="1"/>
    <xf numFmtId="0" fontId="0" fillId="0" borderId="0" xfId="0" applyAlignment="1">
      <alignment wrapText="1"/>
    </xf>
    <xf numFmtId="0" fontId="16" fillId="0" borderId="5" xfId="2" applyFont="1" applyFill="1" applyBorder="1" applyAlignment="1">
      <alignment horizontal="center" wrapText="1"/>
    </xf>
    <xf numFmtId="0" fontId="16" fillId="0" borderId="2" xfId="2" applyFont="1" applyFill="1" applyBorder="1" applyAlignment="1">
      <alignment horizontal="center" wrapText="1"/>
    </xf>
    <xf numFmtId="0" fontId="1" fillId="0" borderId="5" xfId="2" applyFont="1" applyFill="1" applyBorder="1" applyAlignment="1">
      <alignment horizontal="center" wrapText="1"/>
    </xf>
    <xf numFmtId="0" fontId="1" fillId="0" borderId="2" xfId="2" applyFont="1" applyFill="1" applyBorder="1" applyAlignment="1">
      <alignment horizontal="center" wrapText="1"/>
    </xf>
    <xf numFmtId="0" fontId="18" fillId="0" borderId="0" xfId="0" applyFont="1" applyAlignment="1">
      <alignment horizontal="left" vertical="top" wrapText="1"/>
    </xf>
    <xf numFmtId="0" fontId="23" fillId="0" borderId="0" xfId="0" applyFont="1" applyAlignment="1"/>
    <xf numFmtId="0" fontId="22" fillId="0" borderId="5" xfId="0" applyFont="1" applyBorder="1" applyAlignment="1">
      <alignment horizontal="center" wrapText="1"/>
    </xf>
    <xf numFmtId="0" fontId="23" fillId="0" borderId="2" xfId="0" applyFont="1" applyBorder="1" applyAlignment="1">
      <alignment wrapText="1"/>
    </xf>
    <xf numFmtId="0" fontId="18" fillId="0" borderId="0" xfId="0" applyFont="1" applyAlignment="1">
      <alignment wrapText="1"/>
    </xf>
    <xf numFmtId="0" fontId="17" fillId="0" borderId="0" xfId="0" applyFont="1" applyFill="1" applyBorder="1" applyAlignment="1">
      <alignment vertical="center" wrapText="1"/>
    </xf>
    <xf numFmtId="0" fontId="23" fillId="0" borderId="0" xfId="0" applyFont="1" applyAlignment="1">
      <alignment wrapText="1"/>
    </xf>
  </cellXfs>
  <cellStyles count="5">
    <cellStyle name="Comma 4" xfId="1"/>
    <cellStyle name="Normal" xfId="0" builtinId="0"/>
    <cellStyle name="Normal 10" xfId="2"/>
    <cellStyle name="Percent" xfId="3" builtinId="5"/>
    <cellStyle name="Percent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
  <sheetViews>
    <sheetView tabSelected="1" workbookViewId="0">
      <selection activeCell="A2" sqref="A2"/>
    </sheetView>
  </sheetViews>
  <sheetFormatPr defaultRowHeight="15"/>
  <cols>
    <col min="1" max="1" width="99.28515625" customWidth="1"/>
  </cols>
  <sheetData>
    <row r="1" spans="1:1" ht="60">
      <c r="A1" s="149" t="s">
        <v>109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O38"/>
  <sheetViews>
    <sheetView topLeftCell="B1" zoomScale="75" zoomScaleNormal="75" zoomScaleSheetLayoutView="100" workbookViewId="0">
      <selection activeCell="N29" sqref="N29"/>
    </sheetView>
  </sheetViews>
  <sheetFormatPr defaultRowHeight="14.25"/>
  <cols>
    <col min="1" max="1" width="40" style="93" customWidth="1"/>
    <col min="2" max="2" width="11.42578125" style="93" customWidth="1"/>
    <col min="3" max="3" width="11.85546875" style="93" customWidth="1"/>
    <col min="4" max="4" width="11.5703125" style="93" hidden="1" customWidth="1"/>
    <col min="5" max="5" width="12" style="93" hidden="1" customWidth="1"/>
    <col min="6" max="6" width="12.7109375" style="93" hidden="1" customWidth="1"/>
    <col min="7" max="7" width="13" style="93" hidden="1" customWidth="1"/>
    <col min="8" max="8" width="13.140625" style="93" hidden="1" customWidth="1"/>
    <col min="9" max="9" width="12.42578125" style="93" hidden="1" customWidth="1"/>
    <col min="10" max="10" width="12.140625" style="93" customWidth="1"/>
    <col min="11" max="11" width="10.28515625" style="93" bestFit="1" customWidth="1"/>
    <col min="12" max="12" width="10.140625" style="93" customWidth="1"/>
    <col min="13" max="13" width="15.7109375" style="93" bestFit="1" customWidth="1"/>
    <col min="14" max="14" width="13.28515625" style="93" customWidth="1"/>
    <col min="15" max="15" width="9.7109375" style="93" customWidth="1"/>
    <col min="16" max="16384" width="9.140625" style="93"/>
  </cols>
  <sheetData>
    <row r="1" spans="1:15" ht="15" customHeight="1">
      <c r="A1" s="92"/>
    </row>
    <row r="2" spans="1:15" ht="15" customHeight="1">
      <c r="A2" s="92" t="s">
        <v>78</v>
      </c>
    </row>
    <row r="3" spans="1:15" ht="15" customHeight="1"/>
    <row r="4" spans="1:15" ht="44.25" customHeight="1">
      <c r="A4" s="94"/>
      <c r="B4" s="95"/>
      <c r="C4" s="150" t="s">
        <v>29</v>
      </c>
      <c r="D4" s="96" t="s">
        <v>8</v>
      </c>
      <c r="E4" s="96" t="s">
        <v>9</v>
      </c>
      <c r="F4" s="96" t="s">
        <v>8</v>
      </c>
      <c r="G4" s="96" t="s">
        <v>9</v>
      </c>
      <c r="H4" s="96" t="s">
        <v>8</v>
      </c>
      <c r="I4" s="96" t="s">
        <v>9</v>
      </c>
      <c r="J4" s="152" t="s">
        <v>3</v>
      </c>
      <c r="K4" s="95"/>
      <c r="L4" s="156" t="s">
        <v>99</v>
      </c>
    </row>
    <row r="5" spans="1:15" ht="15" customHeight="1" thickBot="1">
      <c r="A5" s="7" t="s">
        <v>0</v>
      </c>
      <c r="B5" s="6" t="s">
        <v>7</v>
      </c>
      <c r="C5" s="151"/>
      <c r="D5" s="22" t="s">
        <v>1</v>
      </c>
      <c r="E5" s="23" t="s">
        <v>2</v>
      </c>
      <c r="F5" s="24" t="s">
        <v>1</v>
      </c>
      <c r="G5" s="23" t="s">
        <v>2</v>
      </c>
      <c r="H5" s="24" t="s">
        <v>1</v>
      </c>
      <c r="I5" s="23" t="s">
        <v>2</v>
      </c>
      <c r="J5" s="153"/>
      <c r="K5" s="97" t="s">
        <v>64</v>
      </c>
      <c r="L5" s="157"/>
    </row>
    <row r="6" spans="1:15" ht="15" hidden="1" customHeight="1" thickBot="1">
      <c r="A6" s="8" t="s">
        <v>10</v>
      </c>
      <c r="B6" s="1" t="s">
        <v>6</v>
      </c>
      <c r="C6" s="27"/>
      <c r="D6" s="1">
        <v>97</v>
      </c>
      <c r="E6" s="1">
        <v>97</v>
      </c>
      <c r="F6" s="1">
        <v>39</v>
      </c>
      <c r="G6" s="1">
        <v>39</v>
      </c>
      <c r="H6" s="2">
        <v>65</v>
      </c>
      <c r="I6" s="2">
        <v>65</v>
      </c>
      <c r="J6" s="2">
        <v>65</v>
      </c>
      <c r="K6" s="98"/>
      <c r="L6" s="99"/>
    </row>
    <row r="7" spans="1:15" ht="15" hidden="1" customHeight="1">
      <c r="A7" s="8" t="s">
        <v>11</v>
      </c>
      <c r="B7" s="4" t="s">
        <v>4</v>
      </c>
      <c r="C7" s="27"/>
      <c r="D7" s="9">
        <v>421.8</v>
      </c>
      <c r="E7" s="9">
        <v>320.89999999999998</v>
      </c>
      <c r="F7" s="9">
        <v>409.1</v>
      </c>
      <c r="G7" s="9">
        <v>309.2</v>
      </c>
      <c r="H7" s="10">
        <v>416</v>
      </c>
      <c r="I7" s="10">
        <v>315.2</v>
      </c>
      <c r="J7" s="10">
        <v>382.4</v>
      </c>
      <c r="K7" s="100"/>
      <c r="L7" s="101"/>
    </row>
    <row r="8" spans="1:15" ht="15" hidden="1" customHeight="1">
      <c r="A8" s="8" t="s">
        <v>12</v>
      </c>
      <c r="B8" s="4" t="s">
        <v>4</v>
      </c>
      <c r="C8" s="4"/>
      <c r="D8" s="9">
        <v>3.5</v>
      </c>
      <c r="E8" s="9">
        <v>11.3</v>
      </c>
      <c r="F8" s="9">
        <v>3.5</v>
      </c>
      <c r="G8" s="9">
        <v>11.3</v>
      </c>
      <c r="H8" s="10">
        <v>3.5</v>
      </c>
      <c r="I8" s="10">
        <v>11.3</v>
      </c>
      <c r="J8" s="10">
        <v>6.1</v>
      </c>
      <c r="K8" s="100"/>
      <c r="L8" s="101"/>
    </row>
    <row r="9" spans="1:15" ht="15" customHeight="1">
      <c r="A9" s="8" t="s">
        <v>13</v>
      </c>
      <c r="B9" s="4" t="s">
        <v>4</v>
      </c>
      <c r="C9" s="4" t="s">
        <v>32</v>
      </c>
      <c r="D9" s="9">
        <v>418.3</v>
      </c>
      <c r="E9" s="9">
        <v>309.60000000000002</v>
      </c>
      <c r="F9" s="9">
        <v>405.6</v>
      </c>
      <c r="G9" s="9">
        <v>297.89999999999998</v>
      </c>
      <c r="H9" s="10">
        <v>412.5</v>
      </c>
      <c r="I9" s="10">
        <v>303.89999999999998</v>
      </c>
      <c r="J9" s="10">
        <v>376.3</v>
      </c>
      <c r="K9" s="102">
        <f>+IF(C9="p",1,IF(C9="A",$O$10,0))</f>
        <v>1</v>
      </c>
      <c r="L9" s="31">
        <f>+J9*K9</f>
        <v>376.3</v>
      </c>
      <c r="M9" s="103" t="s">
        <v>69</v>
      </c>
      <c r="N9" s="104"/>
      <c r="O9" s="105" t="s">
        <v>68</v>
      </c>
    </row>
    <row r="10" spans="1:15" ht="15" customHeight="1">
      <c r="A10" s="8" t="s">
        <v>14</v>
      </c>
      <c r="B10" s="4" t="s">
        <v>4</v>
      </c>
      <c r="C10" s="27"/>
      <c r="D10" s="9">
        <v>150.5</v>
      </c>
      <c r="E10" s="9">
        <v>164.1</v>
      </c>
      <c r="F10" s="9">
        <v>150.5</v>
      </c>
      <c r="G10" s="9">
        <v>164.1</v>
      </c>
      <c r="H10" s="10">
        <v>150.5</v>
      </c>
      <c r="I10" s="10">
        <v>164.1</v>
      </c>
      <c r="J10" s="85">
        <v>155</v>
      </c>
      <c r="K10" s="67"/>
      <c r="L10" s="32"/>
      <c r="M10" s="106" t="s">
        <v>67</v>
      </c>
      <c r="N10" s="107"/>
      <c r="O10" s="33">
        <v>0.64900000000000002</v>
      </c>
    </row>
    <row r="11" spans="1:15" ht="15" customHeight="1">
      <c r="A11" s="3" t="s">
        <v>15</v>
      </c>
      <c r="B11" s="4" t="s">
        <v>4</v>
      </c>
      <c r="C11" s="30" t="s">
        <v>66</v>
      </c>
      <c r="D11" s="11">
        <v>12.1</v>
      </c>
      <c r="E11" s="11">
        <v>12.1</v>
      </c>
      <c r="F11" s="11">
        <v>12.1</v>
      </c>
      <c r="G11" s="11">
        <v>12.1</v>
      </c>
      <c r="H11" s="11">
        <v>12.1</v>
      </c>
      <c r="I11" s="11">
        <v>12.1</v>
      </c>
      <c r="J11" s="82">
        <v>12.1</v>
      </c>
      <c r="K11" s="102">
        <f t="shared" ref="K11:K24" si="0">+IF(C11="p",1,IF(C11="A",$O$10,0))</f>
        <v>0.64900000000000002</v>
      </c>
      <c r="L11" s="86">
        <f>+J11*K11</f>
        <v>7.8529</v>
      </c>
      <c r="M11" s="108"/>
      <c r="N11" s="109"/>
      <c r="O11" s="78"/>
    </row>
    <row r="12" spans="1:15" ht="15" customHeight="1">
      <c r="A12" s="3" t="s">
        <v>16</v>
      </c>
      <c r="B12" s="4" t="s">
        <v>4</v>
      </c>
      <c r="C12" s="30" t="s">
        <v>66</v>
      </c>
      <c r="D12" s="11">
        <v>0.9</v>
      </c>
      <c r="E12" s="11">
        <v>0.9</v>
      </c>
      <c r="F12" s="11">
        <v>0.9</v>
      </c>
      <c r="G12" s="11">
        <v>0.9</v>
      </c>
      <c r="H12" s="11">
        <v>0.9</v>
      </c>
      <c r="I12" s="11">
        <v>0.9</v>
      </c>
      <c r="J12" s="82">
        <v>0.9</v>
      </c>
      <c r="K12" s="102">
        <f t="shared" si="0"/>
        <v>0.64900000000000002</v>
      </c>
      <c r="L12" s="86">
        <f t="shared" ref="L12:L25" si="1">+J12*K12</f>
        <v>0.58410000000000006</v>
      </c>
      <c r="M12" s="106"/>
      <c r="N12" s="107"/>
      <c r="O12" s="110"/>
    </row>
    <row r="13" spans="1:15" ht="15" customHeight="1" thickBot="1">
      <c r="A13" s="3" t="s">
        <v>17</v>
      </c>
      <c r="B13" s="4" t="s">
        <v>4</v>
      </c>
      <c r="C13" s="30" t="s">
        <v>66</v>
      </c>
      <c r="D13" s="11">
        <v>19.3</v>
      </c>
      <c r="E13" s="11">
        <v>19.3</v>
      </c>
      <c r="F13" s="11">
        <v>19.3</v>
      </c>
      <c r="G13" s="11">
        <v>19.3</v>
      </c>
      <c r="H13" s="11">
        <v>19.3</v>
      </c>
      <c r="I13" s="9">
        <v>19.3</v>
      </c>
      <c r="J13" s="82">
        <v>19.3</v>
      </c>
      <c r="K13" s="102">
        <f t="shared" si="0"/>
        <v>0.64900000000000002</v>
      </c>
      <c r="L13" s="86">
        <f t="shared" si="1"/>
        <v>12.525700000000001</v>
      </c>
      <c r="M13" s="111" t="s">
        <v>71</v>
      </c>
      <c r="N13" s="112"/>
      <c r="O13" s="113">
        <f>+((77*16+76.7*8)/24*O10+18.6)/((109*16+102.6*8)/24)</f>
        <v>0.64106144728633807</v>
      </c>
    </row>
    <row r="14" spans="1:15" ht="15" customHeight="1">
      <c r="A14" s="5" t="s">
        <v>18</v>
      </c>
      <c r="B14" s="4" t="s">
        <v>4</v>
      </c>
      <c r="C14" s="30" t="s">
        <v>66</v>
      </c>
      <c r="D14" s="11">
        <v>2</v>
      </c>
      <c r="E14" s="11">
        <v>2</v>
      </c>
      <c r="F14" s="11">
        <v>2</v>
      </c>
      <c r="G14" s="11">
        <v>2</v>
      </c>
      <c r="H14" s="11">
        <v>2</v>
      </c>
      <c r="I14" s="11">
        <v>2</v>
      </c>
      <c r="J14" s="83">
        <v>2</v>
      </c>
      <c r="K14" s="102">
        <f t="shared" si="0"/>
        <v>0.64900000000000002</v>
      </c>
      <c r="L14" s="81">
        <f t="shared" si="1"/>
        <v>1.298</v>
      </c>
    </row>
    <row r="15" spans="1:15" ht="15" customHeight="1">
      <c r="A15" s="3" t="s">
        <v>19</v>
      </c>
      <c r="B15" s="4" t="s">
        <v>4</v>
      </c>
      <c r="C15" s="30" t="s">
        <v>32</v>
      </c>
      <c r="D15" s="11">
        <v>36.1</v>
      </c>
      <c r="E15" s="11">
        <v>36.1</v>
      </c>
      <c r="F15" s="11">
        <v>36.1</v>
      </c>
      <c r="G15" s="11">
        <v>36.1</v>
      </c>
      <c r="H15" s="11">
        <v>36.1</v>
      </c>
      <c r="I15" s="11">
        <v>36.1</v>
      </c>
      <c r="J15" s="83">
        <v>36.1</v>
      </c>
      <c r="K15" s="102">
        <f t="shared" si="0"/>
        <v>1</v>
      </c>
      <c r="L15" s="81">
        <f t="shared" si="1"/>
        <v>36.1</v>
      </c>
    </row>
    <row r="16" spans="1:15" ht="15" customHeight="1">
      <c r="A16" s="71" t="s">
        <v>20</v>
      </c>
      <c r="B16" s="4" t="s">
        <v>4</v>
      </c>
      <c r="C16" s="30" t="s">
        <v>66</v>
      </c>
      <c r="D16" s="11">
        <v>33.299999999999997</v>
      </c>
      <c r="E16" s="11">
        <v>46.8</v>
      </c>
      <c r="F16" s="11">
        <v>33.299999999999997</v>
      </c>
      <c r="G16" s="11">
        <v>46.8</v>
      </c>
      <c r="H16" s="11">
        <v>33.299999999999997</v>
      </c>
      <c r="I16" s="11">
        <v>46.8</v>
      </c>
      <c r="J16" s="83">
        <v>37.799999999999997</v>
      </c>
      <c r="K16" s="114">
        <f>0.5*O10</f>
        <v>0.32450000000000001</v>
      </c>
      <c r="L16" s="81">
        <f t="shared" si="1"/>
        <v>12.2661</v>
      </c>
      <c r="M16" s="93" t="s">
        <v>101</v>
      </c>
    </row>
    <row r="17" spans="1:15" ht="15" customHeight="1">
      <c r="A17" s="3" t="s">
        <v>47</v>
      </c>
      <c r="B17" s="4" t="s">
        <v>4</v>
      </c>
      <c r="C17" s="4" t="s">
        <v>41</v>
      </c>
      <c r="D17" s="11">
        <v>6.1</v>
      </c>
      <c r="E17" s="11">
        <v>6.1</v>
      </c>
      <c r="F17" s="11">
        <v>6.1</v>
      </c>
      <c r="G17" s="11">
        <v>6.1</v>
      </c>
      <c r="H17" s="11">
        <v>6.1</v>
      </c>
      <c r="I17" s="11">
        <v>6.1</v>
      </c>
      <c r="J17" s="83">
        <v>6.1</v>
      </c>
      <c r="K17" s="102">
        <f t="shared" si="0"/>
        <v>0</v>
      </c>
      <c r="L17" s="81">
        <f t="shared" si="1"/>
        <v>0</v>
      </c>
    </row>
    <row r="18" spans="1:15" ht="15" customHeight="1">
      <c r="A18" s="3" t="s">
        <v>21</v>
      </c>
      <c r="B18" s="4" t="s">
        <v>4</v>
      </c>
      <c r="C18" s="4" t="s">
        <v>41</v>
      </c>
      <c r="D18" s="11">
        <v>6</v>
      </c>
      <c r="E18" s="11">
        <v>6</v>
      </c>
      <c r="F18" s="11">
        <v>6</v>
      </c>
      <c r="G18" s="11">
        <v>6</v>
      </c>
      <c r="H18" s="11">
        <v>6</v>
      </c>
      <c r="I18" s="11">
        <v>6</v>
      </c>
      <c r="J18" s="83">
        <v>6</v>
      </c>
      <c r="K18" s="102">
        <f t="shared" si="0"/>
        <v>0</v>
      </c>
      <c r="L18" s="81">
        <f t="shared" si="1"/>
        <v>0</v>
      </c>
    </row>
    <row r="19" spans="1:15" ht="15" customHeight="1">
      <c r="A19" s="5" t="s">
        <v>22</v>
      </c>
      <c r="B19" s="4" t="s">
        <v>4</v>
      </c>
      <c r="C19" s="1" t="s">
        <v>32</v>
      </c>
      <c r="D19" s="11">
        <v>5.7</v>
      </c>
      <c r="E19" s="11">
        <v>5.4</v>
      </c>
      <c r="F19" s="11">
        <v>5.7</v>
      </c>
      <c r="G19" s="11">
        <v>5.4</v>
      </c>
      <c r="H19" s="13">
        <v>5.7</v>
      </c>
      <c r="I19" s="13">
        <v>5.4</v>
      </c>
      <c r="J19" s="84">
        <v>5.6</v>
      </c>
      <c r="K19" s="102">
        <f t="shared" si="0"/>
        <v>1</v>
      </c>
      <c r="L19" s="81">
        <f t="shared" si="1"/>
        <v>5.6</v>
      </c>
    </row>
    <row r="20" spans="1:15" ht="15" customHeight="1">
      <c r="A20" s="5" t="s">
        <v>23</v>
      </c>
      <c r="B20" s="4" t="s">
        <v>4</v>
      </c>
      <c r="C20" s="30" t="s">
        <v>66</v>
      </c>
      <c r="D20" s="11">
        <v>6.4</v>
      </c>
      <c r="E20" s="11">
        <v>6.4</v>
      </c>
      <c r="F20" s="11">
        <v>6.4</v>
      </c>
      <c r="G20" s="11">
        <v>6.4</v>
      </c>
      <c r="H20" s="13">
        <v>6.4</v>
      </c>
      <c r="I20" s="13">
        <v>6.4</v>
      </c>
      <c r="J20" s="84">
        <v>6.4</v>
      </c>
      <c r="K20" s="102">
        <f>+(3+2*O10)/J20</f>
        <v>0.67156249999999995</v>
      </c>
      <c r="L20" s="81">
        <f t="shared" si="1"/>
        <v>4.298</v>
      </c>
      <c r="M20" s="93" t="s">
        <v>102</v>
      </c>
      <c r="O20" s="115"/>
    </row>
    <row r="21" spans="1:15" ht="15" customHeight="1">
      <c r="A21" s="3" t="s">
        <v>24</v>
      </c>
      <c r="B21" s="4" t="s">
        <v>4</v>
      </c>
      <c r="C21" s="4" t="s">
        <v>32</v>
      </c>
      <c r="D21" s="11">
        <v>4</v>
      </c>
      <c r="E21" s="11">
        <v>4</v>
      </c>
      <c r="F21" s="11">
        <v>4</v>
      </c>
      <c r="G21" s="11">
        <v>4</v>
      </c>
      <c r="H21" s="11">
        <v>4</v>
      </c>
      <c r="I21" s="11">
        <v>4</v>
      </c>
      <c r="J21" s="83">
        <v>4</v>
      </c>
      <c r="K21" s="102">
        <f t="shared" si="0"/>
        <v>1</v>
      </c>
      <c r="L21" s="81">
        <f t="shared" si="1"/>
        <v>4</v>
      </c>
    </row>
    <row r="22" spans="1:15" ht="15" customHeight="1">
      <c r="A22" s="3" t="s">
        <v>25</v>
      </c>
      <c r="B22" s="4" t="s">
        <v>4</v>
      </c>
      <c r="C22" s="30" t="s">
        <v>66</v>
      </c>
      <c r="D22" s="11">
        <v>9.6999999999999993</v>
      </c>
      <c r="E22" s="11">
        <v>9.6999999999999993</v>
      </c>
      <c r="F22" s="11">
        <v>9.6999999999999993</v>
      </c>
      <c r="G22" s="11">
        <v>9.6999999999999993</v>
      </c>
      <c r="H22" s="12">
        <v>9.6999999999999993</v>
      </c>
      <c r="I22" s="12">
        <v>9.6999999999999993</v>
      </c>
      <c r="J22" s="82">
        <v>9.6999999999999993</v>
      </c>
      <c r="K22" s="102">
        <f>5*O10/J22</f>
        <v>0.33453608247422684</v>
      </c>
      <c r="L22" s="81">
        <f t="shared" si="1"/>
        <v>3.2450000000000001</v>
      </c>
      <c r="M22" s="93" t="s">
        <v>103</v>
      </c>
    </row>
    <row r="23" spans="1:15" ht="15" customHeight="1">
      <c r="A23" s="3" t="s">
        <v>26</v>
      </c>
      <c r="B23" s="4" t="s">
        <v>4</v>
      </c>
      <c r="C23" s="4" t="s">
        <v>41</v>
      </c>
      <c r="D23" s="11">
        <v>0.6</v>
      </c>
      <c r="E23" s="11">
        <v>0.6</v>
      </c>
      <c r="F23" s="11">
        <v>0.6</v>
      </c>
      <c r="G23" s="11">
        <v>0.6</v>
      </c>
      <c r="H23" s="11">
        <v>0.6</v>
      </c>
      <c r="I23" s="11">
        <v>0.6</v>
      </c>
      <c r="J23" s="82">
        <v>0.6</v>
      </c>
      <c r="K23" s="102">
        <f t="shared" si="0"/>
        <v>0</v>
      </c>
      <c r="L23" s="81">
        <f t="shared" si="1"/>
        <v>0</v>
      </c>
    </row>
    <row r="24" spans="1:15" ht="15" customHeight="1">
      <c r="A24" s="3" t="s">
        <v>27</v>
      </c>
      <c r="B24" s="4" t="s">
        <v>4</v>
      </c>
      <c r="C24" s="30" t="s">
        <v>66</v>
      </c>
      <c r="D24" s="11">
        <v>8.3000000000000007</v>
      </c>
      <c r="E24" s="11">
        <v>8.6999999999999993</v>
      </c>
      <c r="F24" s="11">
        <v>8.3000000000000007</v>
      </c>
      <c r="G24" s="11">
        <v>8.6999999999999993</v>
      </c>
      <c r="H24" s="11">
        <v>8.3000000000000007</v>
      </c>
      <c r="I24" s="11">
        <v>8.6999999999999993</v>
      </c>
      <c r="J24" s="82">
        <v>8.4</v>
      </c>
      <c r="K24" s="102">
        <f t="shared" si="0"/>
        <v>0.64900000000000002</v>
      </c>
      <c r="L24" s="81">
        <f t="shared" si="1"/>
        <v>5.4516</v>
      </c>
    </row>
    <row r="25" spans="1:15" ht="15" customHeight="1">
      <c r="A25" s="3" t="s">
        <v>70</v>
      </c>
      <c r="B25" s="4" t="s">
        <v>4</v>
      </c>
      <c r="C25" s="30" t="s">
        <v>66</v>
      </c>
      <c r="D25" s="11"/>
      <c r="E25" s="11"/>
      <c r="F25" s="11"/>
      <c r="G25" s="11"/>
      <c r="H25" s="11"/>
      <c r="I25" s="11"/>
      <c r="J25" s="82">
        <f>(109*16+102.6*8)/24</f>
        <v>106.86666666666667</v>
      </c>
      <c r="K25" s="102">
        <f>+O13</f>
        <v>0.64106144728633807</v>
      </c>
      <c r="L25" s="81">
        <f t="shared" si="1"/>
        <v>68.508099999999999</v>
      </c>
      <c r="M25" s="93" t="s">
        <v>107</v>
      </c>
    </row>
    <row r="26" spans="1:15" ht="15" customHeight="1" thickBot="1">
      <c r="A26" s="8" t="s">
        <v>93</v>
      </c>
      <c r="B26" s="4" t="s">
        <v>4</v>
      </c>
      <c r="C26" s="27"/>
      <c r="D26" s="25">
        <f t="shared" ref="D26:I26" si="2">D9-D10</f>
        <v>267.8</v>
      </c>
      <c r="E26" s="25">
        <f t="shared" si="2"/>
        <v>145.50000000000003</v>
      </c>
      <c r="F26" s="25">
        <f t="shared" si="2"/>
        <v>255.10000000000002</v>
      </c>
      <c r="G26" s="25">
        <f t="shared" si="2"/>
        <v>133.79999999999998</v>
      </c>
      <c r="H26" s="25">
        <f t="shared" si="2"/>
        <v>262</v>
      </c>
      <c r="I26" s="25">
        <f t="shared" si="2"/>
        <v>139.79999999999998</v>
      </c>
      <c r="J26" s="9">
        <f>J9-J10-J25</f>
        <v>114.43333333333334</v>
      </c>
      <c r="K26" s="68"/>
      <c r="L26" s="79"/>
      <c r="M26" s="116">
        <f>+J10+J25-SUM(L11:L25)</f>
        <v>100.13716666666667</v>
      </c>
      <c r="N26" s="93" t="s">
        <v>97</v>
      </c>
    </row>
    <row r="27" spans="1:15" ht="15" thickBot="1">
      <c r="A27" s="8" t="s">
        <v>60</v>
      </c>
      <c r="B27" s="4" t="s">
        <v>4</v>
      </c>
      <c r="C27" s="117"/>
      <c r="D27" s="118"/>
      <c r="E27" s="118"/>
      <c r="F27" s="118"/>
      <c r="G27" s="118"/>
      <c r="H27" s="118"/>
      <c r="I27" s="118"/>
      <c r="J27" s="118"/>
      <c r="K27" s="29"/>
      <c r="L27" s="80">
        <f>+L9-SUM(L11:L25)</f>
        <v>214.57050000000001</v>
      </c>
    </row>
    <row r="28" spans="1:15" ht="37.5" customHeight="1">
      <c r="A28" s="158" t="s">
        <v>104</v>
      </c>
      <c r="B28" s="155"/>
      <c r="C28" s="155"/>
      <c r="D28" s="155"/>
      <c r="E28" s="155"/>
      <c r="F28" s="155"/>
      <c r="G28" s="155"/>
      <c r="H28" s="155"/>
      <c r="I28" s="155"/>
      <c r="J28" s="155"/>
      <c r="K28" s="155"/>
      <c r="L28" s="155"/>
    </row>
    <row r="29" spans="1:15" ht="117" customHeight="1">
      <c r="A29" s="26" t="s">
        <v>61</v>
      </c>
      <c r="B29" s="154" t="s">
        <v>63</v>
      </c>
      <c r="C29" s="155"/>
      <c r="J29" s="119"/>
    </row>
    <row r="30" spans="1:15">
      <c r="B30" s="1" t="s">
        <v>80</v>
      </c>
      <c r="C30" s="120" t="s">
        <v>81</v>
      </c>
      <c r="D30" s="120"/>
      <c r="E30" s="120"/>
      <c r="F30" s="120"/>
      <c r="G30" s="120"/>
      <c r="H30" s="120"/>
      <c r="I30" s="120"/>
      <c r="J30" s="120" t="s">
        <v>28</v>
      </c>
    </row>
    <row r="31" spans="1:15">
      <c r="A31" s="101" t="s">
        <v>79</v>
      </c>
      <c r="B31" s="121">
        <f>+L27</f>
        <v>214.57050000000001</v>
      </c>
      <c r="C31" s="120">
        <v>8000</v>
      </c>
      <c r="D31" s="120"/>
      <c r="E31" s="120"/>
      <c r="F31" s="120"/>
      <c r="G31" s="120"/>
      <c r="H31" s="120"/>
      <c r="I31" s="120"/>
      <c r="J31" s="120">
        <f>+B31*C31</f>
        <v>1716564</v>
      </c>
    </row>
    <row r="32" spans="1:15">
      <c r="A32" s="101" t="s">
        <v>82</v>
      </c>
      <c r="B32" s="120">
        <v>300</v>
      </c>
      <c r="C32" s="120">
        <v>336</v>
      </c>
      <c r="D32" s="120"/>
      <c r="E32" s="120"/>
      <c r="F32" s="120"/>
      <c r="G32" s="120"/>
      <c r="H32" s="120"/>
      <c r="I32" s="120"/>
      <c r="J32" s="120">
        <f>+B32*C32</f>
        <v>100800</v>
      </c>
    </row>
    <row r="33" spans="1:11">
      <c r="C33" s="122" t="s">
        <v>28</v>
      </c>
      <c r="J33" s="120">
        <f>+J31+J32</f>
        <v>1817364</v>
      </c>
    </row>
    <row r="34" spans="1:11">
      <c r="C34" s="122" t="s">
        <v>83</v>
      </c>
      <c r="J34" s="120">
        <f>+J31</f>
        <v>1716564</v>
      </c>
    </row>
    <row r="36" spans="1:11">
      <c r="A36" s="93" t="s">
        <v>100</v>
      </c>
    </row>
    <row r="38" spans="1:11">
      <c r="A38" s="101" t="s">
        <v>106</v>
      </c>
      <c r="B38" s="101"/>
      <c r="C38" s="101"/>
      <c r="D38" s="101"/>
      <c r="E38" s="101"/>
      <c r="F38" s="101"/>
      <c r="G38" s="101"/>
      <c r="H38" s="101"/>
      <c r="I38" s="101"/>
      <c r="J38" s="101"/>
      <c r="K38" s="148"/>
    </row>
  </sheetData>
  <mergeCells count="5">
    <mergeCell ref="C4:C5"/>
    <mergeCell ref="J4:J5"/>
    <mergeCell ref="B29:C29"/>
    <mergeCell ref="L4:L5"/>
    <mergeCell ref="A28:L28"/>
  </mergeCells>
  <pageMargins left="0.7" right="0.7"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dimension ref="A1:J53"/>
  <sheetViews>
    <sheetView zoomScale="75" zoomScaleNormal="75" workbookViewId="0">
      <selection activeCell="A43" sqref="A43:E43"/>
    </sheetView>
  </sheetViews>
  <sheetFormatPr defaultRowHeight="14.25"/>
  <cols>
    <col min="1" max="1" width="45" style="93" customWidth="1"/>
    <col min="2" max="2" width="12.42578125" style="93" customWidth="1"/>
    <col min="3" max="3" width="11.7109375" style="93" customWidth="1"/>
    <col min="4" max="4" width="13.140625" style="93" customWidth="1"/>
    <col min="5" max="5" width="15.5703125" style="93" customWidth="1"/>
    <col min="6" max="16384" width="9.140625" style="93"/>
  </cols>
  <sheetData>
    <row r="1" spans="1:9" ht="15" thickBot="1">
      <c r="A1" s="15" t="s">
        <v>95</v>
      </c>
      <c r="B1" s="16"/>
      <c r="C1" s="16"/>
      <c r="D1" s="16"/>
      <c r="E1" s="16"/>
    </row>
    <row r="2" spans="1:9" ht="25.5">
      <c r="A2" s="50" t="s">
        <v>62</v>
      </c>
      <c r="B2" s="51" t="s">
        <v>73</v>
      </c>
      <c r="C2" s="52" t="s">
        <v>29</v>
      </c>
      <c r="D2" s="52" t="s">
        <v>64</v>
      </c>
      <c r="E2" s="53" t="s">
        <v>65</v>
      </c>
    </row>
    <row r="3" spans="1:9" ht="15" thickBot="1">
      <c r="A3" s="88" t="s">
        <v>30</v>
      </c>
      <c r="B3" s="17">
        <v>256900</v>
      </c>
      <c r="C3" s="18" t="s">
        <v>32</v>
      </c>
      <c r="D3" s="125">
        <f>+IF(C3="p",1,IF(C3="A",$H$4,0))</f>
        <v>1</v>
      </c>
      <c r="E3" s="55">
        <f>+B3*D3</f>
        <v>256900</v>
      </c>
      <c r="G3" s="35" t="s">
        <v>74</v>
      </c>
      <c r="H3" s="34"/>
      <c r="I3" s="107"/>
    </row>
    <row r="4" spans="1:9" ht="15" thickBot="1">
      <c r="A4" s="88" t="s">
        <v>31</v>
      </c>
      <c r="B4" s="17">
        <v>44729</v>
      </c>
      <c r="C4" s="18" t="s">
        <v>32</v>
      </c>
      <c r="D4" s="125">
        <f t="shared" ref="D4:D14" si="0">+IF(C4="p",1,IF(C4="A",$H$4,0))</f>
        <v>1</v>
      </c>
      <c r="E4" s="55">
        <f t="shared" ref="E4:E14" si="1">+B4*D4</f>
        <v>44729</v>
      </c>
      <c r="G4" s="74" t="s">
        <v>5</v>
      </c>
      <c r="H4" s="75">
        <v>0.64900000000000002</v>
      </c>
      <c r="I4" s="107"/>
    </row>
    <row r="5" spans="1:9" ht="15">
      <c r="A5" s="88" t="s">
        <v>96</v>
      </c>
      <c r="B5" s="17">
        <v>175493</v>
      </c>
      <c r="C5" s="37" t="s">
        <v>32</v>
      </c>
      <c r="D5" s="125">
        <f t="shared" si="0"/>
        <v>1</v>
      </c>
      <c r="E5" s="55">
        <f t="shared" si="1"/>
        <v>175493</v>
      </c>
      <c r="G5" s="72"/>
      <c r="H5" s="73"/>
      <c r="I5" s="107"/>
    </row>
    <row r="6" spans="1:9">
      <c r="A6" s="54" t="s">
        <v>33</v>
      </c>
      <c r="B6" s="17">
        <v>510</v>
      </c>
      <c r="C6" s="37" t="s">
        <v>66</v>
      </c>
      <c r="D6" s="125">
        <f t="shared" si="0"/>
        <v>0.64900000000000002</v>
      </c>
      <c r="E6" s="55">
        <f t="shared" si="1"/>
        <v>330.99</v>
      </c>
    </row>
    <row r="7" spans="1:9">
      <c r="A7" s="88" t="s">
        <v>34</v>
      </c>
      <c r="B7" s="17">
        <v>7742</v>
      </c>
      <c r="C7" s="37" t="s">
        <v>66</v>
      </c>
      <c r="D7" s="125">
        <f t="shared" si="0"/>
        <v>0.64900000000000002</v>
      </c>
      <c r="E7" s="55">
        <f t="shared" si="1"/>
        <v>5024.558</v>
      </c>
    </row>
    <row r="8" spans="1:9">
      <c r="A8" s="88" t="s">
        <v>35</v>
      </c>
      <c r="B8" s="17">
        <v>5736</v>
      </c>
      <c r="C8" s="37" t="s">
        <v>66</v>
      </c>
      <c r="D8" s="125">
        <f t="shared" si="0"/>
        <v>0.64900000000000002</v>
      </c>
      <c r="E8" s="55">
        <f t="shared" si="1"/>
        <v>3722.6640000000002</v>
      </c>
    </row>
    <row r="9" spans="1:9">
      <c r="A9" s="54" t="s">
        <v>36</v>
      </c>
      <c r="B9" s="17">
        <v>306</v>
      </c>
      <c r="C9" s="37" t="s">
        <v>66</v>
      </c>
      <c r="D9" s="125">
        <f t="shared" si="0"/>
        <v>0.64900000000000002</v>
      </c>
      <c r="E9" s="55">
        <f t="shared" si="1"/>
        <v>198.59399999999999</v>
      </c>
    </row>
    <row r="10" spans="1:9">
      <c r="A10" s="54" t="s">
        <v>37</v>
      </c>
      <c r="B10" s="17">
        <v>105</v>
      </c>
      <c r="C10" s="18" t="s">
        <v>38</v>
      </c>
      <c r="D10" s="125">
        <f t="shared" si="0"/>
        <v>0</v>
      </c>
      <c r="E10" s="55">
        <f t="shared" si="1"/>
        <v>0</v>
      </c>
    </row>
    <row r="11" spans="1:9">
      <c r="A11" s="88" t="s">
        <v>39</v>
      </c>
      <c r="B11" s="17">
        <v>24758</v>
      </c>
      <c r="C11" s="37" t="s">
        <v>66</v>
      </c>
      <c r="D11" s="125">
        <f t="shared" si="0"/>
        <v>0.64900000000000002</v>
      </c>
      <c r="E11" s="55">
        <f t="shared" si="1"/>
        <v>16067.942000000001</v>
      </c>
    </row>
    <row r="12" spans="1:9">
      <c r="A12" s="54" t="s">
        <v>40</v>
      </c>
      <c r="B12" s="17">
        <v>416</v>
      </c>
      <c r="C12" s="18" t="s">
        <v>41</v>
      </c>
      <c r="D12" s="125">
        <f t="shared" si="0"/>
        <v>0</v>
      </c>
      <c r="E12" s="55">
        <f t="shared" si="1"/>
        <v>0</v>
      </c>
    </row>
    <row r="13" spans="1:9">
      <c r="A13" s="54" t="s">
        <v>42</v>
      </c>
      <c r="B13" s="17">
        <v>116</v>
      </c>
      <c r="C13" s="18" t="s">
        <v>41</v>
      </c>
      <c r="D13" s="125">
        <f t="shared" si="0"/>
        <v>0</v>
      </c>
      <c r="E13" s="55">
        <f t="shared" si="1"/>
        <v>0</v>
      </c>
    </row>
    <row r="14" spans="1:9" ht="15" thickBot="1">
      <c r="A14" s="54" t="s">
        <v>43</v>
      </c>
      <c r="B14" s="17">
        <v>36</v>
      </c>
      <c r="C14" s="37" t="s">
        <v>66</v>
      </c>
      <c r="D14" s="125">
        <f t="shared" si="0"/>
        <v>0.64900000000000002</v>
      </c>
      <c r="E14" s="55">
        <f t="shared" si="1"/>
        <v>23.364000000000001</v>
      </c>
    </row>
    <row r="15" spans="1:9" ht="15" hidden="1" thickBot="1">
      <c r="A15" s="61"/>
      <c r="B15" s="36"/>
      <c r="C15" s="62"/>
      <c r="D15" s="62"/>
      <c r="E15" s="63"/>
    </row>
    <row r="16" spans="1:9">
      <c r="A16" s="64" t="s">
        <v>44</v>
      </c>
      <c r="B16" s="65">
        <f>SUM(B3:B14)</f>
        <v>516847</v>
      </c>
      <c r="C16" s="65"/>
      <c r="D16" s="65"/>
      <c r="E16" s="66">
        <f>SUM(E3:E14)</f>
        <v>502490.11199999996</v>
      </c>
    </row>
    <row r="17" spans="1:5">
      <c r="A17" s="56" t="s">
        <v>45</v>
      </c>
      <c r="B17" s="17">
        <f>B16-(B5*(1-120/504))</f>
        <v>383138.04761904763</v>
      </c>
      <c r="C17" s="17"/>
      <c r="D17" s="17"/>
      <c r="E17" s="57">
        <f>E16-(E5*(1-120/504))</f>
        <v>368781.1596190476</v>
      </c>
    </row>
    <row r="18" spans="1:5" ht="15" thickBot="1">
      <c r="A18" s="58" t="s">
        <v>46</v>
      </c>
      <c r="B18" s="59">
        <f>B3+B6+B8+B10+B13+B14</f>
        <v>263403</v>
      </c>
      <c r="C18" s="59"/>
      <c r="D18" s="59"/>
      <c r="E18" s="60">
        <f>E3+E6+E8+E10+E13+E14</f>
        <v>260977.01799999998</v>
      </c>
    </row>
    <row r="19" spans="1:5" ht="26.25" thickBot="1">
      <c r="A19" s="45" t="s">
        <v>72</v>
      </c>
      <c r="B19" s="46" t="s">
        <v>73</v>
      </c>
      <c r="C19" s="47" t="s">
        <v>29</v>
      </c>
      <c r="D19" s="48" t="s">
        <v>64</v>
      </c>
      <c r="E19" s="49" t="s">
        <v>65</v>
      </c>
    </row>
    <row r="20" spans="1:5">
      <c r="A20" s="89" t="s">
        <v>105</v>
      </c>
      <c r="B20" s="38">
        <v>34482.712422999997</v>
      </c>
      <c r="C20" s="42" t="s">
        <v>32</v>
      </c>
      <c r="D20" s="126">
        <f t="shared" ref="D20:D33" si="2">+IF(C20="p",1,IF(C20="A",$H$4,0))</f>
        <v>1</v>
      </c>
      <c r="E20" s="41">
        <f t="shared" ref="E20:E33" si="3">+B20*D20</f>
        <v>34482.712422999997</v>
      </c>
    </row>
    <row r="21" spans="1:5">
      <c r="A21" s="90" t="s">
        <v>48</v>
      </c>
      <c r="B21" s="39">
        <v>5747.1166689999991</v>
      </c>
      <c r="C21" s="43" t="s">
        <v>32</v>
      </c>
      <c r="D21" s="102">
        <f t="shared" si="2"/>
        <v>1</v>
      </c>
      <c r="E21" s="41">
        <f t="shared" si="3"/>
        <v>5747.1166689999991</v>
      </c>
    </row>
    <row r="22" spans="1:5">
      <c r="A22" s="90" t="s">
        <v>49</v>
      </c>
      <c r="B22" s="39">
        <v>2873.564539</v>
      </c>
      <c r="C22" s="43" t="s">
        <v>32</v>
      </c>
      <c r="D22" s="102">
        <f t="shared" si="2"/>
        <v>1</v>
      </c>
      <c r="E22" s="41">
        <f t="shared" si="3"/>
        <v>2873.564539</v>
      </c>
    </row>
    <row r="23" spans="1:5">
      <c r="A23" s="19" t="s">
        <v>50</v>
      </c>
      <c r="B23" s="39">
        <v>574.71042599999998</v>
      </c>
      <c r="C23" s="43" t="s">
        <v>32</v>
      </c>
      <c r="D23" s="102">
        <f t="shared" si="2"/>
        <v>1</v>
      </c>
      <c r="E23" s="41">
        <f t="shared" si="3"/>
        <v>574.71042599999998</v>
      </c>
    </row>
    <row r="24" spans="1:5">
      <c r="A24" s="19" t="s">
        <v>51</v>
      </c>
      <c r="B24" s="39">
        <v>2.7672069999999995</v>
      </c>
      <c r="C24" s="43" t="s">
        <v>38</v>
      </c>
      <c r="D24" s="102">
        <f t="shared" si="2"/>
        <v>0</v>
      </c>
      <c r="E24" s="41">
        <f t="shared" si="3"/>
        <v>0</v>
      </c>
    </row>
    <row r="25" spans="1:5">
      <c r="A25" s="90" t="s">
        <v>52</v>
      </c>
      <c r="B25" s="39">
        <v>6921.082523</v>
      </c>
      <c r="C25" s="43" t="s">
        <v>32</v>
      </c>
      <c r="D25" s="102">
        <f t="shared" si="2"/>
        <v>1</v>
      </c>
      <c r="E25" s="41">
        <f t="shared" si="3"/>
        <v>6921.082523</v>
      </c>
    </row>
    <row r="26" spans="1:5">
      <c r="A26" s="90" t="s">
        <v>53</v>
      </c>
      <c r="B26" s="39">
        <v>6533.139956</v>
      </c>
      <c r="C26" s="43" t="s">
        <v>32</v>
      </c>
      <c r="D26" s="102">
        <f t="shared" si="2"/>
        <v>1</v>
      </c>
      <c r="E26" s="41">
        <f t="shared" si="3"/>
        <v>6533.139956</v>
      </c>
    </row>
    <row r="27" spans="1:5">
      <c r="A27" s="19" t="s">
        <v>54</v>
      </c>
      <c r="B27" s="39">
        <v>43.282592000000001</v>
      </c>
      <c r="C27" s="43" t="s">
        <v>32</v>
      </c>
      <c r="D27" s="102">
        <f t="shared" si="2"/>
        <v>1</v>
      </c>
      <c r="E27" s="41">
        <f t="shared" si="3"/>
        <v>43.282592000000001</v>
      </c>
    </row>
    <row r="28" spans="1:5">
      <c r="A28" s="19" t="s">
        <v>55</v>
      </c>
      <c r="B28" s="39">
        <v>50.219222999999992</v>
      </c>
      <c r="C28" s="43" t="s">
        <v>32</v>
      </c>
      <c r="D28" s="102">
        <f t="shared" si="2"/>
        <v>1</v>
      </c>
      <c r="E28" s="41">
        <f t="shared" si="3"/>
        <v>50.219222999999992</v>
      </c>
    </row>
    <row r="29" spans="1:5">
      <c r="A29" s="19" t="s">
        <v>56</v>
      </c>
      <c r="B29" s="39">
        <v>1.0299469999999999</v>
      </c>
      <c r="C29" s="43" t="s">
        <v>32</v>
      </c>
      <c r="D29" s="102">
        <f t="shared" si="2"/>
        <v>1</v>
      </c>
      <c r="E29" s="41">
        <f t="shared" si="3"/>
        <v>1.0299469999999999</v>
      </c>
    </row>
    <row r="30" spans="1:5">
      <c r="A30" s="19" t="s">
        <v>57</v>
      </c>
      <c r="B30" s="39">
        <v>1.6503969999999999</v>
      </c>
      <c r="C30" s="43" t="s">
        <v>32</v>
      </c>
      <c r="D30" s="102">
        <f t="shared" si="2"/>
        <v>1</v>
      </c>
      <c r="E30" s="41">
        <f t="shared" si="3"/>
        <v>1.6503969999999999</v>
      </c>
    </row>
    <row r="31" spans="1:5">
      <c r="A31" s="90" t="s">
        <v>90</v>
      </c>
      <c r="B31" s="39">
        <v>281049.21796463046</v>
      </c>
      <c r="C31" s="43" t="s">
        <v>32</v>
      </c>
      <c r="D31" s="102">
        <f t="shared" si="2"/>
        <v>1</v>
      </c>
      <c r="E31" s="41">
        <f t="shared" si="3"/>
        <v>281049.21796463046</v>
      </c>
    </row>
    <row r="32" spans="1:5">
      <c r="A32" s="19" t="s">
        <v>58</v>
      </c>
      <c r="B32" s="39">
        <v>204.83536299999997</v>
      </c>
      <c r="C32" s="43" t="s">
        <v>32</v>
      </c>
      <c r="D32" s="102">
        <f t="shared" si="2"/>
        <v>1</v>
      </c>
      <c r="E32" s="41">
        <f t="shared" si="3"/>
        <v>204.83536299999997</v>
      </c>
    </row>
    <row r="33" spans="1:10" ht="15" thickBot="1">
      <c r="A33" s="20" t="s">
        <v>59</v>
      </c>
      <c r="B33" s="40">
        <v>214.50197399999999</v>
      </c>
      <c r="C33" s="44" t="s">
        <v>32</v>
      </c>
      <c r="D33" s="127">
        <f t="shared" si="2"/>
        <v>1</v>
      </c>
      <c r="E33" s="41">
        <f t="shared" si="3"/>
        <v>214.50197399999999</v>
      </c>
    </row>
    <row r="34" spans="1:10" ht="15" thickBot="1">
      <c r="A34" s="69" t="s">
        <v>75</v>
      </c>
      <c r="B34" s="70">
        <f>+SUM(B20:B33)</f>
        <v>338699.83120363049</v>
      </c>
      <c r="E34" s="21">
        <f>+SUM(E20:E33)</f>
        <v>338697.06399663043</v>
      </c>
    </row>
    <row r="35" spans="1:10" ht="27.75" customHeight="1">
      <c r="A35" s="159" t="s">
        <v>98</v>
      </c>
      <c r="B35" s="160"/>
      <c r="C35" s="160"/>
      <c r="D35" s="160"/>
      <c r="E35" s="160"/>
    </row>
    <row r="36" spans="1:10">
      <c r="A36" s="91"/>
      <c r="B36" s="128"/>
    </row>
    <row r="37" spans="1:10" ht="15" thickBot="1"/>
    <row r="38" spans="1:10" ht="15.75" thickBot="1">
      <c r="A38" s="129" t="s">
        <v>87</v>
      </c>
      <c r="B38" s="130" t="s">
        <v>84</v>
      </c>
      <c r="C38" s="131" t="s">
        <v>85</v>
      </c>
      <c r="D38" s="132" t="s">
        <v>86</v>
      </c>
    </row>
    <row r="39" spans="1:10">
      <c r="A39" s="133" t="s">
        <v>76</v>
      </c>
      <c r="B39" s="134">
        <f>+E16+E34</f>
        <v>841187.17599663045</v>
      </c>
      <c r="C39" s="135">
        <f>+E17+E34</f>
        <v>707478.22361567803</v>
      </c>
      <c r="D39" s="136">
        <f>+E18+E34</f>
        <v>599674.08199663041</v>
      </c>
    </row>
    <row r="40" spans="1:10">
      <c r="A40" s="137" t="s">
        <v>77</v>
      </c>
      <c r="B40" s="138">
        <f>+'Avg. Power Allocation'!J33</f>
        <v>1817364</v>
      </c>
      <c r="C40" s="139">
        <f>+'Avg. Power Allocation'!J33</f>
        <v>1817364</v>
      </c>
      <c r="D40" s="140">
        <f>+'Avg. Power Allocation'!J34</f>
        <v>1716564</v>
      </c>
    </row>
    <row r="41" spans="1:10" ht="15" thickBot="1">
      <c r="A41" s="141" t="s">
        <v>89</v>
      </c>
      <c r="B41" s="142">
        <f>+B39/B40</f>
        <v>0.46286114173970128</v>
      </c>
      <c r="C41" s="143">
        <f>+C39/C40</f>
        <v>0.38928812478715219</v>
      </c>
      <c r="D41" s="144">
        <f>+D39/D40</f>
        <v>0.34934560086115657</v>
      </c>
    </row>
    <row r="43" spans="1:10">
      <c r="A43" s="101" t="s">
        <v>106</v>
      </c>
      <c r="B43" s="101"/>
      <c r="C43" s="101"/>
      <c r="D43" s="101"/>
      <c r="E43" s="148"/>
      <c r="F43" s="107"/>
      <c r="G43" s="107"/>
      <c r="H43" s="107"/>
      <c r="I43" s="107"/>
      <c r="J43" s="107"/>
    </row>
    <row r="46" spans="1:10">
      <c r="A46" s="107"/>
      <c r="B46" s="107"/>
      <c r="C46" s="107"/>
      <c r="D46" s="107"/>
      <c r="E46" s="107"/>
    </row>
    <row r="47" spans="1:10">
      <c r="A47" s="107"/>
      <c r="B47" s="107"/>
      <c r="C47" s="107"/>
      <c r="D47" s="107"/>
      <c r="E47" s="107"/>
    </row>
    <row r="48" spans="1:10">
      <c r="A48" s="107"/>
      <c r="B48" s="145"/>
      <c r="C48" s="145"/>
      <c r="D48" s="145"/>
      <c r="E48" s="107"/>
    </row>
    <row r="49" spans="1:5">
      <c r="A49" s="107"/>
      <c r="B49" s="146"/>
      <c r="C49" s="146"/>
      <c r="D49" s="146"/>
      <c r="E49" s="107"/>
    </row>
    <row r="50" spans="1:5">
      <c r="A50" s="107"/>
      <c r="B50" s="145"/>
      <c r="C50" s="145"/>
      <c r="D50" s="145"/>
      <c r="E50" s="107"/>
    </row>
    <row r="51" spans="1:5">
      <c r="A51" s="147"/>
      <c r="B51" s="145"/>
      <c r="C51" s="145"/>
      <c r="D51" s="145"/>
      <c r="E51" s="107"/>
    </row>
    <row r="52" spans="1:5">
      <c r="A52" s="107"/>
      <c r="B52" s="107"/>
      <c r="C52" s="107"/>
      <c r="D52" s="107"/>
      <c r="E52" s="107"/>
    </row>
    <row r="53" spans="1:5">
      <c r="A53" s="107"/>
      <c r="B53" s="107"/>
      <c r="C53" s="107"/>
      <c r="D53" s="107"/>
      <c r="E53" s="107"/>
    </row>
  </sheetData>
  <mergeCells count="1">
    <mergeCell ref="A35:E35"/>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dimension ref="A1:O38"/>
  <sheetViews>
    <sheetView zoomScale="75" zoomScaleNormal="75" workbookViewId="0">
      <selection activeCell="M26" sqref="M26"/>
    </sheetView>
  </sheetViews>
  <sheetFormatPr defaultRowHeight="14.25"/>
  <cols>
    <col min="1" max="1" width="40" style="93" customWidth="1"/>
    <col min="2" max="2" width="11.42578125" style="93" customWidth="1"/>
    <col min="3" max="3" width="11.85546875" style="93" customWidth="1"/>
    <col min="4" max="4" width="11.5703125" style="93" hidden="1" customWidth="1"/>
    <col min="5" max="5" width="12" style="93" hidden="1" customWidth="1"/>
    <col min="6" max="6" width="12.7109375" style="93" hidden="1" customWidth="1"/>
    <col min="7" max="7" width="13" style="93" hidden="1" customWidth="1"/>
    <col min="8" max="8" width="13.140625" style="93" customWidth="1"/>
    <col min="9" max="9" width="12.42578125" style="93" hidden="1" customWidth="1"/>
    <col min="10" max="10" width="12.140625" style="93" hidden="1" customWidth="1"/>
    <col min="11" max="11" width="10.28515625" style="93" bestFit="1" customWidth="1"/>
    <col min="12" max="12" width="9.85546875" style="93" customWidth="1"/>
    <col min="13" max="13" width="15.7109375" style="93" bestFit="1" customWidth="1"/>
    <col min="14" max="14" width="13.28515625" style="93" customWidth="1"/>
    <col min="15" max="15" width="12.28515625" style="93" bestFit="1" customWidth="1"/>
    <col min="16" max="16384" width="9.140625" style="93"/>
  </cols>
  <sheetData>
    <row r="1" spans="1:15" ht="15" customHeight="1">
      <c r="A1" s="92"/>
    </row>
    <row r="2" spans="1:15" ht="15" customHeight="1">
      <c r="A2" s="92" t="s">
        <v>92</v>
      </c>
    </row>
    <row r="3" spans="1:15" ht="15" customHeight="1"/>
    <row r="4" spans="1:15" ht="44.25" customHeight="1">
      <c r="A4" s="94"/>
      <c r="B4" s="95"/>
      <c r="C4" s="150" t="s">
        <v>29</v>
      </c>
      <c r="D4" s="96" t="s">
        <v>8</v>
      </c>
      <c r="E4" s="96" t="s">
        <v>9</v>
      </c>
      <c r="F4" s="96" t="s">
        <v>8</v>
      </c>
      <c r="G4" s="96" t="s">
        <v>9</v>
      </c>
      <c r="H4" s="96" t="s">
        <v>8</v>
      </c>
      <c r="I4" s="96" t="s">
        <v>9</v>
      </c>
      <c r="J4" s="152" t="s">
        <v>3</v>
      </c>
      <c r="K4" s="95"/>
      <c r="L4" s="156" t="s">
        <v>99</v>
      </c>
    </row>
    <row r="5" spans="1:15" ht="15" customHeight="1" thickBot="1">
      <c r="A5" s="7" t="s">
        <v>0</v>
      </c>
      <c r="B5" s="6" t="s">
        <v>7</v>
      </c>
      <c r="C5" s="151"/>
      <c r="D5" s="22" t="s">
        <v>1</v>
      </c>
      <c r="E5" s="23" t="s">
        <v>2</v>
      </c>
      <c r="F5" s="24" t="s">
        <v>1</v>
      </c>
      <c r="G5" s="23" t="s">
        <v>2</v>
      </c>
      <c r="H5" s="24" t="s">
        <v>1</v>
      </c>
      <c r="I5" s="23" t="s">
        <v>2</v>
      </c>
      <c r="J5" s="153"/>
      <c r="K5" s="97" t="s">
        <v>64</v>
      </c>
      <c r="L5" s="157"/>
    </row>
    <row r="6" spans="1:15" ht="15" hidden="1" customHeight="1">
      <c r="A6" s="8" t="s">
        <v>10</v>
      </c>
      <c r="B6" s="1" t="s">
        <v>6</v>
      </c>
      <c r="C6" s="27"/>
      <c r="D6" s="1">
        <v>97</v>
      </c>
      <c r="E6" s="1">
        <v>97</v>
      </c>
      <c r="F6" s="1">
        <v>39</v>
      </c>
      <c r="G6" s="1">
        <v>39</v>
      </c>
      <c r="H6" s="2">
        <v>65</v>
      </c>
      <c r="I6" s="2">
        <v>65</v>
      </c>
      <c r="J6" s="2">
        <v>65</v>
      </c>
      <c r="K6" s="98"/>
      <c r="L6" s="99"/>
    </row>
    <row r="7" spans="1:15" ht="15" hidden="1" customHeight="1">
      <c r="A7" s="8" t="s">
        <v>11</v>
      </c>
      <c r="B7" s="4" t="s">
        <v>4</v>
      </c>
      <c r="C7" s="27"/>
      <c r="D7" s="9">
        <v>421.8</v>
      </c>
      <c r="E7" s="9">
        <v>320.89999999999998</v>
      </c>
      <c r="F7" s="9">
        <v>409.1</v>
      </c>
      <c r="G7" s="9">
        <v>309.2</v>
      </c>
      <c r="H7" s="10">
        <v>416</v>
      </c>
      <c r="I7" s="10">
        <v>315.2</v>
      </c>
      <c r="J7" s="10">
        <v>382.4</v>
      </c>
      <c r="K7" s="100"/>
      <c r="L7" s="101"/>
    </row>
    <row r="8" spans="1:15" ht="15" hidden="1" customHeight="1" thickBot="1">
      <c r="A8" s="8" t="s">
        <v>12</v>
      </c>
      <c r="B8" s="4" t="s">
        <v>4</v>
      </c>
      <c r="C8" s="4"/>
      <c r="D8" s="9">
        <v>3.5</v>
      </c>
      <c r="E8" s="9">
        <v>11.3</v>
      </c>
      <c r="F8" s="9">
        <v>3.5</v>
      </c>
      <c r="G8" s="9">
        <v>11.3</v>
      </c>
      <c r="H8" s="10">
        <v>3.5</v>
      </c>
      <c r="I8" s="10">
        <v>11.3</v>
      </c>
      <c r="J8" s="10">
        <v>6.1</v>
      </c>
      <c r="K8" s="100"/>
      <c r="L8" s="101"/>
    </row>
    <row r="9" spans="1:15" ht="15" customHeight="1">
      <c r="A9" s="8" t="s">
        <v>13</v>
      </c>
      <c r="B9" s="4" t="s">
        <v>4</v>
      </c>
      <c r="C9" s="4" t="s">
        <v>32</v>
      </c>
      <c r="D9" s="9">
        <v>418.3</v>
      </c>
      <c r="E9" s="9">
        <v>309.60000000000002</v>
      </c>
      <c r="F9" s="9">
        <v>405.6</v>
      </c>
      <c r="G9" s="9">
        <v>297.89999999999998</v>
      </c>
      <c r="H9" s="10">
        <v>412.5</v>
      </c>
      <c r="I9" s="10">
        <v>303.89999999999998</v>
      </c>
      <c r="J9" s="10">
        <v>376.3</v>
      </c>
      <c r="K9" s="76">
        <f>+IF(C9="p",1,IF(C9="A",$O$10,0))</f>
        <v>1</v>
      </c>
      <c r="L9" s="31">
        <f>+H9*K9</f>
        <v>412.5</v>
      </c>
      <c r="M9" s="103" t="s">
        <v>69</v>
      </c>
      <c r="N9" s="104"/>
      <c r="O9" s="105" t="s">
        <v>91</v>
      </c>
    </row>
    <row r="10" spans="1:15" ht="15" customHeight="1">
      <c r="A10" s="8" t="s">
        <v>14</v>
      </c>
      <c r="B10" s="4" t="s">
        <v>4</v>
      </c>
      <c r="C10" s="27"/>
      <c r="D10" s="9">
        <v>150.5</v>
      </c>
      <c r="E10" s="9">
        <v>164.1</v>
      </c>
      <c r="F10" s="9">
        <v>150.5</v>
      </c>
      <c r="G10" s="9">
        <v>164.1</v>
      </c>
      <c r="H10" s="85">
        <v>150.5</v>
      </c>
      <c r="I10" s="10">
        <v>164.1</v>
      </c>
      <c r="J10" s="10">
        <v>155</v>
      </c>
      <c r="K10" s="77"/>
      <c r="L10" s="32"/>
      <c r="M10" s="106" t="s">
        <v>67</v>
      </c>
      <c r="N10" s="107"/>
      <c r="O10" s="33">
        <v>0.71299999999999997</v>
      </c>
    </row>
    <row r="11" spans="1:15" ht="15" customHeight="1">
      <c r="A11" s="3" t="s">
        <v>15</v>
      </c>
      <c r="B11" s="4" t="s">
        <v>4</v>
      </c>
      <c r="C11" s="30" t="s">
        <v>66</v>
      </c>
      <c r="D11" s="11">
        <v>12.1</v>
      </c>
      <c r="E11" s="11">
        <v>12.1</v>
      </c>
      <c r="F11" s="11">
        <v>12.1</v>
      </c>
      <c r="G11" s="11">
        <v>12.1</v>
      </c>
      <c r="H11" s="83">
        <v>12.1</v>
      </c>
      <c r="I11" s="11">
        <v>12.1</v>
      </c>
      <c r="J11" s="12">
        <v>12.1</v>
      </c>
      <c r="K11" s="76">
        <f>+IF(C11="p",1,IF(C11="A",$O$10,0))</f>
        <v>0.71299999999999997</v>
      </c>
      <c r="L11" s="86">
        <f t="shared" ref="L11:L25" si="0">+H11*K11</f>
        <v>8.6273</v>
      </c>
      <c r="M11" s="106"/>
      <c r="N11" s="107"/>
      <c r="O11" s="78"/>
    </row>
    <row r="12" spans="1:15" ht="15" customHeight="1">
      <c r="A12" s="3" t="s">
        <v>16</v>
      </c>
      <c r="B12" s="4" t="s">
        <v>4</v>
      </c>
      <c r="C12" s="30" t="s">
        <v>66</v>
      </c>
      <c r="D12" s="11">
        <v>0.9</v>
      </c>
      <c r="E12" s="11">
        <v>0.9</v>
      </c>
      <c r="F12" s="11">
        <v>0.9</v>
      </c>
      <c r="G12" s="11">
        <v>0.9</v>
      </c>
      <c r="H12" s="83">
        <v>0.9</v>
      </c>
      <c r="I12" s="11">
        <v>0.9</v>
      </c>
      <c r="J12" s="12">
        <v>0.9</v>
      </c>
      <c r="K12" s="76">
        <f>+IF(C12="p",1,IF(C12="A",$O$10,0))</f>
        <v>0.71299999999999997</v>
      </c>
      <c r="L12" s="86">
        <f t="shared" si="0"/>
        <v>0.64169999999999994</v>
      </c>
      <c r="M12" s="106"/>
      <c r="N12" s="107"/>
      <c r="O12" s="110"/>
    </row>
    <row r="13" spans="1:15" ht="15" customHeight="1" thickBot="1">
      <c r="A13" s="3" t="s">
        <v>17</v>
      </c>
      <c r="B13" s="4" t="s">
        <v>4</v>
      </c>
      <c r="C13" s="30" t="s">
        <v>66</v>
      </c>
      <c r="D13" s="11">
        <v>19.3</v>
      </c>
      <c r="E13" s="11">
        <v>19.3</v>
      </c>
      <c r="F13" s="11">
        <v>19.3</v>
      </c>
      <c r="G13" s="11">
        <v>19.3</v>
      </c>
      <c r="H13" s="83">
        <v>19.3</v>
      </c>
      <c r="I13" s="9">
        <v>19.3</v>
      </c>
      <c r="J13" s="12">
        <v>19.3</v>
      </c>
      <c r="K13" s="76">
        <f>+IF(C13="p",1,IF(C13="A",$O$10,0))</f>
        <v>0.71299999999999997</v>
      </c>
      <c r="L13" s="86">
        <f t="shared" si="0"/>
        <v>13.760899999999999</v>
      </c>
      <c r="M13" s="111" t="s">
        <v>71</v>
      </c>
      <c r="N13" s="112"/>
      <c r="O13" s="113">
        <f>+(77*O10+27.6)/(109)</f>
        <v>0.75688990825688074</v>
      </c>
    </row>
    <row r="14" spans="1:15" ht="15" customHeight="1">
      <c r="A14" s="5" t="s">
        <v>18</v>
      </c>
      <c r="B14" s="4" t="s">
        <v>4</v>
      </c>
      <c r="C14" s="30" t="s">
        <v>66</v>
      </c>
      <c r="D14" s="11">
        <v>2</v>
      </c>
      <c r="E14" s="11">
        <v>2</v>
      </c>
      <c r="F14" s="11">
        <v>2</v>
      </c>
      <c r="G14" s="11">
        <v>2</v>
      </c>
      <c r="H14" s="83">
        <v>2</v>
      </c>
      <c r="I14" s="11">
        <v>2</v>
      </c>
      <c r="J14" s="11">
        <v>2</v>
      </c>
      <c r="K14" s="76">
        <f>+IF(C14="p",1,IF(C14="A",$O$10,0))</f>
        <v>0.71299999999999997</v>
      </c>
      <c r="L14" s="81">
        <f t="shared" si="0"/>
        <v>1.4259999999999999</v>
      </c>
    </row>
    <row r="15" spans="1:15" ht="15" customHeight="1">
      <c r="A15" s="3" t="s">
        <v>19</v>
      </c>
      <c r="B15" s="4" t="s">
        <v>4</v>
      </c>
      <c r="C15" s="30" t="s">
        <v>32</v>
      </c>
      <c r="D15" s="11">
        <v>36.1</v>
      </c>
      <c r="E15" s="11">
        <v>36.1</v>
      </c>
      <c r="F15" s="11">
        <v>36.1</v>
      </c>
      <c r="G15" s="11">
        <v>36.1</v>
      </c>
      <c r="H15" s="83">
        <v>36.1</v>
      </c>
      <c r="I15" s="11">
        <v>36.1</v>
      </c>
      <c r="J15" s="11">
        <v>36.1</v>
      </c>
      <c r="K15" s="76">
        <f>+IF(C15="p",1,IF(C15="A",$O$10,0))</f>
        <v>1</v>
      </c>
      <c r="L15" s="81">
        <f t="shared" si="0"/>
        <v>36.1</v>
      </c>
    </row>
    <row r="16" spans="1:15" ht="15" customHeight="1">
      <c r="A16" s="3" t="s">
        <v>20</v>
      </c>
      <c r="B16" s="4" t="s">
        <v>4</v>
      </c>
      <c r="C16" s="30" t="s">
        <v>66</v>
      </c>
      <c r="D16" s="11">
        <v>33.299999999999997</v>
      </c>
      <c r="E16" s="11">
        <v>46.8</v>
      </c>
      <c r="F16" s="11">
        <v>33.299999999999997</v>
      </c>
      <c r="G16" s="11">
        <v>46.8</v>
      </c>
      <c r="H16" s="83">
        <v>33.299999999999997</v>
      </c>
      <c r="I16" s="11">
        <v>46.8</v>
      </c>
      <c r="J16" s="11">
        <v>37.799999999999997</v>
      </c>
      <c r="K16" s="76">
        <f>+'Avg. Power Allocation'!K16</f>
        <v>0.32450000000000001</v>
      </c>
      <c r="L16" s="81">
        <f t="shared" si="0"/>
        <v>10.80585</v>
      </c>
      <c r="M16" s="93" t="s">
        <v>101</v>
      </c>
    </row>
    <row r="17" spans="1:15" ht="15" customHeight="1">
      <c r="A17" s="3" t="s">
        <v>47</v>
      </c>
      <c r="B17" s="4" t="s">
        <v>4</v>
      </c>
      <c r="C17" s="4" t="s">
        <v>41</v>
      </c>
      <c r="D17" s="11">
        <v>6.1</v>
      </c>
      <c r="E17" s="11">
        <v>6.1</v>
      </c>
      <c r="F17" s="11">
        <v>6.1</v>
      </c>
      <c r="G17" s="11">
        <v>6.1</v>
      </c>
      <c r="H17" s="83">
        <v>6.1</v>
      </c>
      <c r="I17" s="11">
        <v>6.1</v>
      </c>
      <c r="J17" s="11">
        <v>6.1</v>
      </c>
      <c r="K17" s="76">
        <f>+IF(C17="p",1,IF(C17="A",$O$10,0))</f>
        <v>0</v>
      </c>
      <c r="L17" s="81">
        <f t="shared" si="0"/>
        <v>0</v>
      </c>
    </row>
    <row r="18" spans="1:15" ht="15" customHeight="1">
      <c r="A18" s="3" t="s">
        <v>21</v>
      </c>
      <c r="B18" s="4" t="s">
        <v>4</v>
      </c>
      <c r="C18" s="4" t="s">
        <v>41</v>
      </c>
      <c r="D18" s="11">
        <v>6</v>
      </c>
      <c r="E18" s="11">
        <v>6</v>
      </c>
      <c r="F18" s="11">
        <v>6</v>
      </c>
      <c r="G18" s="11">
        <v>6</v>
      </c>
      <c r="H18" s="83">
        <v>6</v>
      </c>
      <c r="I18" s="11">
        <v>6</v>
      </c>
      <c r="J18" s="11">
        <v>6</v>
      </c>
      <c r="K18" s="76">
        <f>+IF(C18="p",1,IF(C18="A",$O$10,0))</f>
        <v>0</v>
      </c>
      <c r="L18" s="81">
        <f t="shared" si="0"/>
        <v>0</v>
      </c>
    </row>
    <row r="19" spans="1:15" ht="15" customHeight="1">
      <c r="A19" s="5" t="s">
        <v>22</v>
      </c>
      <c r="B19" s="4" t="s">
        <v>4</v>
      </c>
      <c r="C19" s="4" t="s">
        <v>32</v>
      </c>
      <c r="D19" s="11">
        <v>5.7</v>
      </c>
      <c r="E19" s="11">
        <v>5.4</v>
      </c>
      <c r="F19" s="11">
        <v>5.7</v>
      </c>
      <c r="G19" s="11">
        <v>5.4</v>
      </c>
      <c r="H19" s="87">
        <v>5.7</v>
      </c>
      <c r="I19" s="13">
        <v>5.4</v>
      </c>
      <c r="J19" s="14">
        <v>5.6</v>
      </c>
      <c r="K19" s="76">
        <f>+IF(C19="p",1,IF(C19="A",$O$10,0))</f>
        <v>1</v>
      </c>
      <c r="L19" s="81">
        <f t="shared" si="0"/>
        <v>5.7</v>
      </c>
    </row>
    <row r="20" spans="1:15" ht="15" customHeight="1">
      <c r="A20" s="5" t="s">
        <v>23</v>
      </c>
      <c r="B20" s="4" t="s">
        <v>4</v>
      </c>
      <c r="C20" s="30" t="s">
        <v>66</v>
      </c>
      <c r="D20" s="11">
        <v>6.4</v>
      </c>
      <c r="E20" s="11">
        <v>6.4</v>
      </c>
      <c r="F20" s="11">
        <v>6.4</v>
      </c>
      <c r="G20" s="11">
        <v>6.4</v>
      </c>
      <c r="H20" s="87">
        <v>6.4</v>
      </c>
      <c r="I20" s="13">
        <v>6.4</v>
      </c>
      <c r="J20" s="14">
        <v>6.4</v>
      </c>
      <c r="K20" s="76">
        <f>+'Avg. Power Allocation'!K20</f>
        <v>0.67156249999999995</v>
      </c>
      <c r="L20" s="81">
        <f t="shared" si="0"/>
        <v>4.298</v>
      </c>
      <c r="M20" s="93" t="s">
        <v>102</v>
      </c>
      <c r="O20" s="115"/>
    </row>
    <row r="21" spans="1:15" ht="15" customHeight="1">
      <c r="A21" s="3" t="s">
        <v>24</v>
      </c>
      <c r="B21" s="4" t="s">
        <v>4</v>
      </c>
      <c r="C21" s="4" t="s">
        <v>32</v>
      </c>
      <c r="D21" s="11">
        <v>4</v>
      </c>
      <c r="E21" s="11">
        <v>4</v>
      </c>
      <c r="F21" s="11">
        <v>4</v>
      </c>
      <c r="G21" s="11">
        <v>4</v>
      </c>
      <c r="H21" s="83">
        <v>4</v>
      </c>
      <c r="I21" s="11">
        <v>4</v>
      </c>
      <c r="J21" s="11">
        <v>4</v>
      </c>
      <c r="K21" s="76">
        <f>+IF(C21="p",1,IF(C21="A",$O$10,0))</f>
        <v>1</v>
      </c>
      <c r="L21" s="81">
        <f t="shared" si="0"/>
        <v>4</v>
      </c>
    </row>
    <row r="22" spans="1:15" ht="15" customHeight="1">
      <c r="A22" s="3" t="s">
        <v>25</v>
      </c>
      <c r="B22" s="4" t="s">
        <v>4</v>
      </c>
      <c r="C22" s="30" t="s">
        <v>66</v>
      </c>
      <c r="D22" s="11">
        <v>9.6999999999999993</v>
      </c>
      <c r="E22" s="11">
        <v>9.6999999999999993</v>
      </c>
      <c r="F22" s="11">
        <v>9.6999999999999993</v>
      </c>
      <c r="G22" s="11">
        <v>9.6999999999999993</v>
      </c>
      <c r="H22" s="82">
        <v>9.6999999999999993</v>
      </c>
      <c r="I22" s="12">
        <v>9.6999999999999993</v>
      </c>
      <c r="J22" s="12">
        <v>9.6999999999999993</v>
      </c>
      <c r="K22" s="76">
        <f>+'Avg. Power Allocation'!K22</f>
        <v>0.33453608247422684</v>
      </c>
      <c r="L22" s="81">
        <f t="shared" si="0"/>
        <v>3.2450000000000001</v>
      </c>
      <c r="M22" s="93" t="s">
        <v>103</v>
      </c>
    </row>
    <row r="23" spans="1:15" ht="15" customHeight="1">
      <c r="A23" s="3" t="s">
        <v>26</v>
      </c>
      <c r="B23" s="4" t="s">
        <v>4</v>
      </c>
      <c r="C23" s="4" t="s">
        <v>41</v>
      </c>
      <c r="D23" s="11">
        <v>0.6</v>
      </c>
      <c r="E23" s="11">
        <v>0.6</v>
      </c>
      <c r="F23" s="11">
        <v>0.6</v>
      </c>
      <c r="G23" s="11">
        <v>0.6</v>
      </c>
      <c r="H23" s="83">
        <v>0.6</v>
      </c>
      <c r="I23" s="11">
        <v>0.6</v>
      </c>
      <c r="J23" s="12">
        <v>0.6</v>
      </c>
      <c r="K23" s="76">
        <f>+IF(C23="p",1,IF(C23="A",$O$10,0))</f>
        <v>0</v>
      </c>
      <c r="L23" s="81">
        <f t="shared" si="0"/>
        <v>0</v>
      </c>
    </row>
    <row r="24" spans="1:15" ht="15" customHeight="1">
      <c r="A24" s="3" t="s">
        <v>27</v>
      </c>
      <c r="B24" s="4" t="s">
        <v>4</v>
      </c>
      <c r="C24" s="30" t="s">
        <v>66</v>
      </c>
      <c r="D24" s="11">
        <v>8.3000000000000007</v>
      </c>
      <c r="E24" s="11">
        <v>8.6999999999999993</v>
      </c>
      <c r="F24" s="11">
        <v>8.3000000000000007</v>
      </c>
      <c r="G24" s="11">
        <v>8.6999999999999993</v>
      </c>
      <c r="H24" s="83">
        <v>8.3000000000000007</v>
      </c>
      <c r="I24" s="11">
        <v>8.6999999999999993</v>
      </c>
      <c r="J24" s="12">
        <v>8.4</v>
      </c>
      <c r="K24" s="76">
        <f>+IF(C24="p",1,IF(C24="A",$O$10,0))</f>
        <v>0.71299999999999997</v>
      </c>
      <c r="L24" s="81">
        <f t="shared" si="0"/>
        <v>5.9179000000000004</v>
      </c>
    </row>
    <row r="25" spans="1:15" ht="15" customHeight="1">
      <c r="A25" s="3" t="s">
        <v>70</v>
      </c>
      <c r="B25" s="4" t="s">
        <v>4</v>
      </c>
      <c r="C25" s="30" t="s">
        <v>66</v>
      </c>
      <c r="D25" s="11"/>
      <c r="E25" s="11"/>
      <c r="F25" s="11"/>
      <c r="G25" s="11"/>
      <c r="H25" s="83">
        <v>109</v>
      </c>
      <c r="I25" s="11"/>
      <c r="J25" s="12">
        <f>(109*16+102.6*8)/24</f>
        <v>106.86666666666667</v>
      </c>
      <c r="K25" s="76">
        <f>+O13</f>
        <v>0.75688990825688074</v>
      </c>
      <c r="L25" s="81">
        <f t="shared" si="0"/>
        <v>82.501000000000005</v>
      </c>
      <c r="M25" s="93" t="s">
        <v>108</v>
      </c>
    </row>
    <row r="26" spans="1:15" ht="15" customHeight="1" thickBot="1">
      <c r="A26" s="8" t="s">
        <v>93</v>
      </c>
      <c r="B26" s="4" t="s">
        <v>4</v>
      </c>
      <c r="C26" s="27"/>
      <c r="D26" s="25">
        <f>D9-D10</f>
        <v>267.8</v>
      </c>
      <c r="E26" s="25">
        <f>E9-E10</f>
        <v>145.50000000000003</v>
      </c>
      <c r="F26" s="25">
        <f>F9-F10</f>
        <v>255.10000000000002</v>
      </c>
      <c r="G26" s="25">
        <f>G9-G10</f>
        <v>133.79999999999998</v>
      </c>
      <c r="H26" s="25">
        <f>H9-H10-H25</f>
        <v>153</v>
      </c>
      <c r="I26" s="25">
        <f>I9-I10</f>
        <v>139.79999999999998</v>
      </c>
      <c r="J26" s="25">
        <f>J9-J10-J25</f>
        <v>114.43333333333334</v>
      </c>
      <c r="K26" s="28"/>
      <c r="L26" s="79"/>
      <c r="M26" s="123">
        <f>+H10+H25-SUM(L11:L25)</f>
        <v>82.476349999999968</v>
      </c>
      <c r="N26" s="93" t="s">
        <v>97</v>
      </c>
    </row>
    <row r="27" spans="1:15" ht="15" thickBot="1">
      <c r="A27" s="8" t="s">
        <v>60</v>
      </c>
      <c r="B27" s="4" t="s">
        <v>4</v>
      </c>
      <c r="C27" s="117"/>
      <c r="D27" s="118"/>
      <c r="E27" s="118"/>
      <c r="F27" s="118"/>
      <c r="G27" s="118"/>
      <c r="H27" s="118"/>
      <c r="I27" s="118"/>
      <c r="J27" s="118"/>
      <c r="K27" s="29"/>
      <c r="L27" s="80">
        <f>+L9-SUM(L11:L25)</f>
        <v>235.47634999999997</v>
      </c>
    </row>
    <row r="28" spans="1:15" ht="36.75" customHeight="1">
      <c r="A28" s="158" t="s">
        <v>104</v>
      </c>
      <c r="B28" s="155"/>
      <c r="C28" s="155"/>
      <c r="D28" s="155"/>
      <c r="E28" s="155"/>
      <c r="F28" s="155"/>
      <c r="G28" s="155"/>
      <c r="H28" s="155"/>
      <c r="I28" s="155"/>
      <c r="J28" s="155"/>
      <c r="K28" s="155"/>
      <c r="L28" s="155"/>
    </row>
    <row r="29" spans="1:15" ht="117" customHeight="1">
      <c r="A29" s="26" t="s">
        <v>61</v>
      </c>
      <c r="B29" s="154" t="s">
        <v>63</v>
      </c>
      <c r="C29" s="155"/>
      <c r="J29" s="119"/>
    </row>
    <row r="30" spans="1:15">
      <c r="B30" s="1" t="s">
        <v>80</v>
      </c>
      <c r="C30" s="120" t="s">
        <v>81</v>
      </c>
      <c r="D30" s="120"/>
      <c r="E30" s="120"/>
      <c r="F30" s="120"/>
      <c r="G30" s="120"/>
      <c r="H30" s="120" t="s">
        <v>28</v>
      </c>
    </row>
    <row r="31" spans="1:15">
      <c r="A31" s="101" t="s">
        <v>79</v>
      </c>
      <c r="B31" s="121">
        <f>+L27</f>
        <v>235.47634999999997</v>
      </c>
      <c r="C31" s="120">
        <v>8000</v>
      </c>
      <c r="D31" s="120"/>
      <c r="E31" s="120"/>
      <c r="F31" s="120"/>
      <c r="G31" s="120"/>
      <c r="H31" s="120">
        <f>+B31*C31</f>
        <v>1883810.7999999998</v>
      </c>
    </row>
    <row r="32" spans="1:15">
      <c r="A32" s="101" t="s">
        <v>82</v>
      </c>
      <c r="B32" s="120">
        <v>300</v>
      </c>
      <c r="C32" s="120">
        <v>336</v>
      </c>
      <c r="D32" s="120"/>
      <c r="E32" s="120"/>
      <c r="F32" s="120"/>
      <c r="G32" s="120"/>
      <c r="H32" s="120">
        <f>+B32*C32</f>
        <v>100800</v>
      </c>
    </row>
    <row r="33" spans="1:11">
      <c r="A33" s="122"/>
      <c r="B33" s="124"/>
      <c r="C33" s="122" t="s">
        <v>28</v>
      </c>
      <c r="D33" s="124"/>
      <c r="E33" s="124"/>
      <c r="F33" s="124"/>
      <c r="G33" s="124"/>
      <c r="H33" s="120">
        <f>+H31+H32</f>
        <v>1984610.7999999998</v>
      </c>
    </row>
    <row r="34" spans="1:11">
      <c r="A34" s="122"/>
      <c r="B34" s="124"/>
      <c r="C34" s="122" t="s">
        <v>83</v>
      </c>
      <c r="D34" s="124"/>
      <c r="E34" s="124"/>
      <c r="F34" s="124"/>
      <c r="G34" s="124"/>
      <c r="H34" s="120">
        <f>+H31</f>
        <v>1883810.7999999998</v>
      </c>
    </row>
    <row r="36" spans="1:11">
      <c r="A36" s="93" t="s">
        <v>100</v>
      </c>
    </row>
    <row r="38" spans="1:11">
      <c r="A38" s="101" t="s">
        <v>106</v>
      </c>
      <c r="B38" s="101"/>
      <c r="C38" s="101"/>
      <c r="D38" s="101"/>
      <c r="E38" s="101"/>
      <c r="F38" s="101"/>
      <c r="G38" s="101"/>
      <c r="H38" s="101"/>
      <c r="I38" s="101"/>
      <c r="J38" s="101"/>
      <c r="K38" s="148"/>
    </row>
  </sheetData>
  <mergeCells count="5">
    <mergeCell ref="C4:C5"/>
    <mergeCell ref="J4:J5"/>
    <mergeCell ref="B29:C29"/>
    <mergeCell ref="L4:L5"/>
    <mergeCell ref="A28:L28"/>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52"/>
  <sheetViews>
    <sheetView zoomScale="75" zoomScaleNormal="75" workbookViewId="0">
      <selection activeCell="A42" sqref="A42:E42"/>
    </sheetView>
  </sheetViews>
  <sheetFormatPr defaultRowHeight="14.25"/>
  <cols>
    <col min="1" max="1" width="45.85546875" style="93" customWidth="1"/>
    <col min="2" max="2" width="12.42578125" style="93" customWidth="1"/>
    <col min="3" max="3" width="11.7109375" style="93" customWidth="1"/>
    <col min="4" max="4" width="13.140625" style="93" customWidth="1"/>
    <col min="5" max="5" width="15.5703125" style="93" customWidth="1"/>
    <col min="6" max="16384" width="9.140625" style="93"/>
  </cols>
  <sheetData>
    <row r="1" spans="1:9" ht="15" thickBot="1">
      <c r="A1" s="15" t="s">
        <v>94</v>
      </c>
      <c r="B1" s="16"/>
      <c r="C1" s="16"/>
      <c r="D1" s="16"/>
      <c r="E1" s="16"/>
    </row>
    <row r="2" spans="1:9" ht="25.5">
      <c r="A2" s="50" t="s">
        <v>62</v>
      </c>
      <c r="B2" s="51" t="s">
        <v>73</v>
      </c>
      <c r="C2" s="52" t="s">
        <v>29</v>
      </c>
      <c r="D2" s="52" t="s">
        <v>64</v>
      </c>
      <c r="E2" s="53" t="s">
        <v>65</v>
      </c>
    </row>
    <row r="3" spans="1:9" ht="15" thickBot="1">
      <c r="A3" s="88" t="s">
        <v>30</v>
      </c>
      <c r="B3" s="17">
        <v>256900</v>
      </c>
      <c r="C3" s="18" t="s">
        <v>32</v>
      </c>
      <c r="D3" s="125">
        <f>+IF(C3="p",1,IF(C3="A",$H$4,0))</f>
        <v>1</v>
      </c>
      <c r="E3" s="55">
        <f>+B3*D3</f>
        <v>256900</v>
      </c>
      <c r="G3" s="35" t="s">
        <v>74</v>
      </c>
      <c r="H3" s="34"/>
      <c r="I3" s="107"/>
    </row>
    <row r="4" spans="1:9" ht="15" thickBot="1">
      <c r="A4" s="88" t="s">
        <v>31</v>
      </c>
      <c r="B4" s="17">
        <v>44729</v>
      </c>
      <c r="C4" s="18" t="s">
        <v>32</v>
      </c>
      <c r="D4" s="125">
        <f t="shared" ref="D4:D14" si="0">+IF(C4="p",1,IF(C4="A",$H$4,0))</f>
        <v>1</v>
      </c>
      <c r="E4" s="55">
        <f t="shared" ref="E4:E14" si="1">+B4*D4</f>
        <v>44729</v>
      </c>
      <c r="G4" s="74" t="s">
        <v>5</v>
      </c>
      <c r="H4" s="75">
        <v>0.71299999999999997</v>
      </c>
      <c r="I4" s="107"/>
    </row>
    <row r="5" spans="1:9" ht="15">
      <c r="A5" s="88" t="s">
        <v>96</v>
      </c>
      <c r="B5" s="17">
        <v>175493</v>
      </c>
      <c r="C5" s="37" t="s">
        <v>32</v>
      </c>
      <c r="D5" s="125">
        <f t="shared" si="0"/>
        <v>1</v>
      </c>
      <c r="E5" s="55">
        <f t="shared" si="1"/>
        <v>175493</v>
      </c>
      <c r="G5" s="72"/>
      <c r="H5" s="73"/>
      <c r="I5" s="107"/>
    </row>
    <row r="6" spans="1:9">
      <c r="A6" s="54" t="s">
        <v>33</v>
      </c>
      <c r="B6" s="17">
        <v>510</v>
      </c>
      <c r="C6" s="37" t="s">
        <v>66</v>
      </c>
      <c r="D6" s="125">
        <f t="shared" si="0"/>
        <v>0.71299999999999997</v>
      </c>
      <c r="E6" s="55">
        <f t="shared" si="1"/>
        <v>363.63</v>
      </c>
    </row>
    <row r="7" spans="1:9">
      <c r="A7" s="88" t="s">
        <v>34</v>
      </c>
      <c r="B7" s="17">
        <v>7742</v>
      </c>
      <c r="C7" s="37" t="s">
        <v>66</v>
      </c>
      <c r="D7" s="125">
        <f t="shared" si="0"/>
        <v>0.71299999999999997</v>
      </c>
      <c r="E7" s="55">
        <f t="shared" si="1"/>
        <v>5520.0459999999994</v>
      </c>
    </row>
    <row r="8" spans="1:9">
      <c r="A8" s="88" t="s">
        <v>35</v>
      </c>
      <c r="B8" s="17">
        <v>5736</v>
      </c>
      <c r="C8" s="37" t="s">
        <v>66</v>
      </c>
      <c r="D8" s="125">
        <f t="shared" si="0"/>
        <v>0.71299999999999997</v>
      </c>
      <c r="E8" s="55">
        <f t="shared" si="1"/>
        <v>4089.768</v>
      </c>
    </row>
    <row r="9" spans="1:9">
      <c r="A9" s="54" t="s">
        <v>36</v>
      </c>
      <c r="B9" s="17">
        <v>306</v>
      </c>
      <c r="C9" s="37" t="s">
        <v>66</v>
      </c>
      <c r="D9" s="125">
        <f t="shared" si="0"/>
        <v>0.71299999999999997</v>
      </c>
      <c r="E9" s="55">
        <f t="shared" si="1"/>
        <v>218.178</v>
      </c>
    </row>
    <row r="10" spans="1:9">
      <c r="A10" s="54" t="s">
        <v>37</v>
      </c>
      <c r="B10" s="17">
        <v>105</v>
      </c>
      <c r="C10" s="18" t="s">
        <v>38</v>
      </c>
      <c r="D10" s="125">
        <f t="shared" si="0"/>
        <v>0</v>
      </c>
      <c r="E10" s="55">
        <f t="shared" si="1"/>
        <v>0</v>
      </c>
    </row>
    <row r="11" spans="1:9">
      <c r="A11" s="88" t="s">
        <v>39</v>
      </c>
      <c r="B11" s="17">
        <v>24758</v>
      </c>
      <c r="C11" s="37" t="s">
        <v>66</v>
      </c>
      <c r="D11" s="125">
        <f t="shared" si="0"/>
        <v>0.71299999999999997</v>
      </c>
      <c r="E11" s="55">
        <f t="shared" si="1"/>
        <v>17652.453999999998</v>
      </c>
    </row>
    <row r="12" spans="1:9">
      <c r="A12" s="54" t="s">
        <v>40</v>
      </c>
      <c r="B12" s="17">
        <v>416</v>
      </c>
      <c r="C12" s="18" t="s">
        <v>41</v>
      </c>
      <c r="D12" s="125">
        <f t="shared" si="0"/>
        <v>0</v>
      </c>
      <c r="E12" s="55">
        <f t="shared" si="1"/>
        <v>0</v>
      </c>
    </row>
    <row r="13" spans="1:9">
      <c r="A13" s="54" t="s">
        <v>42</v>
      </c>
      <c r="B13" s="17">
        <v>116</v>
      </c>
      <c r="C13" s="18" t="s">
        <v>41</v>
      </c>
      <c r="D13" s="125">
        <f t="shared" si="0"/>
        <v>0</v>
      </c>
      <c r="E13" s="55">
        <f t="shared" si="1"/>
        <v>0</v>
      </c>
    </row>
    <row r="14" spans="1:9">
      <c r="A14" s="54" t="s">
        <v>43</v>
      </c>
      <c r="B14" s="17">
        <v>36</v>
      </c>
      <c r="C14" s="37" t="s">
        <v>66</v>
      </c>
      <c r="D14" s="125">
        <f t="shared" si="0"/>
        <v>0.71299999999999997</v>
      </c>
      <c r="E14" s="55">
        <f t="shared" si="1"/>
        <v>25.667999999999999</v>
      </c>
    </row>
    <row r="15" spans="1:9" ht="15" thickBot="1">
      <c r="A15" s="61"/>
      <c r="B15" s="36"/>
      <c r="C15" s="62"/>
      <c r="D15" s="62"/>
      <c r="E15" s="63"/>
    </row>
    <row r="16" spans="1:9">
      <c r="A16" s="64" t="s">
        <v>44</v>
      </c>
      <c r="B16" s="65">
        <f>SUM(B3:B14)</f>
        <v>516847</v>
      </c>
      <c r="C16" s="65"/>
      <c r="D16" s="65"/>
      <c r="E16" s="66">
        <f>SUM(E3:E14)</f>
        <v>504991.74400000001</v>
      </c>
    </row>
    <row r="17" spans="1:5">
      <c r="A17" s="56" t="s">
        <v>45</v>
      </c>
      <c r="B17" s="17">
        <f>B16-(B5*(1-120/504))</f>
        <v>383138.04761904763</v>
      </c>
      <c r="C17" s="17"/>
      <c r="D17" s="17"/>
      <c r="E17" s="57">
        <f>E16-(E5*(1-120/504))</f>
        <v>371282.79161904764</v>
      </c>
    </row>
    <row r="18" spans="1:5" ht="15" thickBot="1">
      <c r="A18" s="58" t="s">
        <v>46</v>
      </c>
      <c r="B18" s="59">
        <f>B3+B6+B8+B10+B13+B14</f>
        <v>263403</v>
      </c>
      <c r="C18" s="59"/>
      <c r="D18" s="59"/>
      <c r="E18" s="60">
        <f>E3+E6+E8+E10+E13+E14</f>
        <v>261379.06600000002</v>
      </c>
    </row>
    <row r="19" spans="1:5" ht="26.25" thickBot="1">
      <c r="A19" s="45" t="s">
        <v>72</v>
      </c>
      <c r="B19" s="46" t="s">
        <v>73</v>
      </c>
      <c r="C19" s="47" t="s">
        <v>29</v>
      </c>
      <c r="D19" s="48" t="s">
        <v>64</v>
      </c>
      <c r="E19" s="49" t="s">
        <v>65</v>
      </c>
    </row>
    <row r="20" spans="1:5">
      <c r="A20" s="89" t="s">
        <v>105</v>
      </c>
      <c r="B20" s="38">
        <v>34482.712422999997</v>
      </c>
      <c r="C20" s="42" t="s">
        <v>32</v>
      </c>
      <c r="D20" s="126">
        <f t="shared" ref="D20:D33" si="2">+IF(C20="p",1,IF(C20="A",$H$4,0))</f>
        <v>1</v>
      </c>
      <c r="E20" s="41">
        <f t="shared" ref="E20:E33" si="3">+B20*D20</f>
        <v>34482.712422999997</v>
      </c>
    </row>
    <row r="21" spans="1:5">
      <c r="A21" s="90" t="s">
        <v>48</v>
      </c>
      <c r="B21" s="39">
        <v>5747.1166689999991</v>
      </c>
      <c r="C21" s="43" t="s">
        <v>32</v>
      </c>
      <c r="D21" s="102">
        <f t="shared" si="2"/>
        <v>1</v>
      </c>
      <c r="E21" s="41">
        <f t="shared" si="3"/>
        <v>5747.1166689999991</v>
      </c>
    </row>
    <row r="22" spans="1:5">
      <c r="A22" s="90" t="s">
        <v>49</v>
      </c>
      <c r="B22" s="39">
        <v>2873.564539</v>
      </c>
      <c r="C22" s="43" t="s">
        <v>32</v>
      </c>
      <c r="D22" s="102">
        <f t="shared" si="2"/>
        <v>1</v>
      </c>
      <c r="E22" s="41">
        <f t="shared" si="3"/>
        <v>2873.564539</v>
      </c>
    </row>
    <row r="23" spans="1:5">
      <c r="A23" s="19" t="s">
        <v>50</v>
      </c>
      <c r="B23" s="39">
        <v>574.71042599999998</v>
      </c>
      <c r="C23" s="43" t="s">
        <v>32</v>
      </c>
      <c r="D23" s="102">
        <f t="shared" si="2"/>
        <v>1</v>
      </c>
      <c r="E23" s="41">
        <f t="shared" si="3"/>
        <v>574.71042599999998</v>
      </c>
    </row>
    <row r="24" spans="1:5">
      <c r="A24" s="19" t="s">
        <v>51</v>
      </c>
      <c r="B24" s="39">
        <v>2.7672069999999995</v>
      </c>
      <c r="C24" s="43" t="s">
        <v>38</v>
      </c>
      <c r="D24" s="102">
        <f t="shared" si="2"/>
        <v>0</v>
      </c>
      <c r="E24" s="41">
        <f t="shared" si="3"/>
        <v>0</v>
      </c>
    </row>
    <row r="25" spans="1:5">
      <c r="A25" s="90" t="s">
        <v>52</v>
      </c>
      <c r="B25" s="39">
        <v>6921.082523</v>
      </c>
      <c r="C25" s="43" t="s">
        <v>32</v>
      </c>
      <c r="D25" s="102">
        <f t="shared" si="2"/>
        <v>1</v>
      </c>
      <c r="E25" s="41">
        <f t="shared" si="3"/>
        <v>6921.082523</v>
      </c>
    </row>
    <row r="26" spans="1:5">
      <c r="A26" s="90" t="s">
        <v>53</v>
      </c>
      <c r="B26" s="39">
        <v>6533.139956</v>
      </c>
      <c r="C26" s="43" t="s">
        <v>32</v>
      </c>
      <c r="D26" s="102">
        <f t="shared" si="2"/>
        <v>1</v>
      </c>
      <c r="E26" s="41">
        <f t="shared" si="3"/>
        <v>6533.139956</v>
      </c>
    </row>
    <row r="27" spans="1:5">
      <c r="A27" s="19" t="s">
        <v>54</v>
      </c>
      <c r="B27" s="39">
        <v>43.282592000000001</v>
      </c>
      <c r="C27" s="43" t="s">
        <v>32</v>
      </c>
      <c r="D27" s="102">
        <f t="shared" si="2"/>
        <v>1</v>
      </c>
      <c r="E27" s="41">
        <f t="shared" si="3"/>
        <v>43.282592000000001</v>
      </c>
    </row>
    <row r="28" spans="1:5">
      <c r="A28" s="19" t="s">
        <v>55</v>
      </c>
      <c r="B28" s="39">
        <v>50.219222999999992</v>
      </c>
      <c r="C28" s="43" t="s">
        <v>32</v>
      </c>
      <c r="D28" s="102">
        <f t="shared" si="2"/>
        <v>1</v>
      </c>
      <c r="E28" s="41">
        <f t="shared" si="3"/>
        <v>50.219222999999992</v>
      </c>
    </row>
    <row r="29" spans="1:5">
      <c r="A29" s="19" t="s">
        <v>56</v>
      </c>
      <c r="B29" s="39">
        <v>1.0299469999999999</v>
      </c>
      <c r="C29" s="43" t="s">
        <v>32</v>
      </c>
      <c r="D29" s="102">
        <f t="shared" si="2"/>
        <v>1</v>
      </c>
      <c r="E29" s="41">
        <f t="shared" si="3"/>
        <v>1.0299469999999999</v>
      </c>
    </row>
    <row r="30" spans="1:5">
      <c r="A30" s="19" t="s">
        <v>57</v>
      </c>
      <c r="B30" s="39">
        <v>1.6503969999999999</v>
      </c>
      <c r="C30" s="43" t="s">
        <v>32</v>
      </c>
      <c r="D30" s="102">
        <f t="shared" si="2"/>
        <v>1</v>
      </c>
      <c r="E30" s="41">
        <f t="shared" si="3"/>
        <v>1.6503969999999999</v>
      </c>
    </row>
    <row r="31" spans="1:5">
      <c r="A31" s="90" t="s">
        <v>90</v>
      </c>
      <c r="B31" s="39">
        <v>281049.21796463046</v>
      </c>
      <c r="C31" s="43" t="s">
        <v>32</v>
      </c>
      <c r="D31" s="102">
        <f t="shared" si="2"/>
        <v>1</v>
      </c>
      <c r="E31" s="41">
        <f t="shared" si="3"/>
        <v>281049.21796463046</v>
      </c>
    </row>
    <row r="32" spans="1:5">
      <c r="A32" s="19" t="s">
        <v>58</v>
      </c>
      <c r="B32" s="39">
        <v>204.83536299999997</v>
      </c>
      <c r="C32" s="43" t="s">
        <v>32</v>
      </c>
      <c r="D32" s="102">
        <f t="shared" si="2"/>
        <v>1</v>
      </c>
      <c r="E32" s="41">
        <f t="shared" si="3"/>
        <v>204.83536299999997</v>
      </c>
    </row>
    <row r="33" spans="1:5" ht="15" thickBot="1">
      <c r="A33" s="20" t="s">
        <v>59</v>
      </c>
      <c r="B33" s="40">
        <v>214.50197399999999</v>
      </c>
      <c r="C33" s="44" t="s">
        <v>32</v>
      </c>
      <c r="D33" s="127">
        <f t="shared" si="2"/>
        <v>1</v>
      </c>
      <c r="E33" s="41">
        <f t="shared" si="3"/>
        <v>214.50197399999999</v>
      </c>
    </row>
    <row r="34" spans="1:5" ht="15" thickBot="1">
      <c r="A34" s="69" t="s">
        <v>75</v>
      </c>
      <c r="B34" s="70">
        <f>+SUM(B20:B33)</f>
        <v>338699.83120363049</v>
      </c>
      <c r="E34" s="21">
        <f>+SUM(E20:E33)</f>
        <v>338697.06399663043</v>
      </c>
    </row>
    <row r="35" spans="1:5" ht="24.75" customHeight="1">
      <c r="A35" s="159" t="s">
        <v>98</v>
      </c>
      <c r="B35" s="160"/>
      <c r="C35" s="160"/>
      <c r="D35" s="160"/>
      <c r="E35" s="160"/>
    </row>
    <row r="36" spans="1:5" ht="15" thickBot="1"/>
    <row r="37" spans="1:5" ht="15.75" thickBot="1">
      <c r="A37" s="129" t="s">
        <v>88</v>
      </c>
      <c r="B37" s="130" t="s">
        <v>84</v>
      </c>
      <c r="C37" s="131" t="s">
        <v>85</v>
      </c>
      <c r="D37" s="132" t="s">
        <v>86</v>
      </c>
    </row>
    <row r="38" spans="1:5">
      <c r="A38" s="133" t="s">
        <v>76</v>
      </c>
      <c r="B38" s="134">
        <f>+E16+E34</f>
        <v>843688.80799663044</v>
      </c>
      <c r="C38" s="135">
        <f>+E17+E34</f>
        <v>709979.85561567801</v>
      </c>
      <c r="D38" s="136">
        <f>+E18+E34</f>
        <v>600076.12999663048</v>
      </c>
    </row>
    <row r="39" spans="1:5">
      <c r="A39" s="137" t="s">
        <v>77</v>
      </c>
      <c r="B39" s="138">
        <f>+'Max Power Allocation'!H33</f>
        <v>1984610.7999999998</v>
      </c>
      <c r="C39" s="139">
        <f>+'Max Power Allocation'!H33</f>
        <v>1984610.7999999998</v>
      </c>
      <c r="D39" s="140">
        <f>+'Max Power Allocation'!H34</f>
        <v>1883810.7999999998</v>
      </c>
    </row>
    <row r="40" spans="1:5" ht="15" thickBot="1">
      <c r="A40" s="141" t="s">
        <v>89</v>
      </c>
      <c r="B40" s="142">
        <f>+B38/B39</f>
        <v>0.42511549770697132</v>
      </c>
      <c r="C40" s="143">
        <f>+C38/C39</f>
        <v>0.35774261412649677</v>
      </c>
      <c r="D40" s="144">
        <f>+D38/D39</f>
        <v>0.3185437359190374</v>
      </c>
    </row>
    <row r="42" spans="1:5">
      <c r="A42" s="101" t="s">
        <v>106</v>
      </c>
      <c r="B42" s="101"/>
      <c r="C42" s="101"/>
      <c r="D42" s="101"/>
      <c r="E42" s="148"/>
    </row>
    <row r="45" spans="1:5">
      <c r="A45" s="107"/>
      <c r="B45" s="107"/>
      <c r="C45" s="107"/>
      <c r="D45" s="107"/>
      <c r="E45" s="107"/>
    </row>
    <row r="46" spans="1:5">
      <c r="A46" s="107"/>
      <c r="B46" s="107"/>
      <c r="C46" s="107"/>
      <c r="D46" s="107"/>
      <c r="E46" s="107"/>
    </row>
    <row r="47" spans="1:5">
      <c r="A47" s="107"/>
      <c r="B47" s="145"/>
      <c r="C47" s="145"/>
      <c r="D47" s="145"/>
      <c r="E47" s="107"/>
    </row>
    <row r="48" spans="1:5">
      <c r="A48" s="107"/>
      <c r="B48" s="146"/>
      <c r="C48" s="146"/>
      <c r="D48" s="146"/>
      <c r="E48" s="107"/>
    </row>
    <row r="49" spans="1:5">
      <c r="A49" s="107"/>
      <c r="B49" s="145"/>
      <c r="C49" s="145"/>
      <c r="D49" s="145"/>
      <c r="E49" s="107"/>
    </row>
    <row r="50" spans="1:5">
      <c r="A50" s="147"/>
      <c r="B50" s="145"/>
      <c r="C50" s="145"/>
      <c r="D50" s="145"/>
      <c r="E50" s="107"/>
    </row>
    <row r="51" spans="1:5">
      <c r="A51" s="107"/>
      <c r="B51" s="107"/>
      <c r="C51" s="107"/>
      <c r="D51" s="107"/>
      <c r="E51" s="107"/>
    </row>
    <row r="52" spans="1:5">
      <c r="A52" s="107"/>
      <c r="B52" s="107"/>
      <c r="C52" s="107"/>
      <c r="D52" s="107"/>
      <c r="E52" s="107"/>
    </row>
  </sheetData>
  <mergeCells count="1">
    <mergeCell ref="A35:E3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08-AFC-08A</Docket_x0020_Number>
    <TaxCatchAll xmlns="8eef3743-c7b3-4cbe-8837-b6e805be353c">
      <Value>8</Value>
      <Value>6</Value>
      <Value>3</Value>
      <Value>33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Greenhouse Gases</TermName>
          <TermId xmlns="http://schemas.microsoft.com/office/infopath/2007/PartnerControls">2e1d6e9d-951f-4865-ae3d-2ad6e4c25d04</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Z5JXHV6S7NA6-3-68665</_dlc_DocId>
    <_dlc_DocIdUrl xmlns="8eef3743-c7b3-4cbe-8837-b6e805be353c">
      <Url>http://efilingspinternal/_layouts/DocIdRedir.aspx?ID=Z5JXHV6S7NA6-3-68665</Url>
      <Description>Z5JXHV6S7NA6-3-68665</Description>
    </_dlc_DocIdUrl>
  </documentManagement>
</p:properties>
</file>

<file path=customXml/itemProps1.xml><?xml version="1.0" encoding="utf-8"?>
<ds:datastoreItem xmlns:ds="http://schemas.openxmlformats.org/officeDocument/2006/customXml" ds:itemID="{55F797CC-406F-441C-93F2-6BF76816B97E}"/>
</file>

<file path=customXml/itemProps2.xml><?xml version="1.0" encoding="utf-8"?>
<ds:datastoreItem xmlns:ds="http://schemas.openxmlformats.org/officeDocument/2006/customXml" ds:itemID="{44BAC363-9752-43E4-8B4E-1CE9E25A3A94}"/>
</file>

<file path=customXml/itemProps3.xml><?xml version="1.0" encoding="utf-8"?>
<ds:datastoreItem xmlns:ds="http://schemas.openxmlformats.org/officeDocument/2006/customXml" ds:itemID="{716414BA-7981-4238-8F28-36FF37B8616A}"/>
</file>

<file path=customXml/itemProps4.xml><?xml version="1.0" encoding="utf-8"?>
<ds:datastoreItem xmlns:ds="http://schemas.openxmlformats.org/officeDocument/2006/customXml" ds:itemID="{C64A8083-C6E0-4443-A526-EC57B948FD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Avg. Power Allocation</vt:lpstr>
      <vt:lpstr>Avg.Emissions Allocation and EP</vt:lpstr>
      <vt:lpstr>Max Power Allocation</vt:lpstr>
      <vt:lpstr>Max Power Emissions and EP</vt:lpstr>
      <vt:lpstr>'Avg. Power Allocation'!Print_Area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HECA SB1368 Workshop Held on 11-13-2013 [replaces TN201207]</dc:title>
  <dc:creator>Jordanne Gregorio</dc:creator>
  <cp:lastModifiedBy>dscott</cp:lastModifiedBy>
  <dcterms:created xsi:type="dcterms:W3CDTF">2013-10-22T23:30:01Z</dcterms:created>
  <dcterms:modified xsi:type="dcterms:W3CDTF">2013-11-15T19:10:40Z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caa29c14-7e30-4faa-afb5-d13e84306a78</vt:lpwstr>
  </property>
  <property fmtid="{D5CDD505-2E9C-101B-9397-08002B2CF9AE}" pid="4" name="Subject_x0020_Areas">
    <vt:lpwstr>33;#Greenhouse Gases|2e1d6e9d-951f-4865-ae3d-2ad6e4c25d04</vt:lpwstr>
  </property>
  <property fmtid="{D5CDD505-2E9C-101B-9397-08002B2CF9AE}" pid="5" name="_CopySource">
    <vt:lpwstr>http://efilingspinternal/PendingDocuments/08-AFC-08A/20131115T112646_REVISED_HECA_SB1368_Workshop_Held_on_11132013_[replaces_TN20120.xlsx</vt:lpwstr>
  </property>
  <property fmtid="{D5CDD505-2E9C-101B-9397-08002B2CF9AE}" pid="6" name="Subject Areas">
    <vt:lpwstr>33;#Greenhouse Gases|2e1d6e9d-951f-4865-ae3d-2ad6e4c25d04</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131700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