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5.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6.xml" ContentType="application/vnd.openxmlformats-officedocument.drawing+xml"/>
  <Override PartName="/xl/worksheets/sheet3.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harts/chart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5128" windowHeight="12432" tabRatio="843" activeTab="1"/>
  </bookViews>
  <sheets>
    <sheet name="Home" sheetId="60" r:id="rId1"/>
    <sheet name="Program Analysis" sheetId="61" r:id="rId2"/>
    <sheet name="SB 350 Potential" sheetId="62" r:id="rId3"/>
    <sheet name="Reference" sheetId="63" r:id="rId4"/>
    <sheet name="Conservative" sheetId="64" r:id="rId5"/>
    <sheet name="Aggressive" sheetId="65" r:id="rId6"/>
    <sheet name="Graph (electricity)" sheetId="66" r:id="rId7"/>
    <sheet name="Graph (gas)" sheetId="67" r:id="rId8"/>
    <sheet name="Look-up" sheetId="43" r:id="rId9"/>
    <sheet name="POU BRO savings" sheetId="58" r:id="rId10"/>
    <sheet name="2018 PGT BRO 0609 for 2015-17" sheetId="55" r:id="rId11"/>
    <sheet name="addl HER savings" sheetId="59" r:id="rId12"/>
    <sheet name="Res P4P" sheetId="44" r:id="rId13"/>
    <sheet name="MAS savings" sheetId="56" r:id="rId14"/>
    <sheet name="Smart Thermostat" sheetId="52" r:id="rId15"/>
    <sheet name="HER eval vs Nav" sheetId="57" r:id="rId16"/>
    <sheet name="Navigant Measure Inputs" sheetId="49" r:id="rId17"/>
    <sheet name="Navigant Penetration Rates" sheetId="50" r:id="rId18"/>
    <sheet name="arch AMI RT" sheetId="53" r:id="rId19"/>
    <sheet name="arch 2018 PGT BRO 0609" sheetId="54" r:id="rId20"/>
    <sheet name="arch 2018 PGT BRO" sheetId="46" r:id="rId21"/>
  </sheets>
  <externalReferences>
    <externalReference r:id="rId22"/>
    <externalReference r:id="rId23"/>
    <externalReference r:id="rId24"/>
    <externalReference r:id="rId25"/>
    <externalReference r:id="rId26"/>
    <externalReference r:id="rId27"/>
  </externalReferences>
  <definedNames>
    <definedName name="_xlnm._FilterDatabase" localSheetId="16" hidden="1">'Navigant Measure Inputs'!$B$4:$AC$568</definedName>
    <definedName name="_ftn1" localSheetId="1">'Program Analysis'!$F$21</definedName>
    <definedName name="_ftn2" localSheetId="1">'Program Analysis'!$F$22</definedName>
    <definedName name="_ftn3" localSheetId="1">'Program Analysis'!$F$23</definedName>
    <definedName name="_ftn4" localSheetId="1">'Program Analysis'!$F$24</definedName>
    <definedName name="_ftnref1" localSheetId="1">'Program Analysis'!$F$9</definedName>
    <definedName name="_ftnref2" localSheetId="1">'Program Analysis'!$F$10</definedName>
    <definedName name="_ftnref3" localSheetId="1">'Program Analysis'!$F$11</definedName>
    <definedName name="_ftnref4" localSheetId="1">'Program Analysis'!$F$18</definedName>
    <definedName name="ACTION_FRACTION">'[1]BEARS Worksheet'!$T$85</definedName>
    <definedName name="anchor_first_data_row" localSheetId="0">'[2]County Data'!#REF!</definedName>
    <definedName name="anchor_first_data_row">'[2]County Data'!#REF!</definedName>
    <definedName name="Bldg_Sectors" localSheetId="2">'[3]Look-up'!$B$23:$C$23</definedName>
    <definedName name="Bldg_Sectors">'Look-up'!$B$23:$C$23</definedName>
    <definedName name="Cost_Scenario">'[4]Lists for Data Validation'!$O$3</definedName>
    <definedName name="County">[5]CleanData!$Z$2</definedName>
    <definedName name="Countylookup">[6]Finance!$A:$AF</definedName>
    <definedName name="Discount_Rate">'[4]Project Level Details'!$I$22</definedName>
    <definedName name="Electricity_Escalation_Rate">[4]Assumptions!$E$7</definedName>
    <definedName name="Interest_Rate">'[4]Project Level Details'!$I$21</definedName>
    <definedName name="LastRow" localSheetId="0">'[5]Data Table (Hide)'!#REF!</definedName>
    <definedName name="LastRow">'[5]Data Table (Hide)'!#REF!</definedName>
    <definedName name="Leverage">'[4]Lists for Data Validation'!$L$2</definedName>
    <definedName name="Loan_Term">'[4]Lists for Data Validation'!$P$2</definedName>
    <definedName name="Net_Project_Cost">'[4]Project Level Details'!$H$18</definedName>
    <definedName name="Nominal_Payback_Period">'[4]Payback Period Calculation'!$F$4:$F$29</definedName>
    <definedName name="Non_Residential">'Look-up'!$B$24:$B$35</definedName>
    <definedName name="NR_BldgTypes">'Look-up'!$B$24:$B$35</definedName>
    <definedName name="Programs" localSheetId="2">'[3]Look-up'!$A$4:$A$20</definedName>
    <definedName name="Programs">'Look-up'!$A$4:$A$20</definedName>
    <definedName name="RES_BldgTypes">'Look-up'!$C$24:$C$26</definedName>
    <definedName name="Residential">'Look-up'!$C$24:$C$26</definedName>
    <definedName name="Savings_Degredation_Rate">[4]Assumptions!$E$11</definedName>
    <definedName name="UtilizeFinancing">'[4]Lists for Data Validation'!$N$2</definedName>
  </definedNames>
  <calcPr calcId="145621"/>
</workbook>
</file>

<file path=xl/calcChain.xml><?xml version="1.0" encoding="utf-8"?>
<calcChain xmlns="http://schemas.openxmlformats.org/spreadsheetml/2006/main">
  <c r="U16" i="62" l="1"/>
  <c r="T16" i="62"/>
  <c r="S16" i="62"/>
  <c r="R16" i="62"/>
  <c r="Q16" i="62"/>
  <c r="P16" i="62"/>
  <c r="O16" i="62"/>
  <c r="N16" i="62"/>
  <c r="M16" i="62"/>
  <c r="L16" i="62"/>
  <c r="K16" i="62"/>
  <c r="J16" i="62"/>
  <c r="I16" i="62"/>
  <c r="H16" i="62"/>
  <c r="U15" i="62"/>
  <c r="T15" i="62"/>
  <c r="S15" i="62"/>
  <c r="R15" i="62"/>
  <c r="Q15" i="62"/>
  <c r="P15" i="62"/>
  <c r="O15" i="62"/>
  <c r="N15" i="62"/>
  <c r="M15" i="62"/>
  <c r="L15" i="62"/>
  <c r="K15" i="62"/>
  <c r="J15" i="62"/>
  <c r="I15" i="62"/>
  <c r="H15" i="62"/>
  <c r="U14" i="62"/>
  <c r="T14" i="62"/>
  <c r="S14" i="62"/>
  <c r="R14" i="62"/>
  <c r="Q14" i="62"/>
  <c r="P14" i="62"/>
  <c r="O14" i="62"/>
  <c r="N14" i="62"/>
  <c r="M14" i="62"/>
  <c r="L14" i="62"/>
  <c r="K14" i="62"/>
  <c r="J14" i="62"/>
  <c r="I14" i="62"/>
  <c r="H14" i="62"/>
  <c r="U11" i="62"/>
  <c r="T11" i="62"/>
  <c r="S11" i="62"/>
  <c r="R11" i="62"/>
  <c r="Q11" i="62"/>
  <c r="P11" i="62"/>
  <c r="O11" i="62"/>
  <c r="N11" i="62"/>
  <c r="M11" i="62"/>
  <c r="L11" i="62"/>
  <c r="K11" i="62"/>
  <c r="J11" i="62"/>
  <c r="I11" i="62"/>
  <c r="H11" i="62"/>
  <c r="U10" i="62"/>
  <c r="T10" i="62"/>
  <c r="S10" i="62"/>
  <c r="R10" i="62"/>
  <c r="Q10" i="62"/>
  <c r="P10" i="62"/>
  <c r="O10" i="62"/>
  <c r="N10" i="62"/>
  <c r="M10" i="62"/>
  <c r="L10" i="62"/>
  <c r="K10" i="62"/>
  <c r="J10" i="62"/>
  <c r="I10" i="62"/>
  <c r="H10" i="62"/>
  <c r="U9" i="62"/>
  <c r="T9" i="62"/>
  <c r="S9" i="62"/>
  <c r="R9" i="62"/>
  <c r="Q9" i="62"/>
  <c r="P9" i="62"/>
  <c r="O9" i="62"/>
  <c r="N9" i="62"/>
  <c r="M9" i="62"/>
  <c r="L9" i="62"/>
  <c r="K9" i="62"/>
  <c r="J9" i="62"/>
  <c r="I9" i="62"/>
  <c r="H9" i="62"/>
  <c r="U30" i="62"/>
  <c r="T30" i="62"/>
  <c r="S30" i="62"/>
  <c r="R30" i="62"/>
  <c r="Q30" i="62"/>
  <c r="P30" i="62"/>
  <c r="O30" i="62"/>
  <c r="N30" i="62"/>
  <c r="M30" i="62"/>
  <c r="L30" i="62"/>
  <c r="K30" i="62"/>
  <c r="J30" i="62"/>
  <c r="I30" i="62"/>
  <c r="H30" i="62"/>
  <c r="U29" i="62"/>
  <c r="T29" i="62"/>
  <c r="S29" i="62"/>
  <c r="R29" i="62"/>
  <c r="Q29" i="62"/>
  <c r="P29" i="62"/>
  <c r="O29" i="62"/>
  <c r="N29" i="62"/>
  <c r="M29" i="62"/>
  <c r="L29" i="62"/>
  <c r="K29" i="62"/>
  <c r="J29" i="62"/>
  <c r="I29" i="62"/>
  <c r="H29" i="62"/>
  <c r="U28" i="62"/>
  <c r="T28" i="62"/>
  <c r="S28" i="62"/>
  <c r="R28" i="62"/>
  <c r="Q28" i="62"/>
  <c r="P28" i="62"/>
  <c r="O28" i="62"/>
  <c r="N28" i="62"/>
  <c r="M28" i="62"/>
  <c r="L28" i="62"/>
  <c r="K28" i="62"/>
  <c r="J28" i="62"/>
  <c r="I28" i="62"/>
  <c r="H28" i="62"/>
  <c r="U25" i="62"/>
  <c r="T25" i="62"/>
  <c r="S25" i="62"/>
  <c r="R25" i="62"/>
  <c r="Q25" i="62"/>
  <c r="P25" i="62"/>
  <c r="O25" i="62"/>
  <c r="N25" i="62"/>
  <c r="M25" i="62"/>
  <c r="L25" i="62"/>
  <c r="K25" i="62"/>
  <c r="J25" i="62"/>
  <c r="I25" i="62"/>
  <c r="H25" i="62"/>
  <c r="U24" i="62"/>
  <c r="T24" i="62"/>
  <c r="S24" i="62"/>
  <c r="R24" i="62"/>
  <c r="Q24" i="62"/>
  <c r="P24" i="62"/>
  <c r="O24" i="62"/>
  <c r="N24" i="62"/>
  <c r="M24" i="62"/>
  <c r="L24" i="62"/>
  <c r="K24" i="62"/>
  <c r="J24" i="62"/>
  <c r="I24" i="62"/>
  <c r="H24" i="62"/>
  <c r="U23" i="62"/>
  <c r="T23" i="62"/>
  <c r="S23" i="62"/>
  <c r="R23" i="62"/>
  <c r="Q23" i="62"/>
  <c r="P23" i="62"/>
  <c r="O23" i="62"/>
  <c r="N23" i="62"/>
  <c r="M23" i="62"/>
  <c r="L23" i="62"/>
  <c r="K23" i="62"/>
  <c r="J23" i="62"/>
  <c r="I23" i="62"/>
  <c r="H23" i="62"/>
  <c r="G30" i="62"/>
  <c r="G29" i="62"/>
  <c r="G28" i="62"/>
  <c r="G25" i="62"/>
  <c r="G24" i="62"/>
  <c r="G23" i="62"/>
  <c r="G16" i="62"/>
  <c r="G15" i="62"/>
  <c r="G14" i="62"/>
  <c r="G11" i="62"/>
  <c r="G10" i="62"/>
  <c r="G9" i="62"/>
  <c r="S70" i="65"/>
  <c r="R70" i="65"/>
  <c r="Q70" i="65"/>
  <c r="P70" i="65"/>
  <c r="O70" i="65"/>
  <c r="N70" i="65"/>
  <c r="M70" i="65"/>
  <c r="L70" i="65"/>
  <c r="K70" i="65"/>
  <c r="J70" i="65"/>
  <c r="I70" i="65"/>
  <c r="H70" i="65"/>
  <c r="G70" i="65"/>
  <c r="F70" i="65"/>
  <c r="E70" i="65"/>
  <c r="S67" i="64"/>
  <c r="R67" i="64"/>
  <c r="Q67" i="64"/>
  <c r="P67" i="64"/>
  <c r="O67" i="64"/>
  <c r="N67" i="64"/>
  <c r="M67" i="64"/>
  <c r="L67" i="64"/>
  <c r="K67" i="64"/>
  <c r="J67" i="64"/>
  <c r="I67" i="64"/>
  <c r="H67" i="64"/>
  <c r="G67" i="64"/>
  <c r="F67" i="64"/>
  <c r="E67" i="64"/>
  <c r="S71" i="65"/>
  <c r="R71" i="65"/>
  <c r="Q71" i="65"/>
  <c r="P71" i="65"/>
  <c r="O71" i="65"/>
  <c r="N71" i="65"/>
  <c r="M71" i="65"/>
  <c r="L71" i="65"/>
  <c r="K71" i="65"/>
  <c r="J71" i="65"/>
  <c r="I71" i="65"/>
  <c r="H71" i="65"/>
  <c r="G71" i="65"/>
  <c r="F71" i="65"/>
  <c r="S68" i="65"/>
  <c r="R68" i="65"/>
  <c r="Q68" i="65"/>
  <c r="P68" i="65"/>
  <c r="O68" i="65"/>
  <c r="N68" i="65"/>
  <c r="M68" i="65"/>
  <c r="L68" i="65"/>
  <c r="K68" i="65"/>
  <c r="J68" i="65"/>
  <c r="I68" i="65"/>
  <c r="H68" i="65"/>
  <c r="G68" i="65"/>
  <c r="F68" i="65"/>
  <c r="S67" i="65"/>
  <c r="R67" i="65"/>
  <c r="Q67" i="65"/>
  <c r="P67" i="65"/>
  <c r="O67" i="65"/>
  <c r="N67" i="65"/>
  <c r="M67" i="65"/>
  <c r="L67" i="65"/>
  <c r="K67" i="65"/>
  <c r="J67" i="65"/>
  <c r="I67" i="65"/>
  <c r="H67" i="65"/>
  <c r="G67" i="65"/>
  <c r="F67" i="65"/>
  <c r="E71" i="65"/>
  <c r="E68" i="65"/>
  <c r="E67" i="65"/>
  <c r="S68" i="64"/>
  <c r="R68" i="64"/>
  <c r="Q68" i="64"/>
  <c r="P68" i="64"/>
  <c r="O68" i="64"/>
  <c r="N68" i="64"/>
  <c r="M68" i="64"/>
  <c r="L68" i="64"/>
  <c r="K68" i="64"/>
  <c r="J68" i="64"/>
  <c r="I68" i="64"/>
  <c r="H68" i="64"/>
  <c r="G68" i="64"/>
  <c r="F68" i="64"/>
  <c r="S65" i="64"/>
  <c r="R65" i="64"/>
  <c r="Q65" i="64"/>
  <c r="P65" i="64"/>
  <c r="O65" i="64"/>
  <c r="N65" i="64"/>
  <c r="M65" i="64"/>
  <c r="L65" i="64"/>
  <c r="K65" i="64"/>
  <c r="J65" i="64"/>
  <c r="I65" i="64"/>
  <c r="H65" i="64"/>
  <c r="G65" i="64"/>
  <c r="F65" i="64"/>
  <c r="S64" i="64"/>
  <c r="R64" i="64"/>
  <c r="Q64" i="64"/>
  <c r="P64" i="64"/>
  <c r="O64" i="64"/>
  <c r="N64" i="64"/>
  <c r="M64" i="64"/>
  <c r="L64" i="64"/>
  <c r="K64" i="64"/>
  <c r="J64" i="64"/>
  <c r="I64" i="64"/>
  <c r="H64" i="64"/>
  <c r="G64" i="64"/>
  <c r="F64" i="64"/>
  <c r="E68" i="64"/>
  <c r="E65" i="64"/>
  <c r="E64" i="64"/>
  <c r="S37" i="63"/>
  <c r="R37" i="63"/>
  <c r="Q37" i="63"/>
  <c r="P37" i="63"/>
  <c r="O37" i="63"/>
  <c r="N37" i="63"/>
  <c r="M37" i="63"/>
  <c r="L37" i="63"/>
  <c r="K37" i="63"/>
  <c r="J37" i="63"/>
  <c r="I37" i="63"/>
  <c r="H37" i="63"/>
  <c r="G37" i="63"/>
  <c r="F37" i="63"/>
  <c r="E37" i="63"/>
  <c r="R36" i="63"/>
  <c r="Q36" i="63"/>
  <c r="N36" i="63"/>
  <c r="M36" i="63"/>
  <c r="J36" i="63"/>
  <c r="I36" i="63"/>
  <c r="F36" i="63"/>
  <c r="E36" i="63"/>
  <c r="S53" i="65"/>
  <c r="R53" i="65"/>
  <c r="Q53" i="65"/>
  <c r="P53" i="65"/>
  <c r="O53" i="65"/>
  <c r="N53" i="65"/>
  <c r="M53" i="65"/>
  <c r="L53" i="65"/>
  <c r="K53" i="65"/>
  <c r="J53" i="65"/>
  <c r="I53" i="65"/>
  <c r="H53" i="65"/>
  <c r="G53" i="65"/>
  <c r="F53" i="65"/>
  <c r="S52" i="65"/>
  <c r="R52" i="65"/>
  <c r="Q52" i="65"/>
  <c r="P52" i="65"/>
  <c r="O52" i="65"/>
  <c r="N52" i="65"/>
  <c r="M52" i="65"/>
  <c r="L52" i="65"/>
  <c r="K52" i="65"/>
  <c r="J52" i="65"/>
  <c r="I52" i="65"/>
  <c r="H52" i="65"/>
  <c r="G52" i="65"/>
  <c r="F52" i="65"/>
  <c r="E53" i="65"/>
  <c r="E52" i="65"/>
  <c r="S52" i="64"/>
  <c r="R52" i="64"/>
  <c r="Q52" i="64"/>
  <c r="P52" i="64"/>
  <c r="O52" i="64"/>
  <c r="N52" i="64"/>
  <c r="M52" i="64"/>
  <c r="L52" i="64"/>
  <c r="K52" i="64"/>
  <c r="J52" i="64"/>
  <c r="I52" i="64"/>
  <c r="H52" i="64"/>
  <c r="G52" i="64"/>
  <c r="F52" i="64"/>
  <c r="S51" i="64"/>
  <c r="R51" i="64"/>
  <c r="Q51" i="64"/>
  <c r="P51" i="64"/>
  <c r="O51" i="64"/>
  <c r="N51" i="64"/>
  <c r="M51" i="64"/>
  <c r="L51" i="64"/>
  <c r="K51" i="64"/>
  <c r="J51" i="64"/>
  <c r="I51" i="64"/>
  <c r="H51" i="64"/>
  <c r="G51" i="64"/>
  <c r="F51" i="64"/>
  <c r="E52" i="64"/>
  <c r="E51" i="64"/>
  <c r="C29" i="65"/>
  <c r="S28" i="65"/>
  <c r="R28" i="65"/>
  <c r="Q28" i="65"/>
  <c r="P28" i="65"/>
  <c r="O28" i="65"/>
  <c r="N28" i="65"/>
  <c r="M28" i="65"/>
  <c r="L28" i="65"/>
  <c r="K28" i="65"/>
  <c r="J28" i="65"/>
  <c r="I28" i="65"/>
  <c r="H28" i="65"/>
  <c r="G28" i="65"/>
  <c r="F28" i="65"/>
  <c r="E28" i="65"/>
  <c r="C28" i="65"/>
  <c r="D25" i="65"/>
  <c r="C25" i="65"/>
  <c r="S24" i="65"/>
  <c r="R24" i="65"/>
  <c r="Q24" i="65"/>
  <c r="P24" i="65"/>
  <c r="O24" i="65"/>
  <c r="N24" i="65"/>
  <c r="M24" i="65"/>
  <c r="L24" i="65"/>
  <c r="K24" i="65"/>
  <c r="J24" i="65"/>
  <c r="I24" i="65"/>
  <c r="H24" i="65"/>
  <c r="G24" i="65"/>
  <c r="F24" i="65"/>
  <c r="E24" i="65"/>
  <c r="S23" i="65"/>
  <c r="R23" i="65"/>
  <c r="Q23" i="65"/>
  <c r="P23" i="65"/>
  <c r="O23" i="65"/>
  <c r="N23" i="65"/>
  <c r="M23" i="65"/>
  <c r="L23" i="65"/>
  <c r="K23" i="65"/>
  <c r="J23" i="65"/>
  <c r="I23" i="65"/>
  <c r="H23" i="65"/>
  <c r="G23" i="65"/>
  <c r="F23" i="65"/>
  <c r="E23" i="65"/>
  <c r="S22" i="65"/>
  <c r="R22" i="65"/>
  <c r="Q22" i="65"/>
  <c r="P22" i="65"/>
  <c r="O22" i="65"/>
  <c r="N22" i="65"/>
  <c r="M22" i="65"/>
  <c r="L22" i="65"/>
  <c r="K22" i="65"/>
  <c r="J22" i="65"/>
  <c r="I22" i="65"/>
  <c r="H22" i="65"/>
  <c r="G22" i="65"/>
  <c r="F22" i="65"/>
  <c r="E22" i="65"/>
  <c r="D22" i="65"/>
  <c r="C22" i="65"/>
  <c r="C29" i="64"/>
  <c r="S28" i="64"/>
  <c r="R28" i="64"/>
  <c r="Q28" i="64"/>
  <c r="P28" i="64"/>
  <c r="O28" i="64"/>
  <c r="N28" i="64"/>
  <c r="M28" i="64"/>
  <c r="L28" i="64"/>
  <c r="K28" i="64"/>
  <c r="J28" i="64"/>
  <c r="I28" i="64"/>
  <c r="H28" i="64"/>
  <c r="G28" i="64"/>
  <c r="F28" i="64"/>
  <c r="E28" i="64"/>
  <c r="C28" i="64"/>
  <c r="D25" i="64"/>
  <c r="C25" i="64"/>
  <c r="S24" i="64"/>
  <c r="R24" i="64"/>
  <c r="Q24" i="64"/>
  <c r="P24" i="64"/>
  <c r="O24" i="64"/>
  <c r="N24" i="64"/>
  <c r="M24" i="64"/>
  <c r="L24" i="64"/>
  <c r="K24" i="64"/>
  <c r="J24" i="64"/>
  <c r="I24" i="64"/>
  <c r="H24" i="64"/>
  <c r="G24" i="64"/>
  <c r="F24" i="64"/>
  <c r="E24" i="64"/>
  <c r="S23" i="64"/>
  <c r="R23" i="64"/>
  <c r="Q23" i="64"/>
  <c r="P23" i="64"/>
  <c r="O23" i="64"/>
  <c r="N23" i="64"/>
  <c r="M23" i="64"/>
  <c r="L23" i="64"/>
  <c r="K23" i="64"/>
  <c r="J23" i="64"/>
  <c r="I23" i="64"/>
  <c r="H23" i="64"/>
  <c r="G23" i="64"/>
  <c r="F23" i="64"/>
  <c r="E23" i="64"/>
  <c r="S22" i="64"/>
  <c r="R22" i="64"/>
  <c r="Q22" i="64"/>
  <c r="P22" i="64"/>
  <c r="O22" i="64"/>
  <c r="N22" i="64"/>
  <c r="M22" i="64"/>
  <c r="L22" i="64"/>
  <c r="K22" i="64"/>
  <c r="J22" i="64"/>
  <c r="I22" i="64"/>
  <c r="H22" i="64"/>
  <c r="G22" i="64"/>
  <c r="F22" i="64"/>
  <c r="E22" i="64"/>
  <c r="D22" i="64"/>
  <c r="C22" i="64"/>
  <c r="S24" i="63"/>
  <c r="S36" i="63" s="1"/>
  <c r="R24" i="63"/>
  <c r="Q24" i="63"/>
  <c r="P24" i="63"/>
  <c r="P36" i="63" s="1"/>
  <c r="O24" i="63"/>
  <c r="O36" i="63" s="1"/>
  <c r="N24" i="63"/>
  <c r="M24" i="63"/>
  <c r="L24" i="63"/>
  <c r="L36" i="63" s="1"/>
  <c r="K24" i="63"/>
  <c r="K36" i="63" s="1"/>
  <c r="J24" i="63"/>
  <c r="I24" i="63"/>
  <c r="H24" i="63"/>
  <c r="H36" i="63" s="1"/>
  <c r="G24" i="63"/>
  <c r="G36" i="63" s="1"/>
  <c r="F24" i="63"/>
  <c r="E24" i="63"/>
  <c r="V31" i="58"/>
  <c r="U31" i="58"/>
  <c r="T31" i="58"/>
  <c r="S31" i="58"/>
  <c r="R31" i="58"/>
  <c r="Q31" i="58"/>
  <c r="P31" i="58"/>
  <c r="O31" i="58"/>
  <c r="N31" i="58"/>
  <c r="M31" i="58"/>
  <c r="L31" i="58"/>
  <c r="K31" i="58"/>
  <c r="J31" i="58"/>
  <c r="I31" i="58"/>
  <c r="H31" i="58"/>
  <c r="V27" i="58"/>
  <c r="U27" i="58"/>
  <c r="T27" i="58"/>
  <c r="S27" i="58"/>
  <c r="R27" i="58"/>
  <c r="Q27" i="58"/>
  <c r="P27" i="58"/>
  <c r="O27" i="58"/>
  <c r="N27" i="58"/>
  <c r="L27" i="58"/>
  <c r="M27" i="58"/>
  <c r="K27" i="58"/>
  <c r="J27" i="58"/>
  <c r="I27" i="58"/>
  <c r="H27" i="58"/>
  <c r="E23" i="63"/>
  <c r="D53" i="65"/>
  <c r="C53" i="65"/>
  <c r="S12" i="65" l="1"/>
  <c r="R12" i="65"/>
  <c r="Q12" i="65"/>
  <c r="P12" i="65"/>
  <c r="O12" i="65"/>
  <c r="N12" i="65"/>
  <c r="M12" i="65"/>
  <c r="L12" i="65"/>
  <c r="K12" i="65"/>
  <c r="J12" i="65"/>
  <c r="I12" i="65"/>
  <c r="H12" i="65"/>
  <c r="G12" i="65"/>
  <c r="F12" i="65"/>
  <c r="E12" i="65"/>
  <c r="S11" i="65"/>
  <c r="R11" i="65"/>
  <c r="Q11" i="65"/>
  <c r="P11" i="65"/>
  <c r="O11" i="65"/>
  <c r="N11" i="65"/>
  <c r="M11" i="65"/>
  <c r="L11" i="65"/>
  <c r="K11" i="65"/>
  <c r="J11" i="65"/>
  <c r="I11" i="65"/>
  <c r="H11" i="65"/>
  <c r="G11" i="65"/>
  <c r="F11" i="65"/>
  <c r="E11" i="65"/>
  <c r="D52" i="64"/>
  <c r="C52" i="64"/>
  <c r="E18" i="64"/>
  <c r="E30" i="64" s="1"/>
  <c r="E31" i="64" s="1"/>
  <c r="F18" i="64"/>
  <c r="F30" i="64" s="1"/>
  <c r="F31" i="64" s="1"/>
  <c r="G18" i="64"/>
  <c r="G30" i="64" s="1"/>
  <c r="G31" i="64" s="1"/>
  <c r="H18" i="64"/>
  <c r="I18" i="64"/>
  <c r="I30" i="64" s="1"/>
  <c r="I31" i="64" s="1"/>
  <c r="J18" i="64"/>
  <c r="J30" i="64" s="1"/>
  <c r="J31" i="64" s="1"/>
  <c r="K18" i="64"/>
  <c r="K30" i="64" s="1"/>
  <c r="K31" i="64" s="1"/>
  <c r="L18" i="64"/>
  <c r="L30" i="64" s="1"/>
  <c r="L31" i="64" s="1"/>
  <c r="M18" i="64"/>
  <c r="M30" i="64" s="1"/>
  <c r="M31" i="64" s="1"/>
  <c r="N18" i="64"/>
  <c r="N30" i="64" s="1"/>
  <c r="N31" i="64" s="1"/>
  <c r="O18" i="64"/>
  <c r="O30" i="64" s="1"/>
  <c r="O31" i="64" s="1"/>
  <c r="P18" i="64"/>
  <c r="P30" i="64" s="1"/>
  <c r="P31" i="64" s="1"/>
  <c r="Q18" i="64"/>
  <c r="Q30" i="64" s="1"/>
  <c r="Q31" i="64" s="1"/>
  <c r="R18" i="64"/>
  <c r="R30" i="64" s="1"/>
  <c r="R31" i="64" s="1"/>
  <c r="S18" i="64"/>
  <c r="S30" i="64" s="1"/>
  <c r="S31" i="64" s="1"/>
  <c r="H19" i="64"/>
  <c r="S12" i="64"/>
  <c r="S40" i="64" s="1"/>
  <c r="R12" i="64"/>
  <c r="Q12" i="64"/>
  <c r="P12" i="64"/>
  <c r="O12" i="64"/>
  <c r="N12" i="64"/>
  <c r="M12" i="64"/>
  <c r="L12" i="64"/>
  <c r="K12" i="64"/>
  <c r="J12" i="64"/>
  <c r="J40" i="64" s="1"/>
  <c r="I12" i="64"/>
  <c r="I40" i="64" s="1"/>
  <c r="H12" i="64"/>
  <c r="H40" i="64" s="1"/>
  <c r="G12" i="64"/>
  <c r="G40" i="64" s="1"/>
  <c r="F12" i="64"/>
  <c r="F40" i="64" s="1"/>
  <c r="E12" i="64"/>
  <c r="E40" i="64" s="1"/>
  <c r="S11" i="64"/>
  <c r="R11" i="64"/>
  <c r="Q11" i="64"/>
  <c r="P11" i="64"/>
  <c r="O11" i="64"/>
  <c r="N11" i="64"/>
  <c r="M11" i="64"/>
  <c r="L11" i="64"/>
  <c r="K11" i="64"/>
  <c r="J11" i="64"/>
  <c r="I11" i="64"/>
  <c r="H11" i="64"/>
  <c r="G11" i="64"/>
  <c r="F11" i="64"/>
  <c r="E11" i="64"/>
  <c r="S23" i="63"/>
  <c r="R23" i="63"/>
  <c r="Q23" i="63"/>
  <c r="P23" i="63"/>
  <c r="O23" i="63"/>
  <c r="N23" i="63"/>
  <c r="M23" i="63"/>
  <c r="L23" i="63"/>
  <c r="K23" i="63"/>
  <c r="J23" i="63"/>
  <c r="I23" i="63"/>
  <c r="H23" i="63"/>
  <c r="G23" i="63"/>
  <c r="F23" i="63"/>
  <c r="S12" i="63"/>
  <c r="R12" i="63"/>
  <c r="Q12" i="63"/>
  <c r="P12" i="63"/>
  <c r="O12" i="63"/>
  <c r="N12" i="63"/>
  <c r="M12" i="63"/>
  <c r="L12" i="63"/>
  <c r="K12" i="63"/>
  <c r="J12" i="63"/>
  <c r="I12" i="63"/>
  <c r="H12" i="63"/>
  <c r="G12" i="63"/>
  <c r="F12" i="63"/>
  <c r="S11" i="63"/>
  <c r="R11" i="63"/>
  <c r="Q11" i="63"/>
  <c r="P11" i="63"/>
  <c r="O11" i="63"/>
  <c r="N11" i="63"/>
  <c r="M11" i="63"/>
  <c r="L11" i="63"/>
  <c r="K11" i="63"/>
  <c r="J11" i="63"/>
  <c r="I11" i="63"/>
  <c r="H11" i="63"/>
  <c r="G11" i="63"/>
  <c r="F11" i="63"/>
  <c r="E12" i="63"/>
  <c r="E11" i="63"/>
  <c r="G39" i="63" l="1"/>
  <c r="K39" i="63"/>
  <c r="H30" i="64"/>
  <c r="H31" i="64" s="1"/>
  <c r="E39" i="64"/>
  <c r="I39" i="64"/>
  <c r="R19" i="64"/>
  <c r="N19" i="64"/>
  <c r="F19" i="64"/>
  <c r="F39" i="64"/>
  <c r="J39" i="64"/>
  <c r="M19" i="64"/>
  <c r="E19" i="64"/>
  <c r="G39" i="64"/>
  <c r="S39" i="64"/>
  <c r="P19" i="64"/>
  <c r="L19" i="64"/>
  <c r="J19" i="64"/>
  <c r="Q19" i="64"/>
  <c r="I19" i="64"/>
  <c r="H39" i="64"/>
  <c r="S19" i="64"/>
  <c r="O19" i="64"/>
  <c r="K19" i="64"/>
  <c r="G19" i="64"/>
  <c r="U40" i="64"/>
  <c r="K40" i="64" s="1"/>
  <c r="E16" i="64"/>
  <c r="E44" i="64" s="1"/>
  <c r="F16" i="64"/>
  <c r="F44" i="64" s="1"/>
  <c r="G16" i="64"/>
  <c r="G44" i="64" s="1"/>
  <c r="H16" i="64"/>
  <c r="H44" i="64" s="1"/>
  <c r="I16" i="64"/>
  <c r="I44" i="64" s="1"/>
  <c r="J16" i="64"/>
  <c r="J44" i="64" s="1"/>
  <c r="K16" i="64"/>
  <c r="L16" i="64"/>
  <c r="M16" i="64"/>
  <c r="N16" i="64"/>
  <c r="O16" i="64"/>
  <c r="P16" i="64"/>
  <c r="Q16" i="64"/>
  <c r="R16" i="64"/>
  <c r="S16" i="64"/>
  <c r="S44" i="64" s="1"/>
  <c r="E10" i="64"/>
  <c r="F10" i="64"/>
  <c r="G10" i="64"/>
  <c r="H10" i="64"/>
  <c r="I10" i="64"/>
  <c r="J10" i="64"/>
  <c r="J38" i="64" s="1"/>
  <c r="K10" i="64"/>
  <c r="L10" i="64"/>
  <c r="M10" i="64"/>
  <c r="N10" i="64"/>
  <c r="O10" i="64"/>
  <c r="P10" i="64"/>
  <c r="Q10" i="64"/>
  <c r="R10" i="64"/>
  <c r="S10" i="64"/>
  <c r="E13" i="64"/>
  <c r="F13" i="64"/>
  <c r="G13" i="64"/>
  <c r="H13" i="64"/>
  <c r="I13" i="64"/>
  <c r="J13" i="64"/>
  <c r="K13" i="64"/>
  <c r="L13" i="64"/>
  <c r="M13" i="64"/>
  <c r="N13" i="64"/>
  <c r="O13" i="64"/>
  <c r="P13" i="64"/>
  <c r="Q13" i="64"/>
  <c r="R13" i="64"/>
  <c r="S13" i="64"/>
  <c r="C61" i="65"/>
  <c r="C60" i="65"/>
  <c r="C59" i="65"/>
  <c r="S58" i="65"/>
  <c r="R58" i="65"/>
  <c r="Q58" i="65"/>
  <c r="P58" i="65"/>
  <c r="O58" i="65"/>
  <c r="N58" i="65"/>
  <c r="M58" i="65"/>
  <c r="L58" i="65"/>
  <c r="K58" i="65"/>
  <c r="J58" i="65"/>
  <c r="I58" i="65"/>
  <c r="H58" i="65"/>
  <c r="G58" i="65"/>
  <c r="F58" i="65"/>
  <c r="E58" i="65"/>
  <c r="C58" i="65"/>
  <c r="D55" i="65"/>
  <c r="C55" i="65"/>
  <c r="D54" i="65"/>
  <c r="C54" i="65"/>
  <c r="D52" i="65"/>
  <c r="C52" i="65"/>
  <c r="S51" i="65"/>
  <c r="R51" i="65"/>
  <c r="Q51" i="65"/>
  <c r="P51" i="65"/>
  <c r="O51" i="65"/>
  <c r="N51" i="65"/>
  <c r="M51" i="65"/>
  <c r="L51" i="65"/>
  <c r="K51" i="65"/>
  <c r="J51" i="65"/>
  <c r="I51" i="65"/>
  <c r="H51" i="65"/>
  <c r="G51" i="65"/>
  <c r="F51" i="65"/>
  <c r="E51" i="65"/>
  <c r="D51" i="65"/>
  <c r="C51" i="65"/>
  <c r="S47" i="65"/>
  <c r="S61" i="65" s="1"/>
  <c r="R47" i="65"/>
  <c r="R61" i="65" s="1"/>
  <c r="Q47" i="65"/>
  <c r="Q61" i="65" s="1"/>
  <c r="P47" i="65"/>
  <c r="P61" i="65" s="1"/>
  <c r="O47" i="65"/>
  <c r="O61" i="65" s="1"/>
  <c r="N47" i="65"/>
  <c r="N61" i="65" s="1"/>
  <c r="M47" i="65"/>
  <c r="M61" i="65" s="1"/>
  <c r="L47" i="65"/>
  <c r="L61" i="65" s="1"/>
  <c r="K47" i="65"/>
  <c r="K61" i="65" s="1"/>
  <c r="J47" i="65"/>
  <c r="J61" i="65" s="1"/>
  <c r="I47" i="65"/>
  <c r="I61" i="65" s="1"/>
  <c r="H47" i="65"/>
  <c r="H61" i="65" s="1"/>
  <c r="G47" i="65"/>
  <c r="G61" i="65" s="1"/>
  <c r="F47" i="65"/>
  <c r="F61" i="65" s="1"/>
  <c r="E47" i="65"/>
  <c r="E61" i="65" s="1"/>
  <c r="S45" i="65"/>
  <c r="R45" i="65"/>
  <c r="Q45" i="65"/>
  <c r="P45" i="65"/>
  <c r="O45" i="65"/>
  <c r="N45" i="65"/>
  <c r="M45" i="65"/>
  <c r="L45" i="65"/>
  <c r="K45" i="65"/>
  <c r="J45" i="65"/>
  <c r="I45" i="65"/>
  <c r="H45" i="65"/>
  <c r="G45" i="65"/>
  <c r="F45" i="65"/>
  <c r="E45" i="65"/>
  <c r="S44" i="65"/>
  <c r="R44" i="65"/>
  <c r="Q44" i="65"/>
  <c r="P44" i="65"/>
  <c r="O44" i="65"/>
  <c r="N44" i="65"/>
  <c r="M44" i="65"/>
  <c r="L44" i="65"/>
  <c r="K44" i="65"/>
  <c r="J44" i="65"/>
  <c r="I44" i="65"/>
  <c r="H44" i="65"/>
  <c r="G44" i="65"/>
  <c r="F44" i="65"/>
  <c r="E44" i="65"/>
  <c r="S18" i="65"/>
  <c r="S30" i="65" s="1"/>
  <c r="S31" i="65" s="1"/>
  <c r="R18" i="65"/>
  <c r="R30" i="65" s="1"/>
  <c r="R31" i="65" s="1"/>
  <c r="Q18" i="65"/>
  <c r="P18" i="65"/>
  <c r="O18" i="65"/>
  <c r="O30" i="65" s="1"/>
  <c r="O31" i="65" s="1"/>
  <c r="N18" i="65"/>
  <c r="N30" i="65" s="1"/>
  <c r="N31" i="65" s="1"/>
  <c r="M18" i="65"/>
  <c r="M30" i="65" s="1"/>
  <c r="M31" i="65" s="1"/>
  <c r="L18" i="65"/>
  <c r="L30" i="65" s="1"/>
  <c r="L31" i="65" s="1"/>
  <c r="K18" i="65"/>
  <c r="K30" i="65" s="1"/>
  <c r="K31" i="65" s="1"/>
  <c r="J18" i="65"/>
  <c r="J30" i="65" s="1"/>
  <c r="J31" i="65" s="1"/>
  <c r="I18" i="65"/>
  <c r="I30" i="65" s="1"/>
  <c r="I31" i="65" s="1"/>
  <c r="H18" i="65"/>
  <c r="H30" i="65" s="1"/>
  <c r="H31" i="65" s="1"/>
  <c r="G18" i="65"/>
  <c r="G30" i="65" s="1"/>
  <c r="G31" i="65" s="1"/>
  <c r="F18" i="65"/>
  <c r="F30" i="65" s="1"/>
  <c r="F31" i="65" s="1"/>
  <c r="E18" i="65"/>
  <c r="E30" i="65" s="1"/>
  <c r="E31" i="65" s="1"/>
  <c r="S16" i="65"/>
  <c r="R16" i="65"/>
  <c r="Q16" i="65"/>
  <c r="P16" i="65"/>
  <c r="O16" i="65"/>
  <c r="N16" i="65"/>
  <c r="M16" i="65"/>
  <c r="L16" i="65"/>
  <c r="K16" i="65"/>
  <c r="J16" i="65"/>
  <c r="I16" i="65"/>
  <c r="H16" i="65"/>
  <c r="G16" i="65"/>
  <c r="F16" i="65"/>
  <c r="E16" i="65"/>
  <c r="H41" i="65"/>
  <c r="H55" i="65" s="1"/>
  <c r="G41" i="65"/>
  <c r="G55" i="65" s="1"/>
  <c r="F41" i="65"/>
  <c r="F55" i="65" s="1"/>
  <c r="E41" i="65"/>
  <c r="E55" i="65" s="1"/>
  <c r="H40" i="65"/>
  <c r="H54" i="65" s="1"/>
  <c r="G40" i="65"/>
  <c r="G54" i="65" s="1"/>
  <c r="F40" i="65"/>
  <c r="F54" i="65" s="1"/>
  <c r="E40" i="65"/>
  <c r="E54" i="65" s="1"/>
  <c r="S37" i="65"/>
  <c r="R37" i="65"/>
  <c r="Q37" i="65"/>
  <c r="P37" i="65"/>
  <c r="O37" i="65"/>
  <c r="N37" i="65"/>
  <c r="M37" i="65"/>
  <c r="L37" i="65"/>
  <c r="K37" i="65"/>
  <c r="J37" i="65"/>
  <c r="I37" i="65"/>
  <c r="H37" i="65"/>
  <c r="G37" i="65"/>
  <c r="F37" i="65"/>
  <c r="E37" i="65"/>
  <c r="S13" i="65"/>
  <c r="S25" i="65" s="1"/>
  <c r="S26" i="65" s="1"/>
  <c r="R13" i="65"/>
  <c r="R25" i="65" s="1"/>
  <c r="R26" i="65" s="1"/>
  <c r="Q13" i="65"/>
  <c r="Q25" i="65" s="1"/>
  <c r="Q26" i="65" s="1"/>
  <c r="P13" i="65"/>
  <c r="P25" i="65" s="1"/>
  <c r="P26" i="65" s="1"/>
  <c r="O13" i="65"/>
  <c r="O25" i="65" s="1"/>
  <c r="O26" i="65" s="1"/>
  <c r="N13" i="65"/>
  <c r="N25" i="65" s="1"/>
  <c r="N26" i="65" s="1"/>
  <c r="M13" i="65"/>
  <c r="M25" i="65" s="1"/>
  <c r="M26" i="65" s="1"/>
  <c r="L13" i="65"/>
  <c r="L25" i="65" s="1"/>
  <c r="L26" i="65" s="1"/>
  <c r="K13" i="65"/>
  <c r="K25" i="65" s="1"/>
  <c r="K26" i="65" s="1"/>
  <c r="J13" i="65"/>
  <c r="J25" i="65" s="1"/>
  <c r="J26" i="65" s="1"/>
  <c r="I13" i="65"/>
  <c r="I25" i="65" s="1"/>
  <c r="I26" i="65" s="1"/>
  <c r="H13" i="65"/>
  <c r="H25" i="65" s="1"/>
  <c r="H26" i="65" s="1"/>
  <c r="G13" i="65"/>
  <c r="G25" i="65" s="1"/>
  <c r="G26" i="65" s="1"/>
  <c r="F13" i="65"/>
  <c r="F25" i="65" s="1"/>
  <c r="F26" i="65" s="1"/>
  <c r="E13" i="65"/>
  <c r="E25" i="65" s="1"/>
  <c r="E26" i="65" s="1"/>
  <c r="S10" i="65"/>
  <c r="R10" i="65"/>
  <c r="Q10" i="65"/>
  <c r="P10" i="65"/>
  <c r="O10" i="65"/>
  <c r="N10" i="65"/>
  <c r="M10" i="65"/>
  <c r="L10" i="65"/>
  <c r="K10" i="65"/>
  <c r="J10" i="65"/>
  <c r="I10" i="65"/>
  <c r="H10" i="65"/>
  <c r="G10" i="65"/>
  <c r="F10" i="65"/>
  <c r="E10" i="65"/>
  <c r="C58" i="64"/>
  <c r="C57" i="64"/>
  <c r="S56" i="64"/>
  <c r="R56" i="64"/>
  <c r="Q56" i="64"/>
  <c r="P56" i="64"/>
  <c r="O56" i="64"/>
  <c r="N56" i="64"/>
  <c r="M56" i="64"/>
  <c r="L56" i="64"/>
  <c r="K56" i="64"/>
  <c r="J56" i="64"/>
  <c r="I56" i="64"/>
  <c r="H56" i="64"/>
  <c r="G56" i="64"/>
  <c r="F56" i="64"/>
  <c r="E56" i="64"/>
  <c r="C56" i="64"/>
  <c r="D53" i="64"/>
  <c r="C53" i="64"/>
  <c r="D51" i="64"/>
  <c r="C51" i="64"/>
  <c r="S50" i="64"/>
  <c r="R50" i="64"/>
  <c r="Q50" i="64"/>
  <c r="P50" i="64"/>
  <c r="O50" i="64"/>
  <c r="N50" i="64"/>
  <c r="M50" i="64"/>
  <c r="L50" i="64"/>
  <c r="K50" i="64"/>
  <c r="J50" i="64"/>
  <c r="I50" i="64"/>
  <c r="H50" i="64"/>
  <c r="G50" i="64"/>
  <c r="F50" i="64"/>
  <c r="E50" i="64"/>
  <c r="D50" i="64"/>
  <c r="C50" i="64"/>
  <c r="S45" i="64"/>
  <c r="R45" i="64"/>
  <c r="Q45" i="64"/>
  <c r="P45" i="64"/>
  <c r="O45" i="64"/>
  <c r="N45" i="64"/>
  <c r="M45" i="64"/>
  <c r="L45" i="64"/>
  <c r="K45" i="64"/>
  <c r="J45" i="64"/>
  <c r="I45" i="64"/>
  <c r="H45" i="64"/>
  <c r="G45" i="64"/>
  <c r="F45" i="64"/>
  <c r="E45" i="64"/>
  <c r="C29" i="63"/>
  <c r="S28" i="63"/>
  <c r="R28" i="63"/>
  <c r="Q28" i="63"/>
  <c r="P28" i="63"/>
  <c r="O28" i="63"/>
  <c r="N28" i="63"/>
  <c r="M28" i="63"/>
  <c r="L28" i="63"/>
  <c r="K28" i="63"/>
  <c r="J28" i="63"/>
  <c r="I28" i="63"/>
  <c r="H28" i="63"/>
  <c r="G28" i="63"/>
  <c r="F28" i="63"/>
  <c r="E28" i="63"/>
  <c r="C28" i="63"/>
  <c r="D25" i="63"/>
  <c r="C25" i="63"/>
  <c r="S22" i="63"/>
  <c r="R22" i="63"/>
  <c r="Q22" i="63"/>
  <c r="P22" i="63"/>
  <c r="O22" i="63"/>
  <c r="N22" i="63"/>
  <c r="M22" i="63"/>
  <c r="L22" i="63"/>
  <c r="K22" i="63"/>
  <c r="J22" i="63"/>
  <c r="I22" i="63"/>
  <c r="H22" i="63"/>
  <c r="G22" i="63"/>
  <c r="F22" i="63"/>
  <c r="E22" i="63"/>
  <c r="D22" i="63"/>
  <c r="C22" i="63"/>
  <c r="S18" i="63"/>
  <c r="S30" i="63" s="1"/>
  <c r="S40" i="63" s="1"/>
  <c r="R18" i="63"/>
  <c r="R30" i="63" s="1"/>
  <c r="R40" i="63" s="1"/>
  <c r="Q18" i="63"/>
  <c r="Q30" i="63" s="1"/>
  <c r="Q40" i="63" s="1"/>
  <c r="P18" i="63"/>
  <c r="P30" i="63" s="1"/>
  <c r="P40" i="63" s="1"/>
  <c r="O18" i="63"/>
  <c r="O30" i="63" s="1"/>
  <c r="O40" i="63" s="1"/>
  <c r="N18" i="63"/>
  <c r="N30" i="63" s="1"/>
  <c r="N40" i="63" s="1"/>
  <c r="M18" i="63"/>
  <c r="M30" i="63" s="1"/>
  <c r="M40" i="63" s="1"/>
  <c r="L18" i="63"/>
  <c r="L30" i="63" s="1"/>
  <c r="L40" i="63" s="1"/>
  <c r="K18" i="63"/>
  <c r="K30" i="63" s="1"/>
  <c r="K40" i="63" s="1"/>
  <c r="J18" i="63"/>
  <c r="J19" i="63" s="1"/>
  <c r="I18" i="63"/>
  <c r="I30" i="63" s="1"/>
  <c r="I40" i="63" s="1"/>
  <c r="H18" i="63"/>
  <c r="G18" i="63"/>
  <c r="G19" i="63" s="1"/>
  <c r="F18" i="63"/>
  <c r="F19" i="63" s="1"/>
  <c r="E18" i="63"/>
  <c r="E30" i="63" s="1"/>
  <c r="E40" i="63" s="1"/>
  <c r="S16" i="63"/>
  <c r="R16" i="63"/>
  <c r="Q16" i="63"/>
  <c r="P16" i="63"/>
  <c r="O16" i="63"/>
  <c r="N16" i="63"/>
  <c r="M16" i="63"/>
  <c r="L16" i="63"/>
  <c r="K16" i="63"/>
  <c r="J16" i="63"/>
  <c r="I16" i="63"/>
  <c r="H16" i="63"/>
  <c r="G16" i="63"/>
  <c r="F16" i="63"/>
  <c r="E16" i="63"/>
  <c r="S13" i="63"/>
  <c r="R13" i="63"/>
  <c r="R25" i="63" s="1"/>
  <c r="R39" i="63" s="1"/>
  <c r="Q13" i="63"/>
  <c r="Q25" i="63" s="1"/>
  <c r="Q39" i="63" s="1"/>
  <c r="P13" i="63"/>
  <c r="P25" i="63" s="1"/>
  <c r="P39" i="63" s="1"/>
  <c r="O13" i="63"/>
  <c r="O25" i="63" s="1"/>
  <c r="O39" i="63" s="1"/>
  <c r="N13" i="63"/>
  <c r="N25" i="63" s="1"/>
  <c r="N39" i="63" s="1"/>
  <c r="M13" i="63"/>
  <c r="M25" i="63" s="1"/>
  <c r="M39" i="63" s="1"/>
  <c r="L13" i="63"/>
  <c r="L25" i="63" s="1"/>
  <c r="L39" i="63" s="1"/>
  <c r="K13" i="63"/>
  <c r="K25" i="63" s="1"/>
  <c r="J13" i="63"/>
  <c r="I13" i="63"/>
  <c r="H13" i="63"/>
  <c r="H25" i="63" s="1"/>
  <c r="H39" i="63" s="1"/>
  <c r="G13" i="63"/>
  <c r="G25" i="63" s="1"/>
  <c r="F13" i="63"/>
  <c r="E13" i="63"/>
  <c r="S10" i="63"/>
  <c r="R10" i="63"/>
  <c r="Q10" i="63"/>
  <c r="P10" i="63"/>
  <c r="O10" i="63"/>
  <c r="N10" i="63"/>
  <c r="M10" i="63"/>
  <c r="L10" i="63"/>
  <c r="K10" i="63"/>
  <c r="J10" i="63"/>
  <c r="I10" i="63"/>
  <c r="H10" i="63"/>
  <c r="G10" i="63"/>
  <c r="F10" i="63"/>
  <c r="E10" i="63"/>
  <c r="C5" i="61"/>
  <c r="C4" i="61"/>
  <c r="P19" i="65" l="1"/>
  <c r="P30" i="65"/>
  <c r="P31" i="65" s="1"/>
  <c r="Q19" i="65"/>
  <c r="Q30" i="65"/>
  <c r="Q31" i="65" s="1"/>
  <c r="H38" i="65"/>
  <c r="P39" i="65"/>
  <c r="Q39" i="65"/>
  <c r="G39" i="65"/>
  <c r="K39" i="65"/>
  <c r="O38" i="65"/>
  <c r="S38" i="65"/>
  <c r="G25" i="64"/>
  <c r="G26" i="64" s="1"/>
  <c r="N25" i="64"/>
  <c r="N26" i="64" s="1"/>
  <c r="J25" i="64"/>
  <c r="J26" i="64" s="1"/>
  <c r="I25" i="64"/>
  <c r="I26" i="64" s="1"/>
  <c r="P25" i="64"/>
  <c r="P26" i="64" s="1"/>
  <c r="L25" i="64"/>
  <c r="L26" i="64" s="1"/>
  <c r="H25" i="64"/>
  <c r="H26" i="64" s="1"/>
  <c r="S25" i="64"/>
  <c r="S26" i="64" s="1"/>
  <c r="O25" i="64"/>
  <c r="O26" i="64" s="1"/>
  <c r="K25" i="64"/>
  <c r="K26" i="64" s="1"/>
  <c r="R25" i="64"/>
  <c r="R26" i="64" s="1"/>
  <c r="F25" i="64"/>
  <c r="F26" i="64" s="1"/>
  <c r="Q25" i="64"/>
  <c r="Q26" i="64" s="1"/>
  <c r="M25" i="64"/>
  <c r="M26" i="64" s="1"/>
  <c r="E25" i="64"/>
  <c r="E26" i="64" s="1"/>
  <c r="E41" i="64"/>
  <c r="E53" i="64" s="1"/>
  <c r="K38" i="65"/>
  <c r="I39" i="65"/>
  <c r="M39" i="65"/>
  <c r="Q38" i="65"/>
  <c r="O39" i="65"/>
  <c r="H39" i="65"/>
  <c r="L38" i="65"/>
  <c r="P38" i="65"/>
  <c r="F38" i="65"/>
  <c r="J38" i="65"/>
  <c r="N38" i="65"/>
  <c r="R38" i="65"/>
  <c r="I38" i="65"/>
  <c r="J39" i="65"/>
  <c r="L39" i="65"/>
  <c r="G38" i="65"/>
  <c r="E38" i="65"/>
  <c r="S39" i="65"/>
  <c r="N39" i="65"/>
  <c r="M38" i="65"/>
  <c r="F39" i="65"/>
  <c r="R39" i="65"/>
  <c r="E39" i="65"/>
  <c r="H41" i="64"/>
  <c r="H53" i="64" s="1"/>
  <c r="N31" i="63"/>
  <c r="L31" i="63"/>
  <c r="P31" i="63"/>
  <c r="R31" i="63"/>
  <c r="E31" i="63"/>
  <c r="I31" i="63"/>
  <c r="M31" i="63"/>
  <c r="Q31" i="63"/>
  <c r="O19" i="65"/>
  <c r="S19" i="65"/>
  <c r="R19" i="65"/>
  <c r="G46" i="65"/>
  <c r="G60" i="65" s="1"/>
  <c r="F19" i="65"/>
  <c r="G19" i="65"/>
  <c r="F38" i="64"/>
  <c r="H46" i="64"/>
  <c r="H58" i="64" s="1"/>
  <c r="H59" i="64" s="1"/>
  <c r="J19" i="65"/>
  <c r="K19" i="65"/>
  <c r="G38" i="64"/>
  <c r="I41" i="64"/>
  <c r="I53" i="64" s="1"/>
  <c r="S38" i="64"/>
  <c r="U38" i="64" s="1"/>
  <c r="K38" i="64" s="1"/>
  <c r="U45" i="64"/>
  <c r="H38" i="64"/>
  <c r="U44" i="64"/>
  <c r="K44" i="64" s="1"/>
  <c r="H46" i="65"/>
  <c r="H60" i="65" s="1"/>
  <c r="H19" i="65"/>
  <c r="E19" i="65"/>
  <c r="M19" i="65"/>
  <c r="L19" i="65"/>
  <c r="I19" i="65"/>
  <c r="E46" i="65"/>
  <c r="E60" i="65" s="1"/>
  <c r="E62" i="65" s="1"/>
  <c r="N19" i="65"/>
  <c r="F46" i="65"/>
  <c r="F60" i="65" s="1"/>
  <c r="F62" i="65" s="1"/>
  <c r="E38" i="64"/>
  <c r="I38" i="64"/>
  <c r="G41" i="64"/>
  <c r="G53" i="64" s="1"/>
  <c r="S41" i="64"/>
  <c r="S46" i="64"/>
  <c r="F41" i="64"/>
  <c r="F53" i="64" s="1"/>
  <c r="J41" i="64"/>
  <c r="E46" i="64"/>
  <c r="E58" i="64" s="1"/>
  <c r="I46" i="64"/>
  <c r="F46" i="64"/>
  <c r="F58" i="64" s="1"/>
  <c r="F59" i="64" s="1"/>
  <c r="J46" i="64"/>
  <c r="G46" i="64"/>
  <c r="G58" i="64" s="1"/>
  <c r="K31" i="63"/>
  <c r="O31" i="63"/>
  <c r="S31" i="63"/>
  <c r="P19" i="63"/>
  <c r="Q19" i="63"/>
  <c r="N19" i="63"/>
  <c r="R19" i="63"/>
  <c r="H19" i="63"/>
  <c r="L19" i="63"/>
  <c r="E19" i="63"/>
  <c r="I19" i="63"/>
  <c r="M19" i="63"/>
  <c r="K19" i="63"/>
  <c r="O19" i="63"/>
  <c r="S19" i="63"/>
  <c r="S25" i="63"/>
  <c r="S39" i="63" s="1"/>
  <c r="G30" i="63"/>
  <c r="G40" i="63" s="1"/>
  <c r="F25" i="63"/>
  <c r="F39" i="63" s="1"/>
  <c r="J25" i="63"/>
  <c r="J39" i="63" s="1"/>
  <c r="F30" i="63"/>
  <c r="F40" i="63" s="1"/>
  <c r="J30" i="63"/>
  <c r="J40" i="63" s="1"/>
  <c r="E25" i="63"/>
  <c r="E39" i="63" s="1"/>
  <c r="I25" i="63"/>
  <c r="I39" i="63" s="1"/>
  <c r="H30" i="63"/>
  <c r="H40" i="63" s="1"/>
  <c r="L40" i="64" l="1"/>
  <c r="M40" i="64" s="1"/>
  <c r="N40" i="64" s="1"/>
  <c r="O40" i="64" s="1"/>
  <c r="P40" i="64" s="1"/>
  <c r="Q40" i="64" s="1"/>
  <c r="R40" i="64" s="1"/>
  <c r="H47" i="64"/>
  <c r="G62" i="65"/>
  <c r="G48" i="65"/>
  <c r="H48" i="65"/>
  <c r="S47" i="64"/>
  <c r="J47" i="64"/>
  <c r="G47" i="64"/>
  <c r="E48" i="65"/>
  <c r="F48" i="65"/>
  <c r="H62" i="65"/>
  <c r="L38" i="64"/>
  <c r="J53" i="64"/>
  <c r="L44" i="64"/>
  <c r="G59" i="64"/>
  <c r="E47" i="64"/>
  <c r="F47" i="64"/>
  <c r="I58" i="64"/>
  <c r="I47" i="64"/>
  <c r="S53" i="64"/>
  <c r="U41" i="64"/>
  <c r="K41" i="64" s="1"/>
  <c r="J58" i="64"/>
  <c r="S58" i="64"/>
  <c r="U46" i="64"/>
  <c r="K46" i="64" s="1"/>
  <c r="F31" i="63"/>
  <c r="J31" i="63"/>
  <c r="G31" i="63"/>
  <c r="H31" i="63"/>
  <c r="C1" i="65"/>
  <c r="L37" i="62"/>
  <c r="C1" i="64"/>
  <c r="C1" i="63"/>
  <c r="E44" i="62"/>
  <c r="F43" i="62"/>
  <c r="F44" i="62" s="1"/>
  <c r="E43" i="62"/>
  <c r="E42" i="62"/>
  <c r="F38" i="62"/>
  <c r="F39" i="62" s="1"/>
  <c r="E30" i="62"/>
  <c r="F29" i="62"/>
  <c r="F30" i="62" s="1"/>
  <c r="E29" i="62"/>
  <c r="E28" i="62"/>
  <c r="F25" i="62"/>
  <c r="F24" i="62"/>
  <c r="J44" i="62"/>
  <c r="H44" i="62"/>
  <c r="F15" i="62"/>
  <c r="F16" i="62" s="1"/>
  <c r="H42" i="62"/>
  <c r="G42" i="62"/>
  <c r="G39" i="62"/>
  <c r="H38" i="62"/>
  <c r="F10" i="62"/>
  <c r="F11" i="62" s="1"/>
  <c r="K37" i="62"/>
  <c r="I37" i="62"/>
  <c r="G37" i="62"/>
  <c r="C1" i="62"/>
  <c r="K58" i="64" l="1"/>
  <c r="L46" i="64"/>
  <c r="K47" i="64"/>
  <c r="K53" i="64"/>
  <c r="L41" i="64"/>
  <c r="I59" i="64"/>
  <c r="S59" i="64"/>
  <c r="M38" i="64"/>
  <c r="E59" i="64"/>
  <c r="M44" i="64"/>
  <c r="J59" i="64"/>
  <c r="C9" i="62"/>
  <c r="D9" i="62"/>
  <c r="D30" i="62" s="1"/>
  <c r="B9" i="62"/>
  <c r="I44" i="62"/>
  <c r="H37" i="62"/>
  <c r="I38" i="62"/>
  <c r="I39" i="62"/>
  <c r="I42" i="62"/>
  <c r="H43" i="62"/>
  <c r="J37" i="62"/>
  <c r="G38" i="62"/>
  <c r="H39" i="62"/>
  <c r="G43" i="62"/>
  <c r="G44" i="62"/>
  <c r="M37" i="62"/>
  <c r="D39" i="62" l="1"/>
  <c r="D24" i="62"/>
  <c r="D38" i="62"/>
  <c r="D42" i="62"/>
  <c r="D10" i="62"/>
  <c r="D43" i="62"/>
  <c r="D29" i="62"/>
  <c r="D28" i="62"/>
  <c r="D23" i="62"/>
  <c r="D25" i="62"/>
  <c r="D44" i="62"/>
  <c r="D11" i="62"/>
  <c r="D15" i="62"/>
  <c r="D14" i="62"/>
  <c r="D37" i="62"/>
  <c r="D16" i="62"/>
  <c r="N44" i="64"/>
  <c r="N38" i="64"/>
  <c r="L53" i="64"/>
  <c r="M41" i="64"/>
  <c r="L58" i="64"/>
  <c r="M46" i="64"/>
  <c r="L47" i="64"/>
  <c r="K59" i="64"/>
  <c r="C39" i="62"/>
  <c r="C44" i="62"/>
  <c r="C43" i="62"/>
  <c r="C28" i="62"/>
  <c r="C23" i="62"/>
  <c r="C24" i="62"/>
  <c r="C42" i="62"/>
  <c r="C38" i="62"/>
  <c r="C29" i="62"/>
  <c r="C11" i="62"/>
  <c r="C37" i="62"/>
  <c r="C30" i="62"/>
  <c r="C16" i="62"/>
  <c r="C14" i="62"/>
  <c r="C15" i="62"/>
  <c r="C25" i="62"/>
  <c r="C10" i="62"/>
  <c r="B43" i="62"/>
  <c r="B42" i="62"/>
  <c r="B38" i="62"/>
  <c r="B25" i="62"/>
  <c r="B16" i="62"/>
  <c r="B39" i="62"/>
  <c r="B37" i="62"/>
  <c r="B30" i="62"/>
  <c r="B29" i="62"/>
  <c r="B28" i="62"/>
  <c r="B15" i="62"/>
  <c r="B10" i="62"/>
  <c r="B11" i="62"/>
  <c r="B24" i="62"/>
  <c r="B23" i="62"/>
  <c r="B14" i="62"/>
  <c r="B44" i="62"/>
  <c r="K44" i="62"/>
  <c r="J42" i="62"/>
  <c r="I43" i="62"/>
  <c r="J39" i="62"/>
  <c r="J38" i="62"/>
  <c r="L59" i="64" l="1"/>
  <c r="M53" i="64"/>
  <c r="N41" i="64"/>
  <c r="O44" i="64"/>
  <c r="M58" i="64"/>
  <c r="N46" i="64"/>
  <c r="M47" i="64"/>
  <c r="O38" i="64"/>
  <c r="J43" i="62"/>
  <c r="L44" i="62"/>
  <c r="N37" i="62"/>
  <c r="K39" i="62"/>
  <c r="K42" i="62"/>
  <c r="K38" i="62"/>
  <c r="O41" i="64" l="1"/>
  <c r="N53" i="64"/>
  <c r="N58" i="64"/>
  <c r="O46" i="64"/>
  <c r="P46" i="64" s="1"/>
  <c r="Q46" i="64" s="1"/>
  <c r="R46" i="64" s="1"/>
  <c r="N47" i="64"/>
  <c r="P44" i="64"/>
  <c r="P38" i="64"/>
  <c r="M59" i="64"/>
  <c r="L38" i="62"/>
  <c r="L42" i="62"/>
  <c r="L39" i="62"/>
  <c r="K43" i="62"/>
  <c r="O37" i="62"/>
  <c r="M44" i="62"/>
  <c r="O58" i="64" l="1"/>
  <c r="O47" i="64"/>
  <c r="Q44" i="64"/>
  <c r="N59" i="64"/>
  <c r="Q38" i="64"/>
  <c r="O53" i="64"/>
  <c r="P41" i="64"/>
  <c r="M39" i="62"/>
  <c r="N44" i="62"/>
  <c r="M42" i="62"/>
  <c r="L43" i="62"/>
  <c r="P37" i="62"/>
  <c r="M38" i="62"/>
  <c r="P58" i="64" l="1"/>
  <c r="P47" i="64"/>
  <c r="P53" i="64"/>
  <c r="Q41" i="64"/>
  <c r="R38" i="64"/>
  <c r="R44" i="64"/>
  <c r="O59" i="64"/>
  <c r="Q37" i="62"/>
  <c r="M43" i="62"/>
  <c r="N42" i="62"/>
  <c r="O44" i="62"/>
  <c r="N39" i="62"/>
  <c r="Q58" i="64" l="1"/>
  <c r="Q47" i="64"/>
  <c r="Q53" i="64"/>
  <c r="R41" i="64"/>
  <c r="R53" i="64" s="1"/>
  <c r="P59" i="64"/>
  <c r="O42" i="62"/>
  <c r="O38" i="62"/>
  <c r="O39" i="62"/>
  <c r="P44" i="62"/>
  <c r="N38" i="62"/>
  <c r="R37" i="62"/>
  <c r="Q59" i="64" l="1"/>
  <c r="R58" i="64"/>
  <c r="R47" i="64"/>
  <c r="O43" i="62"/>
  <c r="P39" i="62"/>
  <c r="S37" i="62"/>
  <c r="Q44" i="62"/>
  <c r="P42" i="62"/>
  <c r="N43" i="62"/>
  <c r="P38" i="62"/>
  <c r="R59" i="64" l="1"/>
  <c r="T37" i="62"/>
  <c r="U37" i="62"/>
  <c r="R44" i="62"/>
  <c r="Q39" i="62"/>
  <c r="P43" i="62"/>
  <c r="Q42" i="62"/>
  <c r="Q38" i="62" l="1"/>
  <c r="R39" i="62"/>
  <c r="R42" i="62"/>
  <c r="S44" i="62"/>
  <c r="R38" i="62"/>
  <c r="Q43" i="62" l="1"/>
  <c r="S42" i="62"/>
  <c r="S38" i="62"/>
  <c r="U44" i="62"/>
  <c r="T44" i="62"/>
  <c r="S39" i="62"/>
  <c r="T39" i="62" l="1"/>
  <c r="U39" i="62"/>
  <c r="T38" i="62"/>
  <c r="T42" i="62"/>
  <c r="U42" i="62"/>
  <c r="R43" i="62"/>
  <c r="T43" i="62" l="1"/>
  <c r="U38" i="62"/>
  <c r="S43" i="62"/>
  <c r="U43" i="62" l="1"/>
  <c r="L1" i="44" l="1"/>
  <c r="M1" i="44"/>
  <c r="N1" i="44"/>
  <c r="O1" i="44"/>
  <c r="P1" i="44" s="1"/>
  <c r="Q1" i="44" s="1"/>
  <c r="R1" i="44" s="1"/>
  <c r="S1" i="44" s="1"/>
  <c r="T1" i="44" s="1"/>
  <c r="U1" i="44" s="1"/>
  <c r="V1" i="44" s="1"/>
  <c r="W1" i="44" s="1"/>
  <c r="X1" i="44" s="1"/>
  <c r="Y1" i="44" s="1"/>
  <c r="K1" i="44"/>
  <c r="M9" i="44"/>
  <c r="L9" i="44"/>
  <c r="K9" i="44"/>
  <c r="J9" i="44"/>
  <c r="J3" i="57"/>
  <c r="H5" i="44" l="1"/>
  <c r="G5" i="44"/>
  <c r="J5" i="44" s="1"/>
  <c r="E15" i="58" l="1"/>
  <c r="I23" i="58" s="1"/>
  <c r="E5" i="58"/>
  <c r="R24" i="55" l="1"/>
  <c r="R48" i="55"/>
  <c r="W48" i="55" s="1"/>
  <c r="W24" i="55"/>
  <c r="G48" i="55"/>
  <c r="F48" i="55"/>
  <c r="E48" i="55"/>
  <c r="D48" i="55"/>
  <c r="C48" i="55"/>
  <c r="C47" i="55"/>
  <c r="D47" i="55"/>
  <c r="E47" i="55"/>
  <c r="F47" i="55"/>
  <c r="Q48" i="55"/>
  <c r="P48" i="55"/>
  <c r="O48" i="55"/>
  <c r="N48" i="55"/>
  <c r="M48" i="55"/>
  <c r="L48" i="55"/>
  <c r="K48" i="55"/>
  <c r="J48" i="55"/>
  <c r="I48" i="55"/>
  <c r="H48" i="55"/>
  <c r="R125" i="55" l="1"/>
  <c r="Q125" i="55"/>
  <c r="P125" i="55"/>
  <c r="O125" i="55"/>
  <c r="N125" i="55"/>
  <c r="M125" i="55"/>
  <c r="L125" i="55"/>
  <c r="L101" i="55"/>
  <c r="M101" i="55"/>
  <c r="N101" i="55"/>
  <c r="O101" i="55"/>
  <c r="P101" i="55"/>
  <c r="Q101" i="55"/>
  <c r="R101" i="55"/>
  <c r="R23" i="55"/>
  <c r="R149" i="55" l="1"/>
  <c r="H149" i="55"/>
  <c r="G149" i="55"/>
  <c r="F149" i="55"/>
  <c r="E149" i="55"/>
  <c r="D149" i="55"/>
  <c r="C149" i="55"/>
  <c r="R148" i="55"/>
  <c r="H148" i="55"/>
  <c r="G148" i="55"/>
  <c r="F148" i="55"/>
  <c r="E148" i="55"/>
  <c r="D148" i="55"/>
  <c r="C148" i="55"/>
  <c r="R147" i="55"/>
  <c r="H147" i="55"/>
  <c r="G147" i="55"/>
  <c r="F147" i="55"/>
  <c r="E147" i="55"/>
  <c r="D147" i="55"/>
  <c r="C147" i="55"/>
  <c r="R145" i="55"/>
  <c r="H145" i="55"/>
  <c r="G145" i="55"/>
  <c r="F145" i="55"/>
  <c r="R144" i="55"/>
  <c r="H144" i="55"/>
  <c r="G144" i="55"/>
  <c r="F144" i="55"/>
  <c r="E144" i="55"/>
  <c r="D144" i="55"/>
  <c r="C144" i="55"/>
  <c r="R141" i="55"/>
  <c r="H141" i="55"/>
  <c r="G141" i="55"/>
  <c r="F141" i="55"/>
  <c r="R140" i="55"/>
  <c r="H140" i="55"/>
  <c r="G140" i="55"/>
  <c r="F140" i="55"/>
  <c r="E140" i="55"/>
  <c r="D140" i="55"/>
  <c r="C140" i="55"/>
  <c r="R139" i="55"/>
  <c r="H139" i="55"/>
  <c r="G139" i="55"/>
  <c r="F139" i="55"/>
  <c r="E139" i="55"/>
  <c r="D139" i="55"/>
  <c r="C139" i="55"/>
  <c r="R137" i="55"/>
  <c r="H137" i="55"/>
  <c r="G137" i="55"/>
  <c r="F137" i="55"/>
  <c r="G134" i="55"/>
  <c r="H134" i="55"/>
  <c r="R134" i="55"/>
  <c r="F134" i="55"/>
  <c r="R71" i="55"/>
  <c r="H71" i="55"/>
  <c r="G71" i="55"/>
  <c r="F71" i="55"/>
  <c r="R70" i="55"/>
  <c r="H70" i="55"/>
  <c r="G70" i="55"/>
  <c r="F70" i="55"/>
  <c r="R69" i="55"/>
  <c r="H69" i="55"/>
  <c r="G69" i="55"/>
  <c r="F69" i="55"/>
  <c r="R67" i="55"/>
  <c r="H67" i="55"/>
  <c r="G67" i="55"/>
  <c r="F67" i="55"/>
  <c r="R66" i="55"/>
  <c r="H66" i="55"/>
  <c r="G66" i="55"/>
  <c r="F66" i="55"/>
  <c r="R63" i="55"/>
  <c r="X63" i="55" s="1"/>
  <c r="H63" i="55"/>
  <c r="G63" i="55"/>
  <c r="F63" i="55"/>
  <c r="R62" i="55"/>
  <c r="X62" i="55" s="1"/>
  <c r="H62" i="55"/>
  <c r="G62" i="55"/>
  <c r="F62" i="55"/>
  <c r="R60" i="55"/>
  <c r="X60" i="55" s="1"/>
  <c r="H60" i="55"/>
  <c r="G60" i="55"/>
  <c r="F60" i="55"/>
  <c r="R58" i="55"/>
  <c r="X58" i="55" s="1"/>
  <c r="H58" i="55"/>
  <c r="G58" i="55"/>
  <c r="F58" i="55"/>
  <c r="H55" i="55"/>
  <c r="G55" i="55"/>
  <c r="R55" i="55"/>
  <c r="D69" i="55"/>
  <c r="E69" i="55"/>
  <c r="D70" i="55"/>
  <c r="E70" i="55"/>
  <c r="D71" i="55"/>
  <c r="E71" i="55"/>
  <c r="C71" i="55"/>
  <c r="C70" i="55"/>
  <c r="C69" i="55"/>
  <c r="E66" i="55"/>
  <c r="D66" i="55"/>
  <c r="C66" i="55"/>
  <c r="F61" i="55"/>
  <c r="H152" i="55" l="1"/>
  <c r="X139" i="55"/>
  <c r="X148" i="55"/>
  <c r="I148" i="55" s="1"/>
  <c r="J148" i="55" s="1"/>
  <c r="K148" i="55" s="1"/>
  <c r="L148" i="55" s="1"/>
  <c r="M148" i="55" s="1"/>
  <c r="N148" i="55" s="1"/>
  <c r="O148" i="55" s="1"/>
  <c r="P148" i="55" s="1"/>
  <c r="Q148" i="55" s="1"/>
  <c r="H74" i="55"/>
  <c r="X71" i="55"/>
  <c r="I71" i="55" s="1"/>
  <c r="J71" i="55" s="1"/>
  <c r="K71" i="55" s="1"/>
  <c r="L71" i="55" s="1"/>
  <c r="M71" i="55" s="1"/>
  <c r="N71" i="55" s="1"/>
  <c r="O71" i="55" s="1"/>
  <c r="P71" i="55" s="1"/>
  <c r="Q71" i="55" s="1"/>
  <c r="G152" i="55"/>
  <c r="X137" i="55"/>
  <c r="I137" i="55" s="1"/>
  <c r="R74" i="55"/>
  <c r="F152" i="55"/>
  <c r="X144" i="55"/>
  <c r="X145" i="55"/>
  <c r="I145" i="55" s="1"/>
  <c r="J145" i="55" s="1"/>
  <c r="K145" i="55" s="1"/>
  <c r="L145" i="55" s="1"/>
  <c r="M145" i="55" s="1"/>
  <c r="N145" i="55" s="1"/>
  <c r="O145" i="55" s="1"/>
  <c r="P145" i="55" s="1"/>
  <c r="Q145" i="55" s="1"/>
  <c r="X134" i="55"/>
  <c r="I134" i="55" s="1"/>
  <c r="X140" i="55"/>
  <c r="I140" i="55" s="1"/>
  <c r="X149" i="55"/>
  <c r="I149" i="55" s="1"/>
  <c r="J149" i="55" s="1"/>
  <c r="K149" i="55" s="1"/>
  <c r="L149" i="55" s="1"/>
  <c r="M149" i="55" s="1"/>
  <c r="N149" i="55" s="1"/>
  <c r="O149" i="55" s="1"/>
  <c r="P149" i="55" s="1"/>
  <c r="Q149" i="55" s="1"/>
  <c r="R152" i="55"/>
  <c r="X55" i="55"/>
  <c r="I55" i="55" s="1"/>
  <c r="X67" i="55"/>
  <c r="I67" i="55" s="1"/>
  <c r="J67" i="55" s="1"/>
  <c r="K67" i="55" s="1"/>
  <c r="L67" i="55" s="1"/>
  <c r="M67" i="55" s="1"/>
  <c r="N67" i="55" s="1"/>
  <c r="O67" i="55" s="1"/>
  <c r="P67" i="55" s="1"/>
  <c r="Q67" i="55" s="1"/>
  <c r="X69" i="55"/>
  <c r="I69" i="55" s="1"/>
  <c r="J69" i="55" s="1"/>
  <c r="K69" i="55" s="1"/>
  <c r="L69" i="55" s="1"/>
  <c r="M69" i="55" s="1"/>
  <c r="N69" i="55" s="1"/>
  <c r="O69" i="55" s="1"/>
  <c r="P69" i="55" s="1"/>
  <c r="Q69" i="55" s="1"/>
  <c r="X70" i="55"/>
  <c r="I70" i="55" s="1"/>
  <c r="J70" i="55" s="1"/>
  <c r="K70" i="55" s="1"/>
  <c r="L70" i="55" s="1"/>
  <c r="M70" i="55" s="1"/>
  <c r="N70" i="55" s="1"/>
  <c r="O70" i="55" s="1"/>
  <c r="P70" i="55" s="1"/>
  <c r="Q70" i="55" s="1"/>
  <c r="G74" i="55"/>
  <c r="I144" i="55"/>
  <c r="J144" i="55" s="1"/>
  <c r="K144" i="55" s="1"/>
  <c r="L144" i="55" s="1"/>
  <c r="M144" i="55" s="1"/>
  <c r="N144" i="55" s="1"/>
  <c r="O144" i="55" s="1"/>
  <c r="P144" i="55" s="1"/>
  <c r="Q144" i="55" s="1"/>
  <c r="X147" i="55"/>
  <c r="I147" i="55" s="1"/>
  <c r="J147" i="55" s="1"/>
  <c r="K147" i="55" s="1"/>
  <c r="L147" i="55" s="1"/>
  <c r="M147" i="55" s="1"/>
  <c r="N147" i="55" s="1"/>
  <c r="O147" i="55" s="1"/>
  <c r="P147" i="55" s="1"/>
  <c r="Q147" i="55" s="1"/>
  <c r="X66" i="55"/>
  <c r="I66" i="55" s="1"/>
  <c r="J66" i="55" s="1"/>
  <c r="K66" i="55" s="1"/>
  <c r="L66" i="55" s="1"/>
  <c r="M66" i="55" s="1"/>
  <c r="N66" i="55" s="1"/>
  <c r="O66" i="55" s="1"/>
  <c r="P66" i="55" s="1"/>
  <c r="Q66" i="55" s="1"/>
  <c r="I60" i="55"/>
  <c r="J60" i="55" s="1"/>
  <c r="K60" i="55" s="1"/>
  <c r="L60" i="55" s="1"/>
  <c r="M60" i="55" s="1"/>
  <c r="N60" i="55" s="1"/>
  <c r="O60" i="55" s="1"/>
  <c r="P60" i="55" s="1"/>
  <c r="Q60" i="55" s="1"/>
  <c r="I62" i="55"/>
  <c r="J62" i="55" s="1"/>
  <c r="K62" i="55" s="1"/>
  <c r="L62" i="55" s="1"/>
  <c r="M62" i="55" s="1"/>
  <c r="N62" i="55" s="1"/>
  <c r="O62" i="55" s="1"/>
  <c r="P62" i="55" s="1"/>
  <c r="Q62" i="55" s="1"/>
  <c r="I63" i="55"/>
  <c r="J63" i="55" s="1"/>
  <c r="K63" i="55" s="1"/>
  <c r="L63" i="55" s="1"/>
  <c r="M63" i="55" s="1"/>
  <c r="N63" i="55" s="1"/>
  <c r="O63" i="55" s="1"/>
  <c r="P63" i="55" s="1"/>
  <c r="Q63" i="55" s="1"/>
  <c r="I139" i="55"/>
  <c r="J139" i="55" s="1"/>
  <c r="K139" i="55" s="1"/>
  <c r="L139" i="55" s="1"/>
  <c r="M139" i="55" s="1"/>
  <c r="N139" i="55" s="1"/>
  <c r="O139" i="55" s="1"/>
  <c r="P139" i="55" s="1"/>
  <c r="Q139" i="55" s="1"/>
  <c r="X141" i="55"/>
  <c r="I141" i="55" s="1"/>
  <c r="J141" i="55" s="1"/>
  <c r="K141" i="55" s="1"/>
  <c r="L141" i="55" s="1"/>
  <c r="M141" i="55" s="1"/>
  <c r="N141" i="55" s="1"/>
  <c r="O141" i="55" s="1"/>
  <c r="P141" i="55" s="1"/>
  <c r="Q141" i="55" s="1"/>
  <c r="I58" i="55"/>
  <c r="J137" i="55" l="1"/>
  <c r="I152" i="55"/>
  <c r="J134" i="55"/>
  <c r="J58" i="55"/>
  <c r="J140" i="55"/>
  <c r="I74" i="55"/>
  <c r="J55" i="55"/>
  <c r="F55" i="55"/>
  <c r="E117" i="55"/>
  <c r="E113" i="55"/>
  <c r="D113" i="55" s="1"/>
  <c r="E109" i="55"/>
  <c r="E106" i="55"/>
  <c r="D8" i="44"/>
  <c r="L9" i="52"/>
  <c r="I10" i="52"/>
  <c r="J10" i="52"/>
  <c r="K10" i="52"/>
  <c r="L10" i="52"/>
  <c r="M10" i="52"/>
  <c r="N10" i="52"/>
  <c r="O10" i="52"/>
  <c r="P10" i="52"/>
  <c r="Q10" i="52"/>
  <c r="R10" i="52"/>
  <c r="S10" i="52"/>
  <c r="T10" i="52"/>
  <c r="U10" i="52"/>
  <c r="V10" i="52"/>
  <c r="W10" i="52"/>
  <c r="H10" i="52"/>
  <c r="N8" i="44" l="1"/>
  <c r="I40" i="65" s="1"/>
  <c r="I54" i="65" s="1"/>
  <c r="N9" i="44"/>
  <c r="T8" i="44"/>
  <c r="O40" i="65" s="1"/>
  <c r="O54" i="65" s="1"/>
  <c r="D109" i="55"/>
  <c r="J125" i="55"/>
  <c r="K125" i="55"/>
  <c r="D106" i="55"/>
  <c r="K137" i="55"/>
  <c r="J74" i="55"/>
  <c r="K55" i="55"/>
  <c r="K58" i="55"/>
  <c r="K134" i="55"/>
  <c r="J152" i="55"/>
  <c r="D117" i="55"/>
  <c r="C117" i="55" s="1"/>
  <c r="F74" i="55"/>
  <c r="X74" i="55" s="1"/>
  <c r="K140" i="55"/>
  <c r="C113" i="55"/>
  <c r="Q24" i="55"/>
  <c r="P24" i="55"/>
  <c r="O24" i="55"/>
  <c r="N24" i="55"/>
  <c r="M24" i="55"/>
  <c r="L24" i="55"/>
  <c r="O9" i="44" l="1"/>
  <c r="N10" i="44"/>
  <c r="L137" i="55"/>
  <c r="C106" i="55"/>
  <c r="C109" i="55"/>
  <c r="H125" i="55" s="1"/>
  <c r="L134" i="55"/>
  <c r="L153" i="55" s="1"/>
  <c r="K152" i="55"/>
  <c r="K74" i="55"/>
  <c r="L140" i="55"/>
  <c r="L58" i="55"/>
  <c r="F13" i="59"/>
  <c r="F15" i="59" s="1"/>
  <c r="G13" i="59"/>
  <c r="G15" i="59" s="1"/>
  <c r="G16" i="59" s="1"/>
  <c r="H13" i="59"/>
  <c r="H15" i="59" s="1"/>
  <c r="H16" i="59" s="1"/>
  <c r="I13" i="59"/>
  <c r="I15" i="59" s="1"/>
  <c r="I16" i="59" s="1"/>
  <c r="J13" i="59"/>
  <c r="J15" i="59" s="1"/>
  <c r="J16" i="59" s="1"/>
  <c r="K13" i="59"/>
  <c r="K15" i="59" s="1"/>
  <c r="K16" i="59" s="1"/>
  <c r="L13" i="59"/>
  <c r="L15" i="59" s="1"/>
  <c r="L16" i="59" s="1"/>
  <c r="M13" i="59"/>
  <c r="M15" i="59" s="1"/>
  <c r="M16" i="59" s="1"/>
  <c r="N13" i="59"/>
  <c r="N15" i="59" s="1"/>
  <c r="N16" i="59" s="1"/>
  <c r="O13" i="59"/>
  <c r="O15" i="59" s="1"/>
  <c r="O16" i="59" s="1"/>
  <c r="P13" i="59"/>
  <c r="P15" i="59" s="1"/>
  <c r="P16" i="59" s="1"/>
  <c r="Q13" i="59"/>
  <c r="Q15" i="59" s="1"/>
  <c r="Q16" i="59" s="1"/>
  <c r="R13" i="59"/>
  <c r="R15" i="59" s="1"/>
  <c r="R16" i="59" s="1"/>
  <c r="F7" i="59"/>
  <c r="G7" i="59"/>
  <c r="H7" i="59"/>
  <c r="I7" i="59"/>
  <c r="J7" i="59"/>
  <c r="K7" i="59"/>
  <c r="L7" i="59"/>
  <c r="M7" i="59"/>
  <c r="N7" i="59"/>
  <c r="O7" i="59"/>
  <c r="P7" i="59"/>
  <c r="Q7" i="59"/>
  <c r="R7" i="59"/>
  <c r="O10" i="44" l="1"/>
  <c r="P9" i="44"/>
  <c r="Q9" i="44" s="1"/>
  <c r="R9" i="44" s="1"/>
  <c r="S9" i="44" s="1"/>
  <c r="T9" i="44" s="1"/>
  <c r="U9" i="44" s="1"/>
  <c r="V9" i="44" s="1"/>
  <c r="W9" i="44" s="1"/>
  <c r="X9" i="44" s="1"/>
  <c r="Y9" i="44" s="1"/>
  <c r="Z9" i="44" s="1"/>
  <c r="D125" i="55"/>
  <c r="E125" i="55"/>
  <c r="C125" i="55"/>
  <c r="G125" i="55"/>
  <c r="I125" i="55"/>
  <c r="F125" i="55"/>
  <c r="M137" i="55"/>
  <c r="M140" i="55"/>
  <c r="M58" i="55"/>
  <c r="M134" i="55"/>
  <c r="M153" i="55" s="1"/>
  <c r="L152" i="55"/>
  <c r="K23" i="58"/>
  <c r="K26" i="58" s="1"/>
  <c r="L23" i="58"/>
  <c r="L26" i="58" s="1"/>
  <c r="M23" i="58"/>
  <c r="N23" i="58"/>
  <c r="O23" i="58"/>
  <c r="P23" i="58"/>
  <c r="Q23" i="58"/>
  <c r="R23" i="58"/>
  <c r="S23" i="58"/>
  <c r="T23" i="58"/>
  <c r="U23" i="58"/>
  <c r="V23" i="58"/>
  <c r="O19" i="58"/>
  <c r="P19" i="58"/>
  <c r="Q19" i="58"/>
  <c r="R19" i="58"/>
  <c r="S19" i="58"/>
  <c r="T19" i="58"/>
  <c r="U19" i="58"/>
  <c r="V19" i="58"/>
  <c r="N19" i="58"/>
  <c r="M19" i="58"/>
  <c r="R25" i="55"/>
  <c r="O25" i="58"/>
  <c r="P25" i="58"/>
  <c r="Q25" i="58"/>
  <c r="R25" i="58"/>
  <c r="S25" i="58"/>
  <c r="T25" i="58"/>
  <c r="U25" i="58"/>
  <c r="V25" i="58"/>
  <c r="N25" i="58"/>
  <c r="M25" i="58"/>
  <c r="O24" i="58"/>
  <c r="P24" i="58"/>
  <c r="Q24" i="58"/>
  <c r="R24" i="58"/>
  <c r="S24" i="58"/>
  <c r="T24" i="58"/>
  <c r="U24" i="58"/>
  <c r="V24" i="58"/>
  <c r="N24" i="58"/>
  <c r="M24" i="58"/>
  <c r="O22" i="58"/>
  <c r="P22" i="58"/>
  <c r="Q22" i="58"/>
  <c r="R22" i="58"/>
  <c r="S22" i="58"/>
  <c r="T22" i="58"/>
  <c r="U22" i="58"/>
  <c r="V22" i="58"/>
  <c r="N22" i="58"/>
  <c r="M22" i="58"/>
  <c r="O21" i="58"/>
  <c r="P21" i="58"/>
  <c r="Q21" i="58"/>
  <c r="R21" i="58"/>
  <c r="S21" i="58"/>
  <c r="T21" i="58"/>
  <c r="U21" i="58"/>
  <c r="V21" i="58"/>
  <c r="N21" i="58"/>
  <c r="M21" i="58"/>
  <c r="O20" i="58"/>
  <c r="P20" i="58"/>
  <c r="Q20" i="58"/>
  <c r="R20" i="58"/>
  <c r="S20" i="58"/>
  <c r="T20" i="58"/>
  <c r="U20" i="58"/>
  <c r="V20" i="58"/>
  <c r="N20" i="58"/>
  <c r="M20" i="58"/>
  <c r="M11" i="58"/>
  <c r="N11" i="58"/>
  <c r="O11" i="58"/>
  <c r="P11" i="58"/>
  <c r="Q11" i="58"/>
  <c r="R11" i="58"/>
  <c r="S11" i="58"/>
  <c r="T11" i="58"/>
  <c r="U11" i="58"/>
  <c r="V11" i="58"/>
  <c r="I10" i="58"/>
  <c r="J10" i="58"/>
  <c r="K10" i="58"/>
  <c r="L10" i="58"/>
  <c r="M10" i="58"/>
  <c r="N10" i="58"/>
  <c r="O10" i="58"/>
  <c r="P10" i="58"/>
  <c r="Q10" i="58"/>
  <c r="R10" i="58"/>
  <c r="S10" i="58"/>
  <c r="T10" i="58"/>
  <c r="U10" i="58"/>
  <c r="V10" i="58"/>
  <c r="H10" i="58"/>
  <c r="H11" i="58"/>
  <c r="I11" i="58"/>
  <c r="J11" i="58"/>
  <c r="K11" i="58"/>
  <c r="L11" i="58"/>
  <c r="N9" i="58"/>
  <c r="N12" i="58" l="1"/>
  <c r="N137" i="55"/>
  <c r="O137" i="55" s="1"/>
  <c r="P137" i="55" s="1"/>
  <c r="Q137" i="55" s="1"/>
  <c r="R8" i="59"/>
  <c r="R9" i="59" s="1"/>
  <c r="R10" i="59" s="1"/>
  <c r="N134" i="55"/>
  <c r="M152" i="55"/>
  <c r="N58" i="55"/>
  <c r="O58" i="55" s="1"/>
  <c r="P58" i="55" s="1"/>
  <c r="Q58" i="55" s="1"/>
  <c r="N140" i="55"/>
  <c r="I8" i="59"/>
  <c r="I9" i="59" s="1"/>
  <c r="I10" i="59" s="1"/>
  <c r="K41" i="65" s="1"/>
  <c r="K55" i="65" s="1"/>
  <c r="N26" i="58"/>
  <c r="N30" i="58" s="1"/>
  <c r="V26" i="58"/>
  <c r="S26" i="58"/>
  <c r="O26" i="58"/>
  <c r="M26" i="58"/>
  <c r="R26" i="58"/>
  <c r="P26" i="58"/>
  <c r="U26" i="58"/>
  <c r="Q26" i="58"/>
  <c r="T26" i="58"/>
  <c r="F23" i="55"/>
  <c r="O9" i="58"/>
  <c r="O12" i="58" s="1"/>
  <c r="P9" i="58"/>
  <c r="P12" i="58" s="1"/>
  <c r="Q9" i="58"/>
  <c r="Q12" i="58" s="1"/>
  <c r="R9" i="58"/>
  <c r="R12" i="58" s="1"/>
  <c r="S9" i="58"/>
  <c r="S12" i="58" s="1"/>
  <c r="T9" i="58"/>
  <c r="T12" i="58" s="1"/>
  <c r="U9" i="58"/>
  <c r="U12" i="58" s="1"/>
  <c r="V9" i="58"/>
  <c r="V12" i="58" s="1"/>
  <c r="K14" i="64" l="1"/>
  <c r="N153" i="55"/>
  <c r="N8" i="59"/>
  <c r="N9" i="59" s="1"/>
  <c r="N10" i="59" s="1"/>
  <c r="P41" i="65" s="1"/>
  <c r="P55" i="65" s="1"/>
  <c r="J8" i="59"/>
  <c r="J9" i="59" s="1"/>
  <c r="J10" i="59" s="1"/>
  <c r="L41" i="65" s="1"/>
  <c r="L55" i="65" s="1"/>
  <c r="O140" i="55"/>
  <c r="Q8" i="59"/>
  <c r="Q9" i="59" s="1"/>
  <c r="Q10" i="59" s="1"/>
  <c r="S41" i="65" s="1"/>
  <c r="S55" i="65" s="1"/>
  <c r="M8" i="59"/>
  <c r="M9" i="59" s="1"/>
  <c r="M10" i="59" s="1"/>
  <c r="O41" i="65" s="1"/>
  <c r="O55" i="65" s="1"/>
  <c r="P8" i="59"/>
  <c r="P9" i="59" s="1"/>
  <c r="P10" i="59" s="1"/>
  <c r="R41" i="65" s="1"/>
  <c r="R55" i="65" s="1"/>
  <c r="L8" i="59"/>
  <c r="L9" i="59" s="1"/>
  <c r="L10" i="59" s="1"/>
  <c r="N41" i="65" s="1"/>
  <c r="N55" i="65" s="1"/>
  <c r="O8" i="59"/>
  <c r="O9" i="59" s="1"/>
  <c r="O10" i="59" s="1"/>
  <c r="Q41" i="65" s="1"/>
  <c r="Q55" i="65" s="1"/>
  <c r="K8" i="59"/>
  <c r="K9" i="59" s="1"/>
  <c r="K10" i="59" s="1"/>
  <c r="M41" i="65" s="1"/>
  <c r="M55" i="65" s="1"/>
  <c r="O134" i="55"/>
  <c r="O153" i="55" s="1"/>
  <c r="N152" i="55"/>
  <c r="S30" i="58"/>
  <c r="R30" i="58"/>
  <c r="O30" i="58"/>
  <c r="U30" i="58"/>
  <c r="P30" i="58"/>
  <c r="T30" i="58"/>
  <c r="Q30" i="58"/>
  <c r="V30" i="58"/>
  <c r="I10" i="55"/>
  <c r="G36" i="55"/>
  <c r="H36" i="55"/>
  <c r="I36" i="55"/>
  <c r="J36" i="55"/>
  <c r="K36" i="55"/>
  <c r="L36" i="55"/>
  <c r="M36" i="55"/>
  <c r="N36" i="55"/>
  <c r="O36" i="55"/>
  <c r="P36" i="55"/>
  <c r="Q36" i="55"/>
  <c r="R36" i="55"/>
  <c r="F36" i="55"/>
  <c r="M14" i="64" l="1"/>
  <c r="M14" i="63"/>
  <c r="L26" i="63"/>
  <c r="S14" i="63"/>
  <c r="R14" i="63"/>
  <c r="R14" i="64"/>
  <c r="Q26" i="63"/>
  <c r="R26" i="63"/>
  <c r="S26" i="63"/>
  <c r="K14" i="65"/>
  <c r="N14" i="63"/>
  <c r="N14" i="64"/>
  <c r="L14" i="63"/>
  <c r="L14" i="64"/>
  <c r="P26" i="63"/>
  <c r="P14" i="63"/>
  <c r="P14" i="64"/>
  <c r="Q14" i="64"/>
  <c r="Q14" i="63"/>
  <c r="O14" i="64"/>
  <c r="O14" i="63"/>
  <c r="M26" i="63"/>
  <c r="N26" i="63"/>
  <c r="O26" i="63"/>
  <c r="P134" i="55"/>
  <c r="O152" i="55"/>
  <c r="P140" i="55"/>
  <c r="S36" i="55"/>
  <c r="L14" i="65" l="1"/>
  <c r="R14" i="65"/>
  <c r="M14" i="65"/>
  <c r="P14" i="65"/>
  <c r="S14" i="65"/>
  <c r="N14" i="65"/>
  <c r="S42" i="64"/>
  <c r="S14" i="64"/>
  <c r="O14" i="65"/>
  <c r="Q14" i="65"/>
  <c r="P153" i="55"/>
  <c r="Q140" i="55"/>
  <c r="Q134" i="55"/>
  <c r="P152" i="55"/>
  <c r="I8" i="57"/>
  <c r="D8" i="57"/>
  <c r="D9" i="57"/>
  <c r="E15" i="57"/>
  <c r="O56" i="65" l="1"/>
  <c r="O42" i="65"/>
  <c r="Q152" i="55"/>
  <c r="Q153" i="55"/>
  <c r="R153" i="55"/>
  <c r="C9" i="58"/>
  <c r="D9" i="58" s="1"/>
  <c r="H9" i="58" s="1"/>
  <c r="H12" i="58" s="1"/>
  <c r="C8" i="59" l="1"/>
  <c r="I9" i="58"/>
  <c r="I12" i="58" s="1"/>
  <c r="K10" i="57"/>
  <c r="K8" i="57"/>
  <c r="D13" i="57"/>
  <c r="K6" i="57"/>
  <c r="L6" i="57"/>
  <c r="C12" i="57" l="1"/>
  <c r="C13" i="57"/>
  <c r="D12" i="57"/>
  <c r="D15" i="57" s="1"/>
  <c r="I15" i="57" s="1"/>
  <c r="D8" i="59"/>
  <c r="J9" i="58"/>
  <c r="J12" i="58" s="1"/>
  <c r="C15" i="57"/>
  <c r="H15" i="57" s="1"/>
  <c r="H8" i="57"/>
  <c r="H7" i="57"/>
  <c r="H10" i="57"/>
  <c r="H11" i="57"/>
  <c r="I7" i="57"/>
  <c r="I10" i="57"/>
  <c r="I11" i="57"/>
  <c r="N6" i="57"/>
  <c r="I6" i="57"/>
  <c r="H9" i="57"/>
  <c r="M6" i="57"/>
  <c r="H6" i="57"/>
  <c r="E8" i="59" l="1"/>
  <c r="K9" i="58"/>
  <c r="I13" i="57"/>
  <c r="H12" i="57"/>
  <c r="I12" i="57"/>
  <c r="H13" i="57"/>
  <c r="H12" i="56"/>
  <c r="G12" i="56"/>
  <c r="F10" i="56"/>
  <c r="E10" i="56"/>
  <c r="H8" i="56"/>
  <c r="G8" i="56"/>
  <c r="H7" i="56"/>
  <c r="H11" i="56" s="1"/>
  <c r="G7" i="56"/>
  <c r="G11" i="56" s="1"/>
  <c r="L9" i="58" l="1"/>
  <c r="L12" i="58" s="1"/>
  <c r="K12" i="58"/>
  <c r="F8" i="59"/>
  <c r="F9" i="59" s="1"/>
  <c r="K30" i="58"/>
  <c r="G8" i="59"/>
  <c r="G9" i="59" s="1"/>
  <c r="G10" i="59" s="1"/>
  <c r="I41" i="65" s="1"/>
  <c r="I55" i="65" s="1"/>
  <c r="I17" i="57"/>
  <c r="H17" i="57"/>
  <c r="L30" i="58" l="1"/>
  <c r="E128" i="55"/>
  <c r="E127" i="55"/>
  <c r="R94" i="55"/>
  <c r="Q94" i="55"/>
  <c r="P94" i="55"/>
  <c r="O94" i="55"/>
  <c r="N94" i="55"/>
  <c r="M94" i="55"/>
  <c r="L94" i="55"/>
  <c r="K94" i="55"/>
  <c r="J94" i="55"/>
  <c r="I94" i="55"/>
  <c r="H94" i="55"/>
  <c r="G94" i="55"/>
  <c r="U94" i="55" s="1"/>
  <c r="E93" i="55" s="1"/>
  <c r="E145" i="55" s="1"/>
  <c r="R90" i="55"/>
  <c r="Q90" i="55"/>
  <c r="P90" i="55"/>
  <c r="O90" i="55"/>
  <c r="N90" i="55"/>
  <c r="M90" i="55"/>
  <c r="L90" i="55"/>
  <c r="K90" i="55"/>
  <c r="J90" i="55"/>
  <c r="I90" i="55"/>
  <c r="H90" i="55"/>
  <c r="G90" i="55"/>
  <c r="U90" i="55" s="1"/>
  <c r="E89" i="55" s="1"/>
  <c r="E141" i="55" s="1"/>
  <c r="R86" i="55"/>
  <c r="Q86" i="55"/>
  <c r="P86" i="55"/>
  <c r="O86" i="55"/>
  <c r="N86" i="55"/>
  <c r="M86" i="55"/>
  <c r="L86" i="55"/>
  <c r="K86" i="55"/>
  <c r="J86" i="55"/>
  <c r="I86" i="55"/>
  <c r="H86" i="55"/>
  <c r="G86" i="55"/>
  <c r="R83" i="55"/>
  <c r="R99" i="55" s="1"/>
  <c r="Q83" i="55"/>
  <c r="Q99" i="55" s="1"/>
  <c r="P83" i="55"/>
  <c r="O83" i="55"/>
  <c r="O99" i="55" s="1"/>
  <c r="N83" i="55"/>
  <c r="N99" i="55" s="1"/>
  <c r="M83" i="55"/>
  <c r="M99" i="55" s="1"/>
  <c r="L83" i="55"/>
  <c r="K83" i="55"/>
  <c r="K99" i="55" s="1"/>
  <c r="J83" i="55"/>
  <c r="J99" i="55" s="1"/>
  <c r="I83" i="55"/>
  <c r="I99" i="55" s="1"/>
  <c r="H83" i="55"/>
  <c r="G83" i="55"/>
  <c r="U83" i="55" s="1"/>
  <c r="E82" i="55" s="1"/>
  <c r="I41" i="55"/>
  <c r="H41" i="55"/>
  <c r="R41" i="55"/>
  <c r="Q41" i="55"/>
  <c r="P41" i="55"/>
  <c r="O41" i="55"/>
  <c r="N41" i="55"/>
  <c r="M41" i="55"/>
  <c r="L41" i="55"/>
  <c r="K41" i="55"/>
  <c r="J41" i="55"/>
  <c r="G41" i="55"/>
  <c r="U41" i="55" s="1"/>
  <c r="R37" i="55"/>
  <c r="Q37" i="55"/>
  <c r="P37" i="55"/>
  <c r="O37" i="55"/>
  <c r="N37" i="55"/>
  <c r="M37" i="55"/>
  <c r="L37" i="55"/>
  <c r="K37" i="55"/>
  <c r="J37" i="55"/>
  <c r="I37" i="55"/>
  <c r="H37" i="55"/>
  <c r="G37" i="55"/>
  <c r="R32" i="55"/>
  <c r="Q32" i="55"/>
  <c r="P32" i="55"/>
  <c r="O32" i="55"/>
  <c r="N32" i="55"/>
  <c r="M32" i="55"/>
  <c r="L32" i="55"/>
  <c r="K32" i="55"/>
  <c r="J32" i="55"/>
  <c r="I32" i="55"/>
  <c r="H32" i="55"/>
  <c r="G32" i="55"/>
  <c r="U32" i="55" s="1"/>
  <c r="R29" i="55"/>
  <c r="Q29" i="55"/>
  <c r="P29" i="55"/>
  <c r="O29" i="55"/>
  <c r="N29" i="55"/>
  <c r="M29" i="55"/>
  <c r="L29" i="55"/>
  <c r="K29" i="55"/>
  <c r="J29" i="55"/>
  <c r="I29" i="55"/>
  <c r="H29" i="55"/>
  <c r="G29" i="55"/>
  <c r="U29" i="55" s="1"/>
  <c r="D71" i="54"/>
  <c r="E71" i="54"/>
  <c r="F71" i="54"/>
  <c r="G71" i="54"/>
  <c r="H71" i="54"/>
  <c r="I71" i="54"/>
  <c r="J71" i="54"/>
  <c r="K71" i="54"/>
  <c r="L71" i="54"/>
  <c r="M71" i="54"/>
  <c r="N71" i="54"/>
  <c r="O71" i="54"/>
  <c r="C71" i="54"/>
  <c r="G123" i="55"/>
  <c r="H123" i="55"/>
  <c r="I123" i="55"/>
  <c r="J123" i="55"/>
  <c r="K123" i="55"/>
  <c r="L123" i="55"/>
  <c r="M123" i="55"/>
  <c r="N123" i="55"/>
  <c r="O123" i="55"/>
  <c r="P123" i="55"/>
  <c r="Q123" i="55"/>
  <c r="R123" i="55"/>
  <c r="F123" i="55"/>
  <c r="F99" i="55"/>
  <c r="F100" i="55"/>
  <c r="R124" i="55"/>
  <c r="Q124" i="55"/>
  <c r="P124" i="55"/>
  <c r="O124" i="55"/>
  <c r="N124" i="55"/>
  <c r="M124" i="55"/>
  <c r="L124" i="55"/>
  <c r="K124" i="55"/>
  <c r="J124" i="55"/>
  <c r="I124" i="55"/>
  <c r="H124" i="55"/>
  <c r="G124" i="55"/>
  <c r="F124" i="55"/>
  <c r="R100" i="55"/>
  <c r="Q100" i="55"/>
  <c r="P100" i="55"/>
  <c r="O100" i="55"/>
  <c r="N100" i="55"/>
  <c r="M100" i="55"/>
  <c r="L100" i="55"/>
  <c r="K100" i="55"/>
  <c r="J100" i="55"/>
  <c r="I100" i="55"/>
  <c r="H100" i="55"/>
  <c r="G100" i="55"/>
  <c r="O72" i="54"/>
  <c r="N72" i="54"/>
  <c r="M72" i="54"/>
  <c r="L72" i="54"/>
  <c r="K72" i="54"/>
  <c r="J72" i="54"/>
  <c r="I72" i="54"/>
  <c r="H72" i="54"/>
  <c r="G72" i="54"/>
  <c r="F72" i="54"/>
  <c r="E72" i="54"/>
  <c r="D72" i="54"/>
  <c r="C72" i="54"/>
  <c r="D55" i="54"/>
  <c r="E55" i="54"/>
  <c r="F55" i="54"/>
  <c r="G55" i="54"/>
  <c r="H55" i="54"/>
  <c r="I55" i="54"/>
  <c r="J55" i="54"/>
  <c r="K55" i="54"/>
  <c r="L55" i="54"/>
  <c r="M55" i="54"/>
  <c r="N55" i="54"/>
  <c r="O55" i="54"/>
  <c r="C55" i="54"/>
  <c r="H14" i="65" l="1"/>
  <c r="H14" i="64"/>
  <c r="H42" i="64"/>
  <c r="E134" i="55"/>
  <c r="U86" i="55"/>
  <c r="E85" i="55" s="1"/>
  <c r="D93" i="55"/>
  <c r="D89" i="55"/>
  <c r="D141" i="55" s="1"/>
  <c r="E13" i="59"/>
  <c r="E15" i="59" s="1"/>
  <c r="D82" i="55"/>
  <c r="H99" i="55"/>
  <c r="L99" i="55"/>
  <c r="P99" i="55"/>
  <c r="G99" i="55"/>
  <c r="H42" i="65" l="1"/>
  <c r="I14" i="65"/>
  <c r="I42" i="64"/>
  <c r="I14" i="64"/>
  <c r="K101" i="55"/>
  <c r="D134" i="55"/>
  <c r="C93" i="55"/>
  <c r="C145" i="55" s="1"/>
  <c r="D145" i="55"/>
  <c r="D85" i="55"/>
  <c r="D100" i="55" s="1"/>
  <c r="E137" i="55"/>
  <c r="E100" i="55"/>
  <c r="E124" i="55" s="1"/>
  <c r="C89" i="55"/>
  <c r="C141" i="55" s="1"/>
  <c r="D13" i="59"/>
  <c r="D15" i="59" s="1"/>
  <c r="C82" i="55"/>
  <c r="R17" i="55"/>
  <c r="Q17" i="55"/>
  <c r="P17" i="55"/>
  <c r="O17" i="55"/>
  <c r="N17" i="55"/>
  <c r="M17" i="55"/>
  <c r="L17" i="55"/>
  <c r="K17" i="55"/>
  <c r="J17" i="55"/>
  <c r="I17" i="55"/>
  <c r="H17" i="55"/>
  <c r="G17" i="55"/>
  <c r="U17" i="55" s="1"/>
  <c r="E16" i="55" s="1"/>
  <c r="R13" i="55"/>
  <c r="Q13" i="55"/>
  <c r="P13" i="55"/>
  <c r="O13" i="55"/>
  <c r="N13" i="55"/>
  <c r="M13" i="55"/>
  <c r="L13" i="55"/>
  <c r="K13" i="55"/>
  <c r="J13" i="55"/>
  <c r="I13" i="55"/>
  <c r="H13" i="55"/>
  <c r="G13" i="55"/>
  <c r="U13" i="55" s="1"/>
  <c r="E12" i="55" s="1"/>
  <c r="E63" i="55" s="1"/>
  <c r="J10" i="55"/>
  <c r="K10" i="55"/>
  <c r="L10" i="55"/>
  <c r="M10" i="55"/>
  <c r="N10" i="55"/>
  <c r="O10" i="55"/>
  <c r="P10" i="55"/>
  <c r="Q10" i="55"/>
  <c r="R10" i="55"/>
  <c r="H10" i="55"/>
  <c r="R8" i="55"/>
  <c r="Q8" i="55"/>
  <c r="P8" i="55"/>
  <c r="O8" i="55"/>
  <c r="N8" i="55"/>
  <c r="M8" i="55"/>
  <c r="L8" i="55"/>
  <c r="K8" i="55"/>
  <c r="J8" i="55"/>
  <c r="I8" i="55"/>
  <c r="H8" i="55"/>
  <c r="G8" i="55"/>
  <c r="U8" i="55" s="1"/>
  <c r="E7" i="55" s="1"/>
  <c r="H5" i="55"/>
  <c r="I5" i="55"/>
  <c r="J5" i="55"/>
  <c r="K5" i="55"/>
  <c r="L5" i="55"/>
  <c r="M5" i="55"/>
  <c r="N5" i="55"/>
  <c r="O5" i="55"/>
  <c r="P5" i="55"/>
  <c r="Q5" i="55"/>
  <c r="R5" i="55"/>
  <c r="G5" i="55"/>
  <c r="U5" i="55" s="1"/>
  <c r="E4" i="55" s="1"/>
  <c r="E55" i="55" s="1"/>
  <c r="R47" i="55"/>
  <c r="Q47" i="55"/>
  <c r="P47" i="55"/>
  <c r="O47" i="55"/>
  <c r="N47" i="55"/>
  <c r="M47" i="55"/>
  <c r="L47" i="55"/>
  <c r="K47" i="55"/>
  <c r="J47" i="55"/>
  <c r="I47" i="55"/>
  <c r="H47" i="55"/>
  <c r="G47" i="55"/>
  <c r="S46" i="55"/>
  <c r="S45" i="55"/>
  <c r="S44" i="55"/>
  <c r="S43" i="55"/>
  <c r="S42" i="55"/>
  <c r="S40" i="55"/>
  <c r="S39" i="55"/>
  <c r="S38" i="55"/>
  <c r="S35" i="55"/>
  <c r="S33" i="55"/>
  <c r="S31" i="55"/>
  <c r="S30" i="55"/>
  <c r="S28" i="55"/>
  <c r="Q23" i="55"/>
  <c r="P23" i="55"/>
  <c r="O23" i="55"/>
  <c r="N23" i="55"/>
  <c r="M23" i="55"/>
  <c r="L23" i="55"/>
  <c r="K23" i="55"/>
  <c r="J23" i="55"/>
  <c r="I23" i="55"/>
  <c r="H23" i="55"/>
  <c r="G23" i="55"/>
  <c r="S22" i="55"/>
  <c r="S21" i="55"/>
  <c r="S20" i="55"/>
  <c r="S19" i="55"/>
  <c r="S18" i="55"/>
  <c r="S16" i="55"/>
  <c r="S15" i="55"/>
  <c r="S14" i="55"/>
  <c r="S12" i="55"/>
  <c r="S11" i="55"/>
  <c r="S9" i="55"/>
  <c r="S7" i="55"/>
  <c r="S6" i="55"/>
  <c r="S4" i="55"/>
  <c r="I42" i="65" l="1"/>
  <c r="E152" i="55"/>
  <c r="K153" i="55"/>
  <c r="E58" i="55"/>
  <c r="K24" i="55"/>
  <c r="J101" i="55"/>
  <c r="C85" i="55"/>
  <c r="C137" i="55" s="1"/>
  <c r="D137" i="55"/>
  <c r="C134" i="55"/>
  <c r="K75" i="55"/>
  <c r="E40" i="55"/>
  <c r="E67" i="55"/>
  <c r="E7" i="59"/>
  <c r="E9" i="59" s="1"/>
  <c r="E36" i="55"/>
  <c r="C13" i="59"/>
  <c r="C15" i="59" s="1"/>
  <c r="E28" i="55"/>
  <c r="D7" i="55"/>
  <c r="D58" i="55" s="1"/>
  <c r="E31" i="55"/>
  <c r="D16" i="55"/>
  <c r="J23" i="58"/>
  <c r="D124" i="55"/>
  <c r="D12" i="55"/>
  <c r="F13" i="55"/>
  <c r="P22" i="54"/>
  <c r="P35" i="54"/>
  <c r="P34" i="54"/>
  <c r="P33" i="54"/>
  <c r="P32" i="54"/>
  <c r="P31" i="54"/>
  <c r="P30" i="54"/>
  <c r="P29" i="54"/>
  <c r="P28" i="54"/>
  <c r="P27" i="54"/>
  <c r="P26" i="54"/>
  <c r="P25" i="54"/>
  <c r="P24" i="54"/>
  <c r="P23" i="54"/>
  <c r="P5" i="54"/>
  <c r="P6" i="54"/>
  <c r="P7" i="54"/>
  <c r="P8" i="54"/>
  <c r="P9" i="54"/>
  <c r="P10" i="54"/>
  <c r="P11" i="54"/>
  <c r="P12" i="54"/>
  <c r="P13" i="54"/>
  <c r="P14" i="54"/>
  <c r="P15" i="54"/>
  <c r="P16" i="54"/>
  <c r="P17" i="54"/>
  <c r="P4" i="54"/>
  <c r="D36" i="54"/>
  <c r="E36" i="54"/>
  <c r="F36" i="54"/>
  <c r="G36" i="54"/>
  <c r="H36" i="54"/>
  <c r="I36" i="54"/>
  <c r="J36" i="54"/>
  <c r="K36" i="54"/>
  <c r="L36" i="54"/>
  <c r="M36" i="54"/>
  <c r="N36" i="54"/>
  <c r="O36" i="54"/>
  <c r="C36" i="54"/>
  <c r="D18" i="54"/>
  <c r="E18" i="54"/>
  <c r="F18" i="54"/>
  <c r="G18" i="54"/>
  <c r="H18" i="54"/>
  <c r="I18" i="54"/>
  <c r="J18" i="54"/>
  <c r="K18" i="54"/>
  <c r="L18" i="54"/>
  <c r="M18" i="54"/>
  <c r="N18" i="54"/>
  <c r="O18" i="54"/>
  <c r="C18" i="54"/>
  <c r="D152" i="55" l="1"/>
  <c r="I153" i="55"/>
  <c r="G153" i="55"/>
  <c r="E153" i="55"/>
  <c r="H153" i="55"/>
  <c r="C101" i="55"/>
  <c r="F153" i="55"/>
  <c r="D153" i="55"/>
  <c r="C153" i="55"/>
  <c r="H101" i="55"/>
  <c r="J153" i="55"/>
  <c r="G101" i="55"/>
  <c r="I101" i="55"/>
  <c r="F101" i="55"/>
  <c r="D101" i="55"/>
  <c r="C152" i="55"/>
  <c r="C100" i="55"/>
  <c r="E101" i="55"/>
  <c r="E74" i="55"/>
  <c r="J26" i="58"/>
  <c r="J30" i="58" s="1"/>
  <c r="K14" i="63"/>
  <c r="J75" i="55"/>
  <c r="D36" i="55"/>
  <c r="D63" i="55"/>
  <c r="D40" i="55"/>
  <c r="D67" i="55"/>
  <c r="J24" i="55"/>
  <c r="C7" i="55"/>
  <c r="C58" i="55" s="1"/>
  <c r="D31" i="55"/>
  <c r="E13" i="55"/>
  <c r="D7" i="59"/>
  <c r="D9" i="59" s="1"/>
  <c r="C16" i="55"/>
  <c r="C67" i="55" s="1"/>
  <c r="D4" i="55"/>
  <c r="D55" i="55" s="1"/>
  <c r="E23" i="55"/>
  <c r="C12" i="55"/>
  <c r="AH23" i="46"/>
  <c r="AG23" i="46"/>
  <c r="AF23" i="46"/>
  <c r="AE23" i="46"/>
  <c r="AD23" i="46"/>
  <c r="AC23" i="46"/>
  <c r="AB23" i="46"/>
  <c r="AA23" i="46"/>
  <c r="Z23" i="46"/>
  <c r="Y23" i="46"/>
  <c r="X23" i="46"/>
  <c r="W23" i="46"/>
  <c r="V23" i="46"/>
  <c r="U23" i="46"/>
  <c r="AI23" i="46"/>
  <c r="AX23" i="46"/>
  <c r="AW23" i="46"/>
  <c r="AV23" i="46"/>
  <c r="AU23" i="46"/>
  <c r="AT23" i="46"/>
  <c r="AS23" i="46"/>
  <c r="AR23" i="46"/>
  <c r="AQ23" i="46"/>
  <c r="AP23" i="46"/>
  <c r="AO23" i="46"/>
  <c r="AN23" i="46"/>
  <c r="AM23" i="46"/>
  <c r="AL23" i="46"/>
  <c r="K26" i="63" l="1"/>
  <c r="C124" i="55"/>
  <c r="H75" i="55"/>
  <c r="I75" i="55"/>
  <c r="D74" i="55"/>
  <c r="I26" i="58"/>
  <c r="I30" i="58" s="1"/>
  <c r="C36" i="55"/>
  <c r="C63" i="55"/>
  <c r="H23" i="58"/>
  <c r="C40" i="55"/>
  <c r="C31" i="55"/>
  <c r="H24" i="55"/>
  <c r="D28" i="55"/>
  <c r="I24" i="55"/>
  <c r="D13" i="55"/>
  <c r="C7" i="59"/>
  <c r="C9" i="59" s="1"/>
  <c r="C4" i="55"/>
  <c r="D23" i="55"/>
  <c r="G14" i="65" l="1"/>
  <c r="F14" i="63"/>
  <c r="F26" i="63"/>
  <c r="G42" i="64"/>
  <c r="G14" i="64"/>
  <c r="I14" i="63"/>
  <c r="H14" i="63"/>
  <c r="G14" i="63"/>
  <c r="H26" i="58"/>
  <c r="H30" i="58" s="1"/>
  <c r="G24" i="55"/>
  <c r="C55" i="55"/>
  <c r="C75" i="55" s="1"/>
  <c r="F24" i="55"/>
  <c r="E24" i="55"/>
  <c r="C28" i="55"/>
  <c r="C23" i="55"/>
  <c r="C24" i="55"/>
  <c r="D24" i="55"/>
  <c r="AJ23" i="46"/>
  <c r="G42" i="65" l="1"/>
  <c r="H26" i="63"/>
  <c r="F56" i="65"/>
  <c r="E26" i="63"/>
  <c r="I26" i="63"/>
  <c r="F42" i="64"/>
  <c r="F14" i="64"/>
  <c r="E14" i="63"/>
  <c r="G26" i="63"/>
  <c r="F14" i="65"/>
  <c r="C74" i="55"/>
  <c r="D75" i="55"/>
  <c r="G75" i="55"/>
  <c r="E75" i="55"/>
  <c r="F75" i="55"/>
  <c r="M9" i="52"/>
  <c r="N9" i="52"/>
  <c r="O9" i="52"/>
  <c r="P9" i="52"/>
  <c r="Q9" i="52"/>
  <c r="R9" i="52"/>
  <c r="S9" i="52"/>
  <c r="T9" i="52"/>
  <c r="U9" i="52"/>
  <c r="V9" i="52"/>
  <c r="W9" i="52"/>
  <c r="J13" i="53"/>
  <c r="K13" i="53"/>
  <c r="L13" i="53"/>
  <c r="M13" i="53"/>
  <c r="N13" i="53"/>
  <c r="O13" i="53"/>
  <c r="P13" i="53"/>
  <c r="Q13" i="53"/>
  <c r="R13" i="53"/>
  <c r="S13" i="53"/>
  <c r="T13" i="53"/>
  <c r="U13" i="53"/>
  <c r="V13" i="53"/>
  <c r="W13" i="53"/>
  <c r="X13" i="53"/>
  <c r="I13" i="53"/>
  <c r="C20" i="44"/>
  <c r="Z5" i="44"/>
  <c r="W13" i="46"/>
  <c r="Q33" i="46"/>
  <c r="Q36" i="46" s="1"/>
  <c r="P35" i="46"/>
  <c r="P34" i="46"/>
  <c r="P33" i="46"/>
  <c r="P32" i="46"/>
  <c r="N32" i="46"/>
  <c r="N33" i="46"/>
  <c r="O33" i="46"/>
  <c r="N34" i="46"/>
  <c r="O34" i="46"/>
  <c r="N35" i="46"/>
  <c r="O35" i="46"/>
  <c r="O32" i="46"/>
  <c r="AI16" i="46"/>
  <c r="AJ16" i="46" s="1"/>
  <c r="AK16" i="46" s="1"/>
  <c r="AL16" i="46" s="1"/>
  <c r="AM16" i="46" s="1"/>
  <c r="AN16" i="46" s="1"/>
  <c r="AO16" i="46" s="1"/>
  <c r="AP16" i="46" s="1"/>
  <c r="AQ16" i="46" s="1"/>
  <c r="AR16" i="46" s="1"/>
  <c r="AS16" i="46" s="1"/>
  <c r="AT16" i="46" s="1"/>
  <c r="AU16" i="46" s="1"/>
  <c r="AV16" i="46" s="1"/>
  <c r="AW16" i="46" s="1"/>
  <c r="AX16" i="46" s="1"/>
  <c r="S16" i="46"/>
  <c r="T16" i="46" s="1"/>
  <c r="U16" i="46" s="1"/>
  <c r="V16" i="46" s="1"/>
  <c r="W16" i="46" s="1"/>
  <c r="X16" i="46" s="1"/>
  <c r="Y16" i="46" s="1"/>
  <c r="Z16" i="46" s="1"/>
  <c r="AA16" i="46" s="1"/>
  <c r="AB16" i="46" s="1"/>
  <c r="AC16" i="46" s="1"/>
  <c r="AD16" i="46" s="1"/>
  <c r="AE16" i="46" s="1"/>
  <c r="AF16" i="46" s="1"/>
  <c r="AG16" i="46" s="1"/>
  <c r="AH16" i="46" s="1"/>
  <c r="F42" i="65" l="1"/>
  <c r="F54" i="64"/>
  <c r="E56" i="65"/>
  <c r="E14" i="64"/>
  <c r="E42" i="64"/>
  <c r="E14" i="65"/>
  <c r="AA5" i="44"/>
  <c r="Z6" i="44"/>
  <c r="P36" i="46"/>
  <c r="S18" i="46" s="1"/>
  <c r="T18" i="46" s="1"/>
  <c r="U18" i="46" s="1"/>
  <c r="V18" i="46" s="1"/>
  <c r="W18" i="46" s="1"/>
  <c r="X18" i="46" s="1"/>
  <c r="Y18" i="46" s="1"/>
  <c r="Z18" i="46" s="1"/>
  <c r="AA18" i="46" s="1"/>
  <c r="AB18" i="46" s="1"/>
  <c r="AC18" i="46" s="1"/>
  <c r="AD18" i="46" s="1"/>
  <c r="AE18" i="46" s="1"/>
  <c r="AF18" i="46" s="1"/>
  <c r="AG18" i="46" s="1"/>
  <c r="AH18" i="46" s="1"/>
  <c r="AI18" i="46"/>
  <c r="AJ18" i="46" s="1"/>
  <c r="AK18" i="46" s="1"/>
  <c r="AL18" i="46" s="1"/>
  <c r="AM18" i="46" s="1"/>
  <c r="AN18" i="46" s="1"/>
  <c r="AO18" i="46" s="1"/>
  <c r="AP18" i="46" s="1"/>
  <c r="AQ18" i="46" s="1"/>
  <c r="AR18" i="46" s="1"/>
  <c r="AS18" i="46" s="1"/>
  <c r="AT18" i="46" s="1"/>
  <c r="AU18" i="46" s="1"/>
  <c r="AV18" i="46" s="1"/>
  <c r="AW18" i="46" s="1"/>
  <c r="AX18" i="46" s="1"/>
  <c r="AZ42" i="46"/>
  <c r="T19" i="46" s="1"/>
  <c r="BA42" i="46"/>
  <c r="U19" i="46" s="1"/>
  <c r="BB42" i="46"/>
  <c r="BC42" i="46"/>
  <c r="BD42" i="46"/>
  <c r="BE42" i="46"/>
  <c r="BF42" i="46"/>
  <c r="BG42" i="46"/>
  <c r="BH42" i="46"/>
  <c r="BI42" i="46"/>
  <c r="BJ42" i="46"/>
  <c r="BK42" i="46"/>
  <c r="BL42" i="46"/>
  <c r="BM42" i="46"/>
  <c r="BN42" i="46"/>
  <c r="AZ43" i="46"/>
  <c r="BA43" i="46"/>
  <c r="BB43" i="46"/>
  <c r="BC43" i="46"/>
  <c r="BD43" i="46"/>
  <c r="BE43" i="46"/>
  <c r="BF43" i="46"/>
  <c r="BG43" i="46"/>
  <c r="BH43" i="46"/>
  <c r="BI43" i="46"/>
  <c r="BJ43" i="46"/>
  <c r="BK43" i="46"/>
  <c r="BL43" i="46"/>
  <c r="BM43" i="46"/>
  <c r="BN43" i="46"/>
  <c r="AY43" i="46"/>
  <c r="AY42" i="46"/>
  <c r="AZ13" i="46"/>
  <c r="BA13" i="46" s="1"/>
  <c r="BB13" i="46" s="1"/>
  <c r="BC13" i="46" s="1"/>
  <c r="BD13" i="46" s="1"/>
  <c r="BE13" i="46" s="1"/>
  <c r="AY12" i="46"/>
  <c r="AZ12" i="46" s="1"/>
  <c r="BA12" i="46" s="1"/>
  <c r="BB12" i="46" s="1"/>
  <c r="BC12" i="46" s="1"/>
  <c r="BD12" i="46" s="1"/>
  <c r="BE12" i="46" s="1"/>
  <c r="AY11" i="46"/>
  <c r="AZ11" i="46" s="1"/>
  <c r="BA11" i="46" s="1"/>
  <c r="BB11" i="46" s="1"/>
  <c r="BC11" i="46" s="1"/>
  <c r="I56" i="65" l="1"/>
  <c r="G56" i="65"/>
  <c r="H56" i="65"/>
  <c r="E42" i="65"/>
  <c r="I54" i="64"/>
  <c r="E54" i="64"/>
  <c r="H54" i="64"/>
  <c r="G54" i="64"/>
  <c r="Z8" i="44"/>
  <c r="J6" i="44"/>
  <c r="K5" i="44"/>
  <c r="AB5" i="44"/>
  <c r="AA6" i="44"/>
  <c r="AW19" i="46"/>
  <c r="AW17" i="46"/>
  <c r="AS19" i="46"/>
  <c r="AS17" i="46"/>
  <c r="AV15" i="46"/>
  <c r="AO19" i="46"/>
  <c r="AO17" i="46"/>
  <c r="AR15" i="46"/>
  <c r="AK19" i="46"/>
  <c r="AK17" i="46"/>
  <c r="AN15" i="46"/>
  <c r="AF19" i="46"/>
  <c r="AF15" i="46"/>
  <c r="AB19" i="46"/>
  <c r="AB15" i="46"/>
  <c r="X19" i="46"/>
  <c r="X15" i="46"/>
  <c r="S19" i="46"/>
  <c r="S17" i="46"/>
  <c r="AV19" i="46"/>
  <c r="AV17" i="46"/>
  <c r="AR19" i="46"/>
  <c r="AU15" i="46"/>
  <c r="AR17" i="46"/>
  <c r="AN19" i="46"/>
  <c r="AQ15" i="46"/>
  <c r="AN17" i="46"/>
  <c r="AJ19" i="46"/>
  <c r="AM15" i="46"/>
  <c r="AJ17" i="46"/>
  <c r="AE19" i="46"/>
  <c r="AE15" i="46"/>
  <c r="AA19" i="46"/>
  <c r="AA15" i="46"/>
  <c r="W19" i="46"/>
  <c r="W15" i="46"/>
  <c r="AI19" i="46"/>
  <c r="AL15" i="46"/>
  <c r="AI17" i="46"/>
  <c r="AU19" i="46"/>
  <c r="AU17" i="46"/>
  <c r="AX15" i="46"/>
  <c r="AQ19" i="46"/>
  <c r="AQ17" i="46"/>
  <c r="AT15" i="46"/>
  <c r="AM19" i="46"/>
  <c r="AM17" i="46"/>
  <c r="AP15" i="46"/>
  <c r="AH19" i="46"/>
  <c r="AH15" i="46"/>
  <c r="AD19" i="46"/>
  <c r="AD15" i="46"/>
  <c r="Z19" i="46"/>
  <c r="Z15" i="46"/>
  <c r="V19" i="46"/>
  <c r="V15" i="46"/>
  <c r="AX19" i="46"/>
  <c r="AX17" i="46"/>
  <c r="AT19" i="46"/>
  <c r="AT17" i="46"/>
  <c r="AW15" i="46"/>
  <c r="AP19" i="46"/>
  <c r="AP17" i="46"/>
  <c r="AS15" i="46"/>
  <c r="AL19" i="46"/>
  <c r="AL17" i="46"/>
  <c r="AO15" i="46"/>
  <c r="AG19" i="46"/>
  <c r="AG15" i="46"/>
  <c r="AC19" i="46"/>
  <c r="AC15" i="46"/>
  <c r="Y19" i="46"/>
  <c r="Y15" i="46"/>
  <c r="AH17" i="46"/>
  <c r="AD17" i="46"/>
  <c r="Z17" i="46"/>
  <c r="V17" i="46"/>
  <c r="AG17" i="46"/>
  <c r="AC17" i="46"/>
  <c r="Y17" i="46"/>
  <c r="U17" i="46"/>
  <c r="AF17" i="46"/>
  <c r="AB17" i="46"/>
  <c r="X17" i="46"/>
  <c r="T17" i="46"/>
  <c r="AE17" i="46"/>
  <c r="AA17" i="46"/>
  <c r="W17" i="46"/>
  <c r="AY14" i="46"/>
  <c r="AZ14" i="46" s="1"/>
  <c r="BA14" i="46" s="1"/>
  <c r="BB14" i="46" s="1"/>
  <c r="BC14" i="46" s="1"/>
  <c r="BD14" i="46" s="1"/>
  <c r="BE14" i="46" s="1"/>
  <c r="BF14" i="46" s="1"/>
  <c r="BG14" i="46" s="1"/>
  <c r="BH14" i="46" s="1"/>
  <c r="BI14" i="46" s="1"/>
  <c r="BJ14" i="46" s="1"/>
  <c r="BK14" i="46" s="1"/>
  <c r="BL14" i="46" s="1"/>
  <c r="BM14" i="46" s="1"/>
  <c r="BN14" i="46" s="1"/>
  <c r="AA8" i="44" l="1"/>
  <c r="J8" i="44"/>
  <c r="K6" i="44"/>
  <c r="L5" i="44"/>
  <c r="AC5" i="44"/>
  <c r="AB6" i="44"/>
  <c r="J25" i="46"/>
  <c r="AY10" i="46" s="1"/>
  <c r="BF13" i="46"/>
  <c r="AP13" i="46" s="1"/>
  <c r="O15" i="46"/>
  <c r="N15" i="46"/>
  <c r="Q10" i="46"/>
  <c r="O11" i="46"/>
  <c r="N11" i="46"/>
  <c r="P11" i="46" s="1"/>
  <c r="O12" i="46"/>
  <c r="N12" i="46"/>
  <c r="P12" i="46" s="1"/>
  <c r="O14" i="46"/>
  <c r="N14" i="46"/>
  <c r="P14" i="46" s="1"/>
  <c r="O13" i="46"/>
  <c r="N13" i="46"/>
  <c r="P13" i="46" s="1"/>
  <c r="AB8" i="44" l="1"/>
  <c r="K8" i="44"/>
  <c r="L6" i="44"/>
  <c r="M5" i="44"/>
  <c r="AD5" i="44"/>
  <c r="AC6" i="44"/>
  <c r="X13" i="46"/>
  <c r="Y13" i="46"/>
  <c r="U12" i="46"/>
  <c r="Y12" i="46"/>
  <c r="S12" i="46"/>
  <c r="V12" i="46"/>
  <c r="X12" i="46"/>
  <c r="T12" i="46"/>
  <c r="W12" i="46"/>
  <c r="U14" i="46"/>
  <c r="Y14" i="46"/>
  <c r="AC14" i="46"/>
  <c r="AG14" i="46"/>
  <c r="V14" i="46"/>
  <c r="Z14" i="46"/>
  <c r="AD14" i="46"/>
  <c r="AH14" i="46"/>
  <c r="T14" i="46"/>
  <c r="AB14" i="46"/>
  <c r="W14" i="46"/>
  <c r="AE14" i="46"/>
  <c r="X14" i="46"/>
  <c r="AF14" i="46"/>
  <c r="AA14" i="46"/>
  <c r="S14" i="46"/>
  <c r="T11" i="46"/>
  <c r="U11" i="46"/>
  <c r="S11" i="46"/>
  <c r="S20" i="46" s="1"/>
  <c r="W11" i="46"/>
  <c r="V11" i="46"/>
  <c r="Q14" i="46"/>
  <c r="AL14" i="46"/>
  <c r="AP14" i="46"/>
  <c r="AT14" i="46"/>
  <c r="AX14" i="46"/>
  <c r="AI14" i="46"/>
  <c r="AM14" i="46"/>
  <c r="AQ14" i="46"/>
  <c r="AU14" i="46"/>
  <c r="AJ14" i="46"/>
  <c r="AN14" i="46"/>
  <c r="AR14" i="46"/>
  <c r="AV14" i="46"/>
  <c r="AO14" i="46"/>
  <c r="AS14" i="46"/>
  <c r="AW14" i="46"/>
  <c r="AK14" i="46"/>
  <c r="Q11" i="46"/>
  <c r="AJ11" i="46"/>
  <c r="AK11" i="46"/>
  <c r="AL11" i="46"/>
  <c r="AM11" i="46"/>
  <c r="AI11" i="46"/>
  <c r="Q13" i="46"/>
  <c r="AK13" i="46"/>
  <c r="AO13" i="46"/>
  <c r="AL13" i="46"/>
  <c r="AI13" i="46"/>
  <c r="AM13" i="46"/>
  <c r="AJ13" i="46"/>
  <c r="AN13" i="46"/>
  <c r="Q12" i="46"/>
  <c r="AJ12" i="46"/>
  <c r="AN12" i="46"/>
  <c r="AK12" i="46"/>
  <c r="AO12" i="46"/>
  <c r="AL12" i="46"/>
  <c r="AM12" i="46"/>
  <c r="AI12" i="46"/>
  <c r="AZ10" i="46"/>
  <c r="AJ10" i="46" s="1"/>
  <c r="AJ20" i="46" s="1"/>
  <c r="AI10" i="46"/>
  <c r="BG13" i="46"/>
  <c r="AQ13" i="46" s="1"/>
  <c r="Z13" i="46"/>
  <c r="BD11" i="46"/>
  <c r="BE11" i="46" s="1"/>
  <c r="BF11" i="46" s="1"/>
  <c r="BG11" i="46" s="1"/>
  <c r="BH11" i="46" s="1"/>
  <c r="BI11" i="46" s="1"/>
  <c r="BJ11" i="46" s="1"/>
  <c r="BK11" i="46" s="1"/>
  <c r="BL11" i="46" s="1"/>
  <c r="BM11" i="46" s="1"/>
  <c r="BN11" i="46" s="1"/>
  <c r="AH11" i="46" s="1"/>
  <c r="BF12" i="46"/>
  <c r="AP12" i="46" s="1"/>
  <c r="P10" i="46"/>
  <c r="C13" i="44"/>
  <c r="C22" i="44" s="1"/>
  <c r="AC8" i="44" l="1"/>
  <c r="L8" i="44"/>
  <c r="N5" i="44"/>
  <c r="M6" i="44"/>
  <c r="AE5" i="44"/>
  <c r="AD6" i="44"/>
  <c r="AD8" i="44" s="1"/>
  <c r="I46" i="65" s="1"/>
  <c r="S56" i="55"/>
  <c r="AI20" i="46"/>
  <c r="Z11" i="46"/>
  <c r="AF11" i="46"/>
  <c r="BA10" i="46"/>
  <c r="AK10" i="46" s="1"/>
  <c r="AK20" i="46" s="1"/>
  <c r="S23" i="46"/>
  <c r="AO11" i="46"/>
  <c r="AQ11" i="46"/>
  <c r="AP11" i="46"/>
  <c r="AN11" i="46"/>
  <c r="AD11" i="46"/>
  <c r="AG11" i="46"/>
  <c r="T10" i="46"/>
  <c r="T20" i="46" s="1"/>
  <c r="U10" i="46"/>
  <c r="U20" i="46" s="1"/>
  <c r="S10" i="46"/>
  <c r="AX11" i="46"/>
  <c r="AW11" i="46"/>
  <c r="AV11" i="46"/>
  <c r="AA11" i="46"/>
  <c r="Y11" i="46"/>
  <c r="X11" i="46"/>
  <c r="AU11" i="46"/>
  <c r="AT11" i="46"/>
  <c r="AS11" i="46"/>
  <c r="AR11" i="46"/>
  <c r="AE11" i="46"/>
  <c r="AC11" i="46"/>
  <c r="AB11" i="46"/>
  <c r="BH13" i="46"/>
  <c r="AR13" i="46" s="1"/>
  <c r="AA13" i="46"/>
  <c r="BG12" i="46"/>
  <c r="AQ12" i="46" s="1"/>
  <c r="Z12" i="46"/>
  <c r="BB10" i="46"/>
  <c r="AL10" i="46" s="1"/>
  <c r="AL20" i="46" s="1"/>
  <c r="C21" i="44"/>
  <c r="I60" i="65" l="1"/>
  <c r="I62" i="65" s="1"/>
  <c r="I48" i="65"/>
  <c r="M8" i="44"/>
  <c r="O5" i="44"/>
  <c r="N6" i="44"/>
  <c r="AF5" i="44"/>
  <c r="AE6" i="44"/>
  <c r="AE8" i="44" s="1"/>
  <c r="J46" i="65" s="1"/>
  <c r="T23" i="46"/>
  <c r="AK23" i="46"/>
  <c r="V10" i="46"/>
  <c r="V20" i="46" s="1"/>
  <c r="BH12" i="46"/>
  <c r="AR12" i="46" s="1"/>
  <c r="AA12" i="46"/>
  <c r="BI13" i="46"/>
  <c r="AS13" i="46" s="1"/>
  <c r="AB13" i="46"/>
  <c r="BC10" i="46"/>
  <c r="J60" i="65" l="1"/>
  <c r="J62" i="65" s="1"/>
  <c r="J48" i="65"/>
  <c r="P5" i="44"/>
  <c r="O6" i="44"/>
  <c r="AG5" i="44"/>
  <c r="AF6" i="44"/>
  <c r="AF8" i="44" s="1"/>
  <c r="K46" i="65" s="1"/>
  <c r="AM10" i="46"/>
  <c r="AM20" i="46" s="1"/>
  <c r="W10" i="46"/>
  <c r="W20" i="46" s="1"/>
  <c r="BI12" i="46"/>
  <c r="AS12" i="46" s="1"/>
  <c r="AB12" i="46"/>
  <c r="BJ13" i="46"/>
  <c r="AT13" i="46" s="1"/>
  <c r="AC13" i="46"/>
  <c r="BD10" i="46"/>
  <c r="K60" i="65" l="1"/>
  <c r="K62" i="65" s="1"/>
  <c r="K48" i="65"/>
  <c r="O8" i="44"/>
  <c r="J40" i="65" s="1"/>
  <c r="J54" i="65" s="1"/>
  <c r="Q5" i="44"/>
  <c r="P6" i="44"/>
  <c r="AH5" i="44"/>
  <c r="AG6" i="44"/>
  <c r="AG8" i="44" s="1"/>
  <c r="L46" i="65" s="1"/>
  <c r="BE10" i="46"/>
  <c r="AN10" i="46"/>
  <c r="AN20" i="46" s="1"/>
  <c r="X10" i="46"/>
  <c r="X20" i="46" s="1"/>
  <c r="BK13" i="46"/>
  <c r="AU13" i="46" s="1"/>
  <c r="AD13" i="46"/>
  <c r="BJ12" i="46"/>
  <c r="AT12" i="46" s="1"/>
  <c r="AC12" i="46"/>
  <c r="L60" i="65" l="1"/>
  <c r="L62" i="65" s="1"/>
  <c r="L48" i="65"/>
  <c r="P8" i="44"/>
  <c r="K40" i="65" s="1"/>
  <c r="R5" i="44"/>
  <c r="Q6" i="44"/>
  <c r="AI5" i="44"/>
  <c r="AH6" i="44"/>
  <c r="AH8" i="44" s="1"/>
  <c r="M46" i="65" s="1"/>
  <c r="BF10" i="46"/>
  <c r="AO10" i="46"/>
  <c r="AO20" i="46" s="1"/>
  <c r="Y10" i="46"/>
  <c r="Y20" i="46" s="1"/>
  <c r="BK12" i="46"/>
  <c r="AU12" i="46" s="1"/>
  <c r="AD12" i="46"/>
  <c r="BL13" i="46"/>
  <c r="AV13" i="46" s="1"/>
  <c r="AE13" i="46"/>
  <c r="M48" i="65" l="1"/>
  <c r="M60" i="65"/>
  <c r="M62" i="65" s="1"/>
  <c r="K54" i="65"/>
  <c r="K56" i="65" s="1"/>
  <c r="K42" i="65"/>
  <c r="Q8" i="44"/>
  <c r="L40" i="65" s="1"/>
  <c r="S5" i="44"/>
  <c r="R6" i="44"/>
  <c r="AJ5" i="44"/>
  <c r="AI6" i="44"/>
  <c r="AI8" i="44" s="1"/>
  <c r="N46" i="65" s="1"/>
  <c r="BG10" i="46"/>
  <c r="AP10" i="46"/>
  <c r="AP20" i="46" s="1"/>
  <c r="Z10" i="46"/>
  <c r="Z20" i="46" s="1"/>
  <c r="BL12" i="46"/>
  <c r="AV12" i="46" s="1"/>
  <c r="AE12" i="46"/>
  <c r="BM13" i="46"/>
  <c r="AW13" i="46" s="1"/>
  <c r="AF13" i="46"/>
  <c r="N60" i="65" l="1"/>
  <c r="N62" i="65" s="1"/>
  <c r="N48" i="65"/>
  <c r="L54" i="65"/>
  <c r="L56" i="65" s="1"/>
  <c r="L42" i="65"/>
  <c r="R8" i="44"/>
  <c r="M40" i="65" s="1"/>
  <c r="T5" i="44"/>
  <c r="S6" i="44"/>
  <c r="AK5" i="44"/>
  <c r="AJ6" i="44"/>
  <c r="AJ8" i="44" s="1"/>
  <c r="O46" i="65" s="1"/>
  <c r="BH10" i="46"/>
  <c r="AQ10" i="46"/>
  <c r="AQ20" i="46" s="1"/>
  <c r="AA10" i="46"/>
  <c r="AA20" i="46" s="1"/>
  <c r="BM12" i="46"/>
  <c r="AW12" i="46" s="1"/>
  <c r="AF12" i="46"/>
  <c r="BN13" i="46"/>
  <c r="AG13" i="46"/>
  <c r="O60" i="65" l="1"/>
  <c r="O62" i="65" s="1"/>
  <c r="O48" i="65"/>
  <c r="M54" i="65"/>
  <c r="M56" i="65" s="1"/>
  <c r="M42" i="65"/>
  <c r="S8" i="44"/>
  <c r="N40" i="65" s="1"/>
  <c r="U5" i="44"/>
  <c r="T6" i="44"/>
  <c r="AL5" i="44"/>
  <c r="AK6" i="44"/>
  <c r="AK8" i="44" s="1"/>
  <c r="P46" i="65" s="1"/>
  <c r="BI10" i="46"/>
  <c r="AR10" i="46"/>
  <c r="AR20" i="46" s="1"/>
  <c r="AB10" i="46"/>
  <c r="AB20" i="46" s="1"/>
  <c r="AH13" i="46"/>
  <c r="AX13" i="46"/>
  <c r="BN12" i="46"/>
  <c r="AG12" i="46"/>
  <c r="P60" i="65" l="1"/>
  <c r="P62" i="65" s="1"/>
  <c r="P48" i="65"/>
  <c r="N54" i="65"/>
  <c r="N56" i="65" s="1"/>
  <c r="N42" i="65"/>
  <c r="V5" i="44"/>
  <c r="U6" i="44"/>
  <c r="AM5" i="44"/>
  <c r="AL6" i="44"/>
  <c r="AL8" i="44" s="1"/>
  <c r="Q46" i="65" s="1"/>
  <c r="BJ10" i="46"/>
  <c r="AS10" i="46"/>
  <c r="AS20" i="46" s="1"/>
  <c r="AC10" i="46"/>
  <c r="AC20" i="46" s="1"/>
  <c r="AH12" i="46"/>
  <c r="AX12" i="46"/>
  <c r="Q60" i="65" l="1"/>
  <c r="Q62" i="65" s="1"/>
  <c r="Q48" i="65"/>
  <c r="U8" i="44"/>
  <c r="P40" i="65" s="1"/>
  <c r="W5" i="44"/>
  <c r="V6" i="44"/>
  <c r="AN5" i="44"/>
  <c r="AM6" i="44"/>
  <c r="AM8" i="44" s="1"/>
  <c r="R46" i="65" s="1"/>
  <c r="BK10" i="46"/>
  <c r="AT10" i="46"/>
  <c r="AT20" i="46" s="1"/>
  <c r="AD10" i="46"/>
  <c r="AD20" i="46" s="1"/>
  <c r="R60" i="65" l="1"/>
  <c r="R62" i="65" s="1"/>
  <c r="R48" i="65"/>
  <c r="P54" i="65"/>
  <c r="P56" i="65" s="1"/>
  <c r="P42" i="65"/>
  <c r="V8" i="44"/>
  <c r="Q40" i="65" s="1"/>
  <c r="X5" i="44"/>
  <c r="W6" i="44"/>
  <c r="AO5" i="44"/>
  <c r="AN6" i="44"/>
  <c r="AN8" i="44" s="1"/>
  <c r="S46" i="65" s="1"/>
  <c r="BL10" i="46"/>
  <c r="AU10" i="46"/>
  <c r="AU20" i="46" s="1"/>
  <c r="AE10" i="46"/>
  <c r="AE20" i="46" s="1"/>
  <c r="S60" i="65" l="1"/>
  <c r="S62" i="65" s="1"/>
  <c r="S48" i="65"/>
  <c r="Q54" i="65"/>
  <c r="Q56" i="65" s="1"/>
  <c r="Q42" i="65"/>
  <c r="W8" i="44"/>
  <c r="R40" i="65" s="1"/>
  <c r="Y5" i="44"/>
  <c r="X6" i="44"/>
  <c r="AO6" i="44"/>
  <c r="AO8" i="44" s="1"/>
  <c r="BM10" i="46"/>
  <c r="AV10" i="46"/>
  <c r="AV20" i="46" s="1"/>
  <c r="AF10" i="46"/>
  <c r="AF20" i="46" s="1"/>
  <c r="R54" i="65" l="1"/>
  <c r="R56" i="65" s="1"/>
  <c r="R42" i="65"/>
  <c r="X8" i="44"/>
  <c r="S40" i="65" s="1"/>
  <c r="Y6" i="44"/>
  <c r="BN10" i="46"/>
  <c r="AW10" i="46"/>
  <c r="AW20" i="46" s="1"/>
  <c r="AG10" i="46"/>
  <c r="AG20" i="46" s="1"/>
  <c r="S54" i="65" l="1"/>
  <c r="S56" i="65" s="1"/>
  <c r="S42" i="65"/>
  <c r="Y8" i="44"/>
  <c r="AX10" i="46"/>
  <c r="AX20" i="46" s="1"/>
  <c r="AH10" i="46"/>
  <c r="AH20" i="46" s="1"/>
  <c r="M9" i="58" l="1"/>
  <c r="M12" i="58" s="1"/>
  <c r="H8" i="59" l="1"/>
  <c r="H9" i="59" s="1"/>
  <c r="H10" i="59" s="1"/>
  <c r="J41" i="65" s="1"/>
  <c r="J55" i="65" s="1"/>
  <c r="M30" i="58"/>
  <c r="J14" i="63" l="1"/>
  <c r="J26" i="63"/>
  <c r="L55" i="55"/>
  <c r="J14" i="65" l="1"/>
  <c r="J14" i="64"/>
  <c r="M55" i="55"/>
  <c r="L74" i="55"/>
  <c r="L75" i="55"/>
  <c r="J56" i="65" l="1"/>
  <c r="J42" i="65"/>
  <c r="J54" i="64"/>
  <c r="U39" i="64"/>
  <c r="J42" i="64"/>
  <c r="N55" i="55"/>
  <c r="M74" i="55"/>
  <c r="M75" i="55"/>
  <c r="K39" i="64" l="1"/>
  <c r="O55" i="55"/>
  <c r="N74" i="55"/>
  <c r="N75" i="55"/>
  <c r="L39" i="64" l="1"/>
  <c r="K42" i="64"/>
  <c r="P55" i="55"/>
  <c r="O74" i="55"/>
  <c r="O75" i="55"/>
  <c r="M39" i="64" l="1"/>
  <c r="L42" i="64"/>
  <c r="K54" i="64"/>
  <c r="Q55" i="55"/>
  <c r="P74" i="55"/>
  <c r="P75" i="55"/>
  <c r="N39" i="64" l="1"/>
  <c r="M42" i="64"/>
  <c r="L54" i="64"/>
  <c r="Q74" i="55"/>
  <c r="Q75" i="55"/>
  <c r="R75" i="55"/>
  <c r="N42" i="64" l="1"/>
  <c r="O39" i="64"/>
  <c r="M54" i="64"/>
  <c r="P39" i="64" l="1"/>
  <c r="O42" i="64"/>
  <c r="N54" i="64"/>
  <c r="Q39" i="64" l="1"/>
  <c r="Q42" i="64" s="1"/>
  <c r="P42" i="64"/>
  <c r="O54" i="64"/>
  <c r="R39" i="64" l="1"/>
  <c r="R42" i="64"/>
  <c r="P54" i="64"/>
  <c r="Q54" i="64" l="1"/>
  <c r="S54" i="64" l="1"/>
  <c r="R54" i="64"/>
</calcChain>
</file>

<file path=xl/sharedStrings.xml><?xml version="1.0" encoding="utf-8"?>
<sst xmlns="http://schemas.openxmlformats.org/spreadsheetml/2006/main" count="5592" uniqueCount="515">
  <si>
    <t>GWh</t>
  </si>
  <si>
    <t>Entity</t>
  </si>
  <si>
    <t>CEC</t>
  </si>
  <si>
    <t>Program Type</t>
  </si>
  <si>
    <t>MM Therms</t>
  </si>
  <si>
    <t>Fed/CEC</t>
  </si>
  <si>
    <t>Type</t>
  </si>
  <si>
    <t>Year</t>
  </si>
  <si>
    <t>State Financing</t>
  </si>
  <si>
    <t>Energy Asset Rating</t>
  </si>
  <si>
    <t>Codes &amp; Standards</t>
  </si>
  <si>
    <t>Title 24</t>
  </si>
  <si>
    <t>Title 20</t>
  </si>
  <si>
    <t>DGS EE Retrofit</t>
  </si>
  <si>
    <t>Program Bin</t>
  </si>
  <si>
    <t>Local</t>
  </si>
  <si>
    <t>State of CA</t>
  </si>
  <si>
    <t>CEC/CCC</t>
  </si>
  <si>
    <t>DGS</t>
  </si>
  <si>
    <t>Local Government Ordinances</t>
  </si>
  <si>
    <t>Local Government Challenge</t>
  </si>
  <si>
    <t>ECAA Financing</t>
  </si>
  <si>
    <t>PACE Financing</t>
  </si>
  <si>
    <t>DWR</t>
  </si>
  <si>
    <t>RES, NR</t>
  </si>
  <si>
    <t>RES</t>
  </si>
  <si>
    <t>NR</t>
  </si>
  <si>
    <t>Bldg Sector(s)</t>
  </si>
  <si>
    <t>Program:</t>
  </si>
  <si>
    <t>x</t>
  </si>
  <si>
    <t>Building Type</t>
  </si>
  <si>
    <t>Smart Meter Data Analytics</t>
  </si>
  <si>
    <t>GGRF: Water-Energy Grant</t>
  </si>
  <si>
    <t>Proposition 39</t>
  </si>
  <si>
    <t>GGRF: Low Income Weather</t>
  </si>
  <si>
    <t>Single Family</t>
  </si>
  <si>
    <t>FOR LOOKUP PURPOSES</t>
  </si>
  <si>
    <t xml:space="preserve">Energy Unit </t>
  </si>
  <si>
    <t>ELECTRICITY - CUMULATIVE SAVINGS</t>
  </si>
  <si>
    <t>GAS - CUMULATIVE SAVINGS</t>
  </si>
  <si>
    <t>Comment</t>
  </si>
  <si>
    <t>Office, Small</t>
  </si>
  <si>
    <t>Restaurant</t>
  </si>
  <si>
    <t>Retail</t>
  </si>
  <si>
    <t>Supermarket</t>
  </si>
  <si>
    <t>Non-refrigerated warehouse</t>
  </si>
  <si>
    <t>Refrigerated Warehouse</t>
  </si>
  <si>
    <t>School</t>
  </si>
  <si>
    <t>College</t>
  </si>
  <si>
    <t>Hospital</t>
  </si>
  <si>
    <t>Hotel</t>
  </si>
  <si>
    <t>Office, Large</t>
  </si>
  <si>
    <t>Residential</t>
  </si>
  <si>
    <t>Low-rise Multi-family</t>
  </si>
  <si>
    <t>High-rise Multi-family</t>
  </si>
  <si>
    <t>Building Sectors</t>
  </si>
  <si>
    <t>Other (Lab, data center, assembly, religious workship, etc.)</t>
  </si>
  <si>
    <t>Non_Residential</t>
  </si>
  <si>
    <t>Program</t>
  </si>
  <si>
    <t>Res P4P</t>
  </si>
  <si>
    <t>kWh/home</t>
  </si>
  <si>
    <t>kW per home</t>
  </si>
  <si>
    <t>https://www.pge.com/tariffs/tm2/pdf/GAS_3698-G.pdf</t>
  </si>
  <si>
    <t>therms per home</t>
  </si>
  <si>
    <t>https://cedars.sound-data.com/programs/PGE210010/details/</t>
  </si>
  <si>
    <t xml:space="preserve"> 6% electric savings and 16% gas savings per home.</t>
  </si>
  <si>
    <t>this is a bit of mixing and matching, since savings were slightly higher in the filing, but Cedars doesn't provide number of customes (only from the filing). Savings per partic might be lower</t>
  </si>
  <si>
    <t>Energy Savings (kWh)</t>
  </si>
  <si>
    <t>Demand reduction (kW)</t>
  </si>
  <si>
    <t>Natural Gas savings (Therms)</t>
  </si>
  <si>
    <t>% by customer (elec)</t>
  </si>
  <si>
    <t>% by customer (natural gas)</t>
  </si>
  <si>
    <t>Gross Savings</t>
  </si>
  <si>
    <t>Net Savings</t>
  </si>
  <si>
    <t>Source</t>
  </si>
  <si>
    <t>Data sources:</t>
  </si>
  <si>
    <t>HOPPs Filing</t>
  </si>
  <si>
    <t>Cedars filing</t>
  </si>
  <si>
    <t>Assumes 2100 per year, 2 years total</t>
  </si>
  <si>
    <t>Participating customers</t>
  </si>
  <si>
    <t>Budget</t>
  </si>
  <si>
    <t>Cedars</t>
  </si>
  <si>
    <t>HOPPs. Cedars doesn't provide this</t>
  </si>
  <si>
    <t>cedars</t>
  </si>
  <si>
    <t>2016-2017</t>
  </si>
  <si>
    <t>timeframe</t>
  </si>
  <si>
    <t>annually, should run for 2 years</t>
  </si>
  <si>
    <t>Based on</t>
  </si>
  <si>
    <t>2.PG Appendix - BROS Methodology_2017-04-13</t>
  </si>
  <si>
    <t>Res</t>
  </si>
  <si>
    <t>HERs</t>
  </si>
  <si>
    <t>Sector</t>
  </si>
  <si>
    <t>EUL</t>
  </si>
  <si>
    <t>kWh</t>
  </si>
  <si>
    <t>Therms</t>
  </si>
  <si>
    <t>Savings</t>
  </si>
  <si>
    <t>Cost</t>
  </si>
  <si>
    <t>1-2.3%</t>
  </si>
  <si>
    <t>0.6-1.9%</t>
  </si>
  <si>
    <t>kW/kWh savings</t>
  </si>
  <si>
    <t>TRC Savings Assumptions</t>
  </si>
  <si>
    <t>Real-time feedback: online portal</t>
  </si>
  <si>
    <t>Participants</t>
  </si>
  <si>
    <t>Participation</t>
  </si>
  <si>
    <t>Small competitions (&lt;10,000 people)</t>
  </si>
  <si>
    <t>Large competitions (&gt;10,000 people)</t>
  </si>
  <si>
    <t>4%, 8% annual growth</t>
  </si>
  <si>
    <t>10%, 8% annual growth</t>
  </si>
  <si>
    <t>1.4% partic rate out of 10% of customers; later they say 67,000 participants</t>
  </si>
  <si>
    <t>10,000 join each year, 6.5% partic rate, 2019-2030; later they say 950 partic</t>
  </si>
  <si>
    <t>Comm</t>
  </si>
  <si>
    <t>applicability of 45-90% (but doesn't say how many actually participate), assumes 2% growth per year.</t>
  </si>
  <si>
    <t>Building Operator Certification (BOC)</t>
  </si>
  <si>
    <t>Strategic Energy Management (SEM)</t>
  </si>
  <si>
    <t>0.8-14.2 per 1000 sf</t>
  </si>
  <si>
    <t>18-151 per 1000 sf</t>
  </si>
  <si>
    <t>I assumed 5% of applic buildings participated</t>
  </si>
  <si>
    <t>Households</t>
  </si>
  <si>
    <t>10%, 8% annual growth (start year not provided)</t>
  </si>
  <si>
    <t>4%, 8% annual growth (start year not provided)</t>
  </si>
  <si>
    <t>HER participants</t>
  </si>
  <si>
    <t>PG&amp;E</t>
  </si>
  <si>
    <t>SCE</t>
  </si>
  <si>
    <t>SDG&amp;E</t>
  </si>
  <si>
    <t>SDG&amp;E MAS</t>
  </si>
  <si>
    <t>Impact Evaluation of 2015 San Diego Gas &amp; Electric Home Energy Reports and Manage-Act-Save Programs (Draft), table 2</t>
  </si>
  <si>
    <t>http://www.calmac.org/publications/DNVGL_PGE_HERs_2014_FINAL_to_Calmac.pdf</t>
  </si>
  <si>
    <t>1.6M in 2015, based on 2014 and 2015 impact evals</t>
  </si>
  <si>
    <t xml:space="preserve">TRC HER 2014 lighting savings overlap </t>
  </si>
  <si>
    <t>kWh/household</t>
  </si>
  <si>
    <t>therms/household</t>
  </si>
  <si>
    <t>kWh/sf commercial</t>
  </si>
  <si>
    <t>therm/sf commercial</t>
  </si>
  <si>
    <t>potential for overlap in savings between BOC and SEM interventions</t>
  </si>
  <si>
    <t>Used MAS Save estimate, since 67,000 seems really low</t>
  </si>
  <si>
    <t>Building Energy Management and Information Systems (BEMIS)</t>
  </si>
  <si>
    <t>0-4.2%</t>
  </si>
  <si>
    <t>0-7.4%</t>
  </si>
  <si>
    <t>$0.20-$0.46</t>
  </si>
  <si>
    <t>$0.18-$0.46</t>
  </si>
  <si>
    <t>5.6% penetration</t>
  </si>
  <si>
    <t>Navigant says risk of double counting with BOC and SEM is minimal</t>
  </si>
  <si>
    <t>RASS 2010</t>
  </si>
  <si>
    <t>kWh savings/partic</t>
  </si>
  <si>
    <t>Therms savings/partic</t>
  </si>
  <si>
    <t>comment</t>
  </si>
  <si>
    <t>used HER households in 2014 and 2015 impact evals. Assumed PG&amp;E kWh and therm percentage savings, since PG&amp;E has largest program</t>
  </si>
  <si>
    <t>start with current IOU HER rates; growth according to pop growth</t>
  </si>
  <si>
    <t>CEUS: http://www.energy.ca.gov/2006publications/CEC-400-2006-005/CEC-400-2006-005.PDF</t>
  </si>
  <si>
    <t>MMtherms</t>
  </si>
  <si>
    <t>Business Energy Reports (BERs)</t>
  </si>
  <si>
    <t>1.6%-2.2%</t>
  </si>
  <si>
    <t>0.9% restaurants</t>
  </si>
  <si>
    <t xml:space="preserve">retail, restaurants, lodging, and “other". launches 2019. 1% penetration in 2019, ramps up 1% each year to 12% by 2030. 1.6% elec retail, 0% elec and 0.9% gas restaurant, 1.8% elec lodging, 2.2% elec other. </t>
  </si>
  <si>
    <t>1%, 1% increase each year</t>
  </si>
  <si>
    <t>retail</t>
  </si>
  <si>
    <t>restaurant</t>
  </si>
  <si>
    <t>lodging</t>
  </si>
  <si>
    <t>misc</t>
  </si>
  <si>
    <t>might not be same as "other" for BERs</t>
  </si>
  <si>
    <t>kWh/sf</t>
  </si>
  <si>
    <t>therms/sf</t>
  </si>
  <si>
    <t>from CEUS, table E-1</t>
  </si>
  <si>
    <t>OFF_SMALL</t>
  </si>
  <si>
    <t>REST</t>
  </si>
  <si>
    <t>RETAIL</t>
  </si>
  <si>
    <t>GROCERY</t>
  </si>
  <si>
    <t>NWHSE</t>
  </si>
  <si>
    <t>RWHSE</t>
  </si>
  <si>
    <t>SCHOOL</t>
  </si>
  <si>
    <t>COLLEGE</t>
  </si>
  <si>
    <t>HOSP</t>
  </si>
  <si>
    <t>HOTEL</t>
  </si>
  <si>
    <t>MISC</t>
  </si>
  <si>
    <t>OFF_LRG</t>
  </si>
  <si>
    <t>Total commercial</t>
  </si>
  <si>
    <t>Historical and Projected Building Stock (mm. sq. ft.) by Planning Area, Mid Case, 2016 IEPR Forecast Update</t>
  </si>
  <si>
    <t>assumed start yr = 2015</t>
  </si>
  <si>
    <t>Participants: number of households (Res) or Million square feet (Comm)</t>
  </si>
  <si>
    <t>Comm GWh use: based on CEUS (old)</t>
  </si>
  <si>
    <t>Comm MMTh use, based on CEUS (old)</t>
  </si>
  <si>
    <t>RCx</t>
  </si>
  <si>
    <t>kWh savings (%)</t>
  </si>
  <si>
    <t>1.18%, 12.5% annual growth</t>
  </si>
  <si>
    <t>Building Operator Certification</t>
  </si>
  <si>
    <t>Com</t>
  </si>
  <si>
    <t>Com - College</t>
  </si>
  <si>
    <t>1000 sqft2 of floor space</t>
  </si>
  <si>
    <t>Savings per 1000 sqft</t>
  </si>
  <si>
    <t>Com - Grocery</t>
  </si>
  <si>
    <t>Com - Health</t>
  </si>
  <si>
    <t>Com - Lodging</t>
  </si>
  <si>
    <t>Com - Office (Large)</t>
  </si>
  <si>
    <t>Com - Office (Small)</t>
  </si>
  <si>
    <t>Com - Other</t>
  </si>
  <si>
    <t>Com - Refrig. Warehouse</t>
  </si>
  <si>
    <t>Com - Restaurant</t>
  </si>
  <si>
    <t>Com - Retail</t>
  </si>
  <si>
    <t>Com - School</t>
  </si>
  <si>
    <t>Com - Warehouse</t>
  </si>
  <si>
    <t>SCG</t>
  </si>
  <si>
    <t>DRAFT</t>
  </si>
  <si>
    <t>Unit Energy Savings</t>
  </si>
  <si>
    <t>Measure Name</t>
  </si>
  <si>
    <t>IOU</t>
  </si>
  <si>
    <t>Savings Type</t>
  </si>
  <si>
    <t>Applicability Factor</t>
  </si>
  <si>
    <t>EUL (years)</t>
  </si>
  <si>
    <t>Population Basis</t>
  </si>
  <si>
    <t>Savings unit basis</t>
  </si>
  <si>
    <t>Cost Unit Basis</t>
  </si>
  <si>
    <t>kW/KWh Savings Ratio</t>
  </si>
  <si>
    <t>HERS</t>
  </si>
  <si>
    <t>Res - Single Family</t>
  </si>
  <si>
    <t>Customer Segment Consumption (kWh/year)</t>
  </si>
  <si>
    <t>% Savings</t>
  </si>
  <si>
    <t>Per Unit Energy Saved</t>
  </si>
  <si>
    <t>Res - Multi Family</t>
  </si>
  <si>
    <t>Customer Segment Consumption (Therms/year)</t>
  </si>
  <si>
    <t>Web-Real Time Feedback</t>
  </si>
  <si>
    <t>IHD- Real Time Feedback</t>
  </si>
  <si>
    <t>Small Challenges and Competitions</t>
  </si>
  <si>
    <t>Large Challenges and Competitions</t>
  </si>
  <si>
    <t>COM Competitions</t>
  </si>
  <si>
    <t>Business Energy Reports</t>
  </si>
  <si>
    <t>Building Benchmarking</t>
  </si>
  <si>
    <t>Strategic Energy Management</t>
  </si>
  <si>
    <t>BIEMS</t>
  </si>
  <si>
    <t>Per unit Energy Saved</t>
  </si>
  <si>
    <t>Percent Incremental Annual Penetration</t>
  </si>
  <si>
    <t>Scenario</t>
  </si>
  <si>
    <t>Reference</t>
  </si>
  <si>
    <t>Aggressive</t>
  </si>
  <si>
    <t>kWh (%, or per 1000sf)</t>
  </si>
  <si>
    <t>Therms (%, or per 1000sf)</t>
  </si>
  <si>
    <t>0-12.7%</t>
  </si>
  <si>
    <t>applicability factor ranges from 18% to 70%. Excel sheet shows 1.28-1.3% penetration</t>
  </si>
  <si>
    <t>kWh savings from BER</t>
  </si>
  <si>
    <t>therm savings from BER</t>
  </si>
  <si>
    <t>kWh savings / sf</t>
  </si>
  <si>
    <t>therm savings/sf</t>
  </si>
  <si>
    <t>2016 Therm savings</t>
  </si>
  <si>
    <t>2015 GWh savings</t>
  </si>
  <si>
    <t xml:space="preserve">retail, restaurants, lodging, and “other". launches 2019. 1% penetration in 2019, ramps up 1% each year to 12% by 2030. </t>
  </si>
  <si>
    <t>total</t>
  </si>
  <si>
    <t>average across IOUs and bldg types</t>
  </si>
  <si>
    <t>TOTAL</t>
  </si>
  <si>
    <t>Therm Savings (%)</t>
  </si>
  <si>
    <t>Partic (Households/yr)</t>
  </si>
  <si>
    <t>GWh savings</t>
  </si>
  <si>
    <t>MMTherm savings</t>
  </si>
  <si>
    <t>that was for pilot, but I'll assume pgm will continue until 2030, and that participation increases 5% each year</t>
  </si>
  <si>
    <t xml:space="preserve">based on ACEEE paper: </t>
  </si>
  <si>
    <t>potential savings 0.4% to 6%.</t>
  </si>
  <si>
    <t>4% seems reasonable, for aggregate, real-time feedback programs at national level</t>
  </si>
  <si>
    <t>since CA has lower elec use, I'll estimate 75% of that 4% savings, for 3% savings in CA. (I got the 75% from: HER savings in CA are ~1.5%, whereas they are 2% nationally according to this ACEEE paper)</t>
  </si>
  <si>
    <t>Advanced Metering Initiative with real-time feedback</t>
  </si>
  <si>
    <t>Partic (Households)</t>
  </si>
  <si>
    <t>http://aceee.org/files/proceedings/2016/data/papers/2_420.pdf</t>
  </si>
  <si>
    <t>from ACEEE paper:</t>
  </si>
  <si>
    <t>based on Energy Trust of OR savings: 4.9% - 6% natural gas savings</t>
  </si>
  <si>
    <t>CA has more mild climate than OR, so I'll assume half of the higher end of savings: 3%</t>
  </si>
  <si>
    <t>MMTh</t>
  </si>
  <si>
    <t>I'll assume 1% penetration rate</t>
  </si>
  <si>
    <t xml:space="preserve">I'll estimate 4% initial penetration, since that's lower of the online (10%) and in home display (4%) from PGT 2018 </t>
  </si>
  <si>
    <t>First year</t>
  </si>
  <si>
    <t>Cumulative</t>
  </si>
  <si>
    <t>Assumed 1 year EUL</t>
  </si>
  <si>
    <t>Smart Thermostat (Therms only)</t>
  </si>
  <si>
    <t>But since PGT already included 1-2% for realtime feedback, I'll only include incremental savings of 3% - 2% = 1%</t>
  </si>
  <si>
    <t>Real-time Feedback: In home display</t>
  </si>
  <si>
    <t>http://www.energycollection.us/Energy-Metering/Advanced-Metering-Initiatives.pdf </t>
  </si>
  <si>
    <t>Cumulative MMTh</t>
  </si>
  <si>
    <t>Strategic Energy Management (Ind/Ag)</t>
  </si>
  <si>
    <t>Grand Total</t>
  </si>
  <si>
    <t xml:space="preserve">2018 </t>
  </si>
  <si>
    <t xml:space="preserve">2019 </t>
  </si>
  <si>
    <t xml:space="preserve">2020 </t>
  </si>
  <si>
    <t xml:space="preserve">2021 </t>
  </si>
  <si>
    <t xml:space="preserve">2022 </t>
  </si>
  <si>
    <t xml:space="preserve">2023 </t>
  </si>
  <si>
    <t xml:space="preserve">2024 </t>
  </si>
  <si>
    <t xml:space="preserve">2025 </t>
  </si>
  <si>
    <t xml:space="preserve">2026 </t>
  </si>
  <si>
    <t xml:space="preserve">2027 </t>
  </si>
  <si>
    <t xml:space="preserve">2028 </t>
  </si>
  <si>
    <t xml:space="preserve">2029 </t>
  </si>
  <si>
    <t xml:space="preserve">2030 </t>
  </si>
  <si>
    <t>Reference Case</t>
  </si>
  <si>
    <t>Aggressive Case</t>
  </si>
  <si>
    <t>excluded - counted elsewhere</t>
  </si>
  <si>
    <t>Total for BRO programs in PG2018  - Ref Case</t>
  </si>
  <si>
    <t>Total for BRO programs in PG2018  - Aggressive</t>
  </si>
  <si>
    <t>way lower. Order of magnitute lower</t>
  </si>
  <si>
    <t>dropped in half</t>
  </si>
  <si>
    <t>dropped a lot, no savings first years</t>
  </si>
  <si>
    <t>increased a bit</t>
  </si>
  <si>
    <t>BIEMS annual growth</t>
  </si>
  <si>
    <t>Growth assumed</t>
  </si>
  <si>
    <t>BOC annual growth</t>
  </si>
  <si>
    <t>BER annual growth</t>
  </si>
  <si>
    <t>0, since 0 in 2018</t>
  </si>
  <si>
    <t>TRC assumption</t>
  </si>
  <si>
    <t>RCx annual growth</t>
  </si>
  <si>
    <t>MWh</t>
  </si>
  <si>
    <t>MMTherms</t>
  </si>
  <si>
    <t>HER annual growth</t>
  </si>
  <si>
    <t>impact evaluation of PG&amp;E HER program 2015:</t>
  </si>
  <si>
    <t>so 9.6 estimate maybe too high</t>
  </si>
  <si>
    <t>so 149 estimate maybe too low</t>
  </si>
  <si>
    <t>http://www.calmac.org/publications/DNVGL_PGE_HERs_2015_final_to_calmacES.pdf</t>
  </si>
  <si>
    <t>table 3</t>
  </si>
  <si>
    <t>this seems far too high, since total therms is 354 therm in RASS (would be &gt; 1/2 of gas savings).  I'll instead use the HOPPs filing: 16% gas savings</t>
  </si>
  <si>
    <t>Discount by 50%, because there may be overlap with deemed savings measures</t>
  </si>
  <si>
    <t>treatment start</t>
  </si>
  <si>
    <t>participants</t>
  </si>
  <si>
    <t>GWh, 2015</t>
  </si>
  <si>
    <t>MMth, 2015</t>
  </si>
  <si>
    <t>Opower 1</t>
  </si>
  <si>
    <t>Opower 2</t>
  </si>
  <si>
    <t>MAS-2 My account</t>
  </si>
  <si>
    <t>MAS-2 Non My Account</t>
  </si>
  <si>
    <t>Opower ave</t>
  </si>
  <si>
    <t>Total MAS savings</t>
  </si>
  <si>
    <t>http://www.calmac.org/publications/DNVGL_SDGE_HERs_2015_final_to_calmac.pdf</t>
  </si>
  <si>
    <t>Assume half are from deemed savings, the other half behavioral</t>
  </si>
  <si>
    <t xml:space="preserve">Manage Act Save (MAS) savings from impact evaluation. </t>
  </si>
  <si>
    <t>Opower (HER) included in PG 2018</t>
  </si>
  <si>
    <t>Comparison of HER savings in IOU HER 2015 impact evaluations and Navigant 2018 PGT (June 9 draft) assumptions</t>
  </si>
  <si>
    <t>Ave kWh savings (%)</t>
  </si>
  <si>
    <t>Ave therm savings (%)</t>
  </si>
  <si>
    <t>Penetration</t>
  </si>
  <si>
    <t>IOU-average kWh savings</t>
  </si>
  <si>
    <t>IOU-average Therm savings</t>
  </si>
  <si>
    <t>Households (from 2018 PG)</t>
  </si>
  <si>
    <t>Households (% of IOUs)</t>
  </si>
  <si>
    <t>Treatment Households</t>
  </si>
  <si>
    <t>Savings (% kWh)</t>
  </si>
  <si>
    <t>Savings (% Therms)</t>
  </si>
  <si>
    <t>HER evaluation, PY 2015</t>
  </si>
  <si>
    <t>http://www.calmac.org/publications/DNVGL_PGE_HERs_2015_final_to_calmac.pdf</t>
  </si>
  <si>
    <t>Navigant assumption, 2016</t>
  </si>
  <si>
    <t>http://www.calmac.org/publications/Opower-2_PY2015_Eval_Report_10-13-16.pdf</t>
  </si>
  <si>
    <t>Maybe SCE launched new waves in 2016?</t>
  </si>
  <si>
    <t>IOU weighted average savings, TRC</t>
  </si>
  <si>
    <t>IOU weighted average savings, Navigant</t>
  </si>
  <si>
    <t>Notes from Navigant 2018 PGT report</t>
  </si>
  <si>
    <t>The 2016 assumption for Navigant is supposed to be based on current penetration rates. They used HER 2014 program evaluations, but 2015 evaluations have been released</t>
  </si>
  <si>
    <t>The reference and aggressive scenarios assume the same kWh and therm savings.</t>
  </si>
  <si>
    <t>Aggressive scenario assumes faster penetration rate increase for all IOUs, although PG&amp;E and SCE have same penetration in 2030 under both scenarios</t>
  </si>
  <si>
    <t>Red if Navigant assumption too high</t>
  </si>
  <si>
    <t>Green if Navigant assumption seems low</t>
  </si>
  <si>
    <t>Navigant developed assumptions using 2014 impact evaluations. TRC reviewed 2015 impact evaluations</t>
  </si>
  <si>
    <t>Overall, TRC finds higher HER Savings than what Navigant reported for kWh and therms</t>
  </si>
  <si>
    <t>Adjustment factors</t>
  </si>
  <si>
    <t>MAS not included in PG 2018</t>
  </si>
  <si>
    <t>Also assume for 2016,2017, and 2018. In 2018, PG assumes Res competitions, so assuming  0 MAS savings beginning 2019 to avoid double counting.</t>
  </si>
  <si>
    <t>from 2017 POU EE Report SB1037</t>
  </si>
  <si>
    <t>Gross Annual Energy Savings (kWh)</t>
  </si>
  <si>
    <t>Gross Annual Energy Savings (GWh)</t>
  </si>
  <si>
    <t>Not assuming any other programs for POUs (e.g., not assuming BIEMS, BOC, SEM) since POUs generally not claiming credit.</t>
  </si>
  <si>
    <t>from 2017 POU EE Report SB1037. most (13.5 GWh) from SMUD</t>
  </si>
  <si>
    <t>LADWP launches half of HER in 2019</t>
  </si>
  <si>
    <t>LADWP launches rest of HER in 2020</t>
  </si>
  <si>
    <t>My estimate based on past projects, but need better source</t>
  </si>
  <si>
    <t>POU res customers / CA res customers</t>
  </si>
  <si>
    <t>other POUs expanding HER. Starting in 2021, assume IOU savings (from 2018 PG) x % of res customers that are POU</t>
  </si>
  <si>
    <t>Conservative Case:</t>
  </si>
  <si>
    <t>SCG savings assumed for SCE</t>
  </si>
  <si>
    <t>by 2030, assuming 37.5% penetration, and savings per household drops by 50% (because of other SB 350 initiatives</t>
  </si>
  <si>
    <t xml:space="preserve">HER savings per household (as absolute kWh) may decrease, because savings scale with residential electricity use. If total electricity use drops (which has been past trend, and which other SB 350 initiatives will encourage), fewer savings opportunities exist. </t>
  </si>
  <si>
    <t>Assume half the savings as PG starting in 2021 for HER and Business Energy Report. Increase in penetration balanced with decreasing savings (as absolute kWh and therm values) per customer</t>
  </si>
  <si>
    <t>See POU BRO Savings tab</t>
  </si>
  <si>
    <t>Total POU BROs, GWh</t>
  </si>
  <si>
    <t>Conservative</t>
  </si>
  <si>
    <t>Commercial</t>
  </si>
  <si>
    <t>Res Behavior programs</t>
  </si>
  <si>
    <t>POU BRO savings</t>
  </si>
  <si>
    <t>There isn't a specific RCx program, RCx scattered throughout (LADWP interview)</t>
  </si>
  <si>
    <t>assume similar savings as IOUs, as fraction of commercial customers in POU territory</t>
  </si>
  <si>
    <t>BOC</t>
  </si>
  <si>
    <t>BER</t>
  </si>
  <si>
    <t>SEM</t>
  </si>
  <si>
    <t>COM Competition</t>
  </si>
  <si>
    <t>SEM - Ind/Ag</t>
  </si>
  <si>
    <t>Navigant App B assumes Res Beh programs expanded FY20-21</t>
  </si>
  <si>
    <t>Navigant App B assumes Res Beh programs expanded FY20-21. Assume ramp up starting 2020</t>
  </si>
  <si>
    <t>HER (Res Behavior for 2015)</t>
  </si>
  <si>
    <t>From 2018 PG: Aggressive</t>
  </si>
  <si>
    <t>From 2018 PG: Reference</t>
  </si>
  <si>
    <t>Bottom Wedge: IOU Programs in 2018 PG</t>
  </si>
  <si>
    <t>Middle Wedge: POU programs</t>
  </si>
  <si>
    <t>Middle Wedge: Savings beyond claimed utility programs</t>
  </si>
  <si>
    <t>POU BRO Savings, assuming similar increase as IOU Aggressive</t>
  </si>
  <si>
    <t>Middle Wedge: Savings beyond PG Aggressive scenario</t>
  </si>
  <si>
    <t>Increase HER savings by decreasing control group</t>
  </si>
  <si>
    <t>2018 PG savings x 0.5: fewer savings opportunities</t>
  </si>
  <si>
    <t>POU savings x 0.5: fewer savings opportunities</t>
  </si>
  <si>
    <t>Negligible, since SCG and PG&amp;E provide gas to most</t>
  </si>
  <si>
    <t>from Manage Act Save (MAS, through 2018) and Res Pay 4 Performance (P4P)</t>
  </si>
  <si>
    <t>Increase savings by 12.5% for larger treatment group</t>
  </si>
  <si>
    <t>GWH</t>
  </si>
  <si>
    <t>Total HER savings, Reference</t>
  </si>
  <si>
    <t>HER savings: IOUs, Reference</t>
  </si>
  <si>
    <t>HER savings: POUs, Reference</t>
  </si>
  <si>
    <t xml:space="preserve">Additional HER savings from increasing penetration by 12.5%. </t>
  </si>
  <si>
    <t xml:space="preserve">Only 75% of customers eligible (bottom quartile of energy users won't get enough savings). Current assumption: remaining 75% split into control (37.5%) and treatment (37.5%). </t>
  </si>
  <si>
    <t>Reduce control group so 50% of population in treament, 25% is control</t>
  </si>
  <si>
    <t>Do this startingin 2019 (ramp up year) and finish in 2020</t>
  </si>
  <si>
    <t>Cumulative Savings</t>
  </si>
  <si>
    <t>reduce by 50% b/c of overlap with other measures (e.g., HER)</t>
  </si>
  <si>
    <t>from Manage Act Save (MAS, through 2018), Res Pay 4 Performance (P4P), and Smart thermostat</t>
  </si>
  <si>
    <t>Reference: 5% growth each year, just for PG&amp;E</t>
  </si>
  <si>
    <t>PG&amp;E households, % of statewide</t>
  </si>
  <si>
    <t>Aggressive: 5% growth each year, for all utilities starting in 2019</t>
  </si>
  <si>
    <t>Smart Thermostat and Res Pay 4 Performance (P4P) (MAS is small)</t>
  </si>
  <si>
    <t>Annual Increase: 2018 to 2030</t>
  </si>
  <si>
    <t>Conservative Case</t>
  </si>
  <si>
    <t>MAS and P4P savings x 0.5</t>
  </si>
  <si>
    <t>MAS, P4P, and smart thermostat  x 0.5</t>
  </si>
  <si>
    <t>MAS, P4P, and smart thermostat x 0.5</t>
  </si>
  <si>
    <t>Included in real-time workbook</t>
  </si>
  <si>
    <t>POU customers / CA customers</t>
  </si>
  <si>
    <t>POU customers / IOU customers</t>
  </si>
  <si>
    <r>
      <rPr>
        <sz val="11"/>
        <color theme="10"/>
        <rFont val="Calibri"/>
        <family val="2"/>
        <scheme val="minor"/>
      </rPr>
      <t xml:space="preserve">CPUC presentation: </t>
    </r>
    <r>
      <rPr>
        <u/>
        <sz val="11"/>
        <color theme="10"/>
        <rFont val="Calibri"/>
        <family val="2"/>
        <scheme val="minor"/>
      </rPr>
      <t>http://energy.nv.gov/uploadedFiles/energynvgov/content/Programs/TaskForces/2017/Agenda%20item%204%20-%20California%20Presentation.pdf</t>
    </r>
  </si>
  <si>
    <t>households, Aggressive</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</si>
  <si>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</si>
  <si>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</si>
  <si>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</si>
  <si>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</si>
  <si>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</si>
  <si>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</si>
  <si>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</si>
  <si>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</si>
  <si>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</si>
  <si>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</si>
  <si>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</si>
  <si>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</si>
  <si>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</si>
  <si>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</si>
  <si>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 xml:space="preserve">This tab shows the "reference" case of the analysis which assumes business-as-usual trends. </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</si>
  <si>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</si>
  <si>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</si>
  <si>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</si>
  <si>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</si>
  <si>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</si>
  <si>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</si>
  <si>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</si>
  <si>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</si>
  <si>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</si>
  <si>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Million therms</t>
  </si>
  <si>
    <t>SB 350</t>
  </si>
  <si>
    <t>Senate Bill 350</t>
  </si>
  <si>
    <t>AAEE</t>
  </si>
  <si>
    <t>Additional Achievable Energy Efficiency is defined by the Energy Commission as energy savings not yet considered committed but deemed likely to occur, including future updates of building codes, appliance regulations, and utility efficiency programs</t>
  </si>
  <si>
    <t>Single family and multi-family buildings</t>
  </si>
  <si>
    <t>Non-residential</t>
  </si>
  <si>
    <t xml:space="preserve">Commercial, excluding industrial and agriculture. </t>
  </si>
  <si>
    <t>Program Information</t>
  </si>
  <si>
    <t>Benchmarking and Public Disclosure</t>
  </si>
  <si>
    <t>Category</t>
  </si>
  <si>
    <t>Data Sources</t>
  </si>
  <si>
    <t>Savings Allocation by Sector</t>
  </si>
  <si>
    <t>Calculated directly in the analysis</t>
  </si>
  <si>
    <t>Savings Overlap Assumptions</t>
  </si>
  <si>
    <t>Utility Savings Overlap</t>
  </si>
  <si>
    <t>Demand Forecast Overlap</t>
  </si>
  <si>
    <t>AAEE Overlap</t>
  </si>
  <si>
    <t>Scenario Assumptions</t>
  </si>
  <si>
    <t>Scenario:</t>
  </si>
  <si>
    <t>All</t>
  </si>
  <si>
    <t>Cumulative Energy Savings Potential - Electricity</t>
  </si>
  <si>
    <t>Cumulative Energy Savings Potential - Gas</t>
  </si>
  <si>
    <t xml:space="preserve">Residential </t>
  </si>
  <si>
    <t>Combined</t>
  </si>
  <si>
    <t>Behavorial, Retrocommissioning, Operational Savings</t>
  </si>
  <si>
    <t>Appendix A14 - BROS</t>
  </si>
  <si>
    <t>BROS</t>
  </si>
  <si>
    <t>Total "Incremental" Savings</t>
  </si>
  <si>
    <t>Source of Savings</t>
  </si>
  <si>
    <t>Gas Savings (MM Therms)</t>
  </si>
  <si>
    <t>Electricity Savings (GWh)</t>
  </si>
  <si>
    <t>Savings Category</t>
  </si>
  <si>
    <t>Nonresidential</t>
  </si>
  <si>
    <t>Incremental Electricity Savings</t>
  </si>
  <si>
    <t>Incremental Gas Savings</t>
  </si>
  <si>
    <t>Cumulative Savings by Sector</t>
  </si>
  <si>
    <t>First Year Savings</t>
  </si>
  <si>
    <t>N/A</t>
  </si>
  <si>
    <t>First-year Total Commercial BROs, GWH</t>
  </si>
  <si>
    <t>Cumulative Total Commercial BROs, GWH</t>
  </si>
  <si>
    <t>First-year Total Savings</t>
  </si>
  <si>
    <t>Cumulative Total Savings</t>
  </si>
  <si>
    <t>First-year Total Residential BROs, GWH (same as Cumulative)</t>
  </si>
  <si>
    <t>Federal Appliance Standards</t>
  </si>
  <si>
    <t>Air Quality Management Districts</t>
  </si>
  <si>
    <t>Benchmarking &amp; Market Transformation</t>
  </si>
  <si>
    <t>Fuel Substitution</t>
  </si>
  <si>
    <t>Others</t>
  </si>
  <si>
    <t>These tabs contain raw data and relevant analysis conducted for this analysis.</t>
  </si>
  <si>
    <t>Navigant 2018 Potential and Goals (2018 PG) analysis, including supporting BROS documentation and studies, for current and projected savings from the Investor Owned Utilities (IOU)</t>
  </si>
  <si>
    <t>Interviews and communications with utility staff at PG&amp;E, LADWP, and SMUD to discuss current and future BRO offerings</t>
  </si>
  <si>
    <t>Res P4P data program filing and data from EE Stats</t>
  </si>
  <si>
    <t>Impact evaluation reports for the HER and MAS programs</t>
  </si>
  <si>
    <t>The CEC report, Energy Efficiency in the Public Power Sector, 2017 (“EE in Public Power”), which describe savings from the Publicly Owned Utilities (POUs) for 2015 programs, and includes Appendix B which provides results of the POU potential study conducted by Navigant</t>
  </si>
  <si>
    <t>CEC Data</t>
  </si>
  <si>
    <t>2018 PG Study Data</t>
  </si>
  <si>
    <t>Interview Data</t>
  </si>
  <si>
    <t>HER and MAS Data</t>
  </si>
  <si>
    <t>P4P Data</t>
  </si>
  <si>
    <t>Assigned 2018 PG Reference savings from IOU programs to the bottom wedge. For the middle wedge, NORESCO team identified the following sources of BRO: 
o Savings from POU programs,
o Savings from the MAS and P4P, since they were not included in the 2018 PG study. In general, savings from these programs were small compared with programs in the 2018 PG.</t>
  </si>
  <si>
    <t>Assigned the 2018 PG aggressive scenario savings to the bottom wedge. For the middle wedge, the NORESCO identified:
o Savings from POU programs. For the POUs, this analysis assumed that BRO savings would increase at the same rate as IOU BRO savings. For each year, the NORESCO team took the ratio of IOU savings under the Aggressive scenario to IOU savings in the Reference Scenario, and multiplied this ratio by BRO savings from POUs under the Reference scenario.
o Additional savings from HER (beyond the 2018 PG savings) from increasing the penetration rate by an additional 12.5 percent statewide (from 37.5 percent to 50 percent) through a reduction in the number of households used as a control
o Savings from the MAS, P4P (with higher P4P savings due to increased penetration compared with the Reference scenario), and a smart thermostat measure (for natural gas savings only). Savings from all of these programs are small compared with 2018 PG savings and savings from the HER penetration increase.</t>
  </si>
  <si>
    <t>Reduced savings from all programs compared with the Reference scenario by 50 percent by 2030. This scenario reflects the possibility that BRO energy savings per customer will decline in the future, because other SB350 initiatives will reduce total energy use, thereby reducing energy savings opportunities from BRO measures. 
o Assumed the same savings as the Reference scenario from 2015 to 2020, because many SB350 initiatives are projected to be ramping up until 2020. 
o For 2030, assumed that savings would be 50 percent of the energy savings from the BRO Reference prediction for 2030. This analysis selected 50 percent using industry judgement, to represent the lower limit of what the NORESCO team considered to be feasible for reduced energy savings opportunities for BROs.
o Developed a smooth curve for energy savings from 2021 to 2030, using the difference in BRO savings between 2020 and 2030 and dividing this value by 10 years.</t>
  </si>
  <si>
    <t>Negligible</t>
  </si>
  <si>
    <t>Accounted for in the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</si>
</sst>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0.0%"/>
    <numFmt numFmtId="167" formatCode="_(* #,##0.0_);_(* \(#,##0.0\);_(* &quot;-&quot;??_);_(@_)"/>
    <numFmt numFmtId="168" formatCode="&quot;$&quot;#,##0.0000"/>
    <numFmt numFmtId="169" formatCode="0.000000"/>
    <numFmt numFmtId="170" formatCode="0.000"/>
    <numFmt numFmtId="171" formatCode="[$-F800]dddd\,\ mmmm\ dd\,\ yyyy"/>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0"/>
      <color theme="1"/>
      <name val="Arial"/>
      <family val="2"/>
    </font>
    <font>
      <sz val="11"/>
      <color theme="1"/>
      <name val="Calibri"/>
      <family val="2"/>
      <scheme val="minor"/>
    </font>
    <font>
      <b/>
      <sz val="14"/>
      <color theme="1"/>
      <name val="Calibri"/>
      <family val="2"/>
      <scheme val="minor"/>
    </font>
    <font>
      <sz val="11"/>
      <color rgb="FFFF0000"/>
      <name val="Calibri"/>
      <family val="2"/>
      <scheme val="minor"/>
    </font>
    <font>
      <sz val="14"/>
      <color theme="1"/>
      <name val="Calibri"/>
      <family val="2"/>
      <scheme val="minor"/>
    </font>
    <font>
      <b/>
      <sz val="11"/>
      <color rgb="FF0070C0"/>
      <name val="Calibri"/>
      <family val="2"/>
      <scheme val="minor"/>
    </font>
    <font>
      <b/>
      <sz val="14"/>
      <color rgb="FF0070C0"/>
      <name val="Calibri"/>
      <family val="2"/>
      <scheme val="minor"/>
    </font>
    <font>
      <sz val="10"/>
      <name val="Arial"/>
      <family val="2"/>
    </font>
    <font>
      <sz val="11"/>
      <color theme="0" tint="-0.499984740745262"/>
      <name val="Calibri"/>
      <family val="2"/>
      <scheme val="minor"/>
    </font>
    <font>
      <b/>
      <sz val="14"/>
      <color rgb="FFFF0000"/>
      <name val="Calibri"/>
      <family val="2"/>
      <scheme val="minor"/>
    </font>
    <font>
      <b/>
      <sz val="11"/>
      <color rgb="FFFF0000"/>
      <name val="Calibri"/>
      <family val="2"/>
      <scheme val="minor"/>
    </font>
    <font>
      <sz val="10"/>
      <color theme="1"/>
      <name val="Calibri"/>
      <family val="2"/>
      <scheme val="minor"/>
    </font>
    <font>
      <b/>
      <sz val="18"/>
      <color theme="1"/>
      <name val="Calibri"/>
      <family val="2"/>
    </font>
    <font>
      <b/>
      <sz val="11"/>
      <color theme="0" tint="-0.499984740745262"/>
      <name val="Calibri"/>
      <family val="2"/>
      <scheme val="minor"/>
    </font>
    <font>
      <sz val="14"/>
      <color theme="1"/>
      <name val="Arial"/>
      <family val="2"/>
    </font>
    <font>
      <sz val="10"/>
      <color theme="0" tint="-0.499984740745262"/>
      <name val="Calibri"/>
      <family val="2"/>
      <scheme val="minor"/>
    </font>
    <font>
      <sz val="12"/>
      <color theme="1"/>
      <name val="Calibri"/>
      <family val="2"/>
      <scheme val="minor"/>
    </font>
    <font>
      <sz val="11"/>
      <color rgb="FF333333"/>
      <name val="Arial"/>
      <family val="2"/>
    </font>
    <font>
      <u/>
      <sz val="11"/>
      <color theme="10"/>
      <name val="Calibri"/>
      <family val="2"/>
      <scheme val="minor"/>
    </font>
    <font>
      <sz val="11"/>
      <name val="Calibri"/>
      <family val="2"/>
      <scheme val="minor"/>
    </font>
    <font>
      <b/>
      <sz val="11"/>
      <name val="Calibri"/>
      <family val="2"/>
      <scheme val="minor"/>
    </font>
    <font>
      <b/>
      <sz val="14"/>
      <name val="Calibri"/>
      <family val="2"/>
      <scheme val="minor"/>
    </font>
    <font>
      <b/>
      <sz val="12"/>
      <name val="Calibri"/>
      <family val="2"/>
      <scheme val="minor"/>
    </font>
    <font>
      <sz val="11"/>
      <color rgb="FF00B050"/>
      <name val="Calibri"/>
      <family val="2"/>
      <scheme val="minor"/>
    </font>
    <font>
      <b/>
      <sz val="11"/>
      <color rgb="FF00B050"/>
      <name val="Calibri"/>
      <family val="2"/>
      <scheme val="minor"/>
    </font>
    <font>
      <i/>
      <sz val="11"/>
      <color theme="1"/>
      <name val="Calibri"/>
      <family val="2"/>
      <scheme val="minor"/>
    </font>
    <font>
      <sz val="14"/>
      <color rgb="FFFF0000"/>
      <name val="Calibri"/>
      <family val="2"/>
      <scheme val="minor"/>
    </font>
    <font>
      <sz val="11"/>
      <color theme="10"/>
      <name val="Calibri"/>
      <family val="2"/>
      <scheme val="minor"/>
    </font>
    <font>
      <b/>
      <sz val="11"/>
      <color theme="1"/>
      <name val="Arial"/>
      <family val="2"/>
    </font>
    <font>
      <sz val="18"/>
      <color theme="1"/>
      <name val="Arial"/>
      <family val="2"/>
    </font>
    <font>
      <b/>
      <sz val="14"/>
      <color theme="1"/>
      <name val="Arial"/>
      <family val="2"/>
    </font>
    <font>
      <b/>
      <i/>
      <sz val="18"/>
      <color theme="1"/>
      <name val="Calibri"/>
      <family val="2"/>
      <scheme val="minor"/>
    </font>
    <font>
      <u/>
      <sz val="9"/>
      <color theme="10"/>
      <name val="Calibri"/>
      <family val="2"/>
      <scheme val="minor"/>
    </font>
    <font>
      <b/>
      <i/>
      <sz val="11"/>
      <color theme="1"/>
      <name val="Calibri"/>
      <family val="2"/>
      <scheme val="minor"/>
    </font>
    <font>
      <b/>
      <sz val="18"/>
      <color theme="0"/>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diagonal/>
    </border>
  </borders>
  <cellStyleXfs count="18">
    <xf numFmtId="0" fontId="0" fillId="0" borderId="0"/>
    <xf numFmtId="43" fontId="12" fillId="0" borderId="0" applyFont="0" applyFill="0" applyBorder="0" applyAlignment="0" applyProtection="0">
      <alignment wrapText="1"/>
    </xf>
    <xf numFmtId="44" fontId="12" fillId="0" borderId="0" applyFont="0" applyFill="0" applyBorder="0" applyAlignment="0" applyProtection="0">
      <alignment wrapText="1"/>
    </xf>
    <xf numFmtId="43" fontId="12" fillId="0" borderId="0" applyFont="0" applyFill="0" applyBorder="0" applyAlignment="0" applyProtection="0">
      <alignment wrapText="1"/>
    </xf>
    <xf numFmtId="0" fontId="12" fillId="0" borderId="0">
      <alignment wrapText="1"/>
    </xf>
    <xf numFmtId="9" fontId="6" fillId="0" borderId="0" applyFont="0" applyFill="0" applyBorder="0" applyAlignment="0" applyProtection="0"/>
    <xf numFmtId="43" fontId="6" fillId="0" borderId="0" applyFont="0" applyFill="0" applyBorder="0" applyAlignment="0" applyProtection="0"/>
    <xf numFmtId="0" fontId="23"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37" fillId="0" borderId="0" applyNumberFormat="0" applyFill="0" applyBorder="0" applyAlignment="0" applyProtection="0"/>
    <xf numFmtId="0" fontId="12" fillId="0" borderId="0"/>
    <xf numFmtId="0" fontId="12" fillId="0" borderId="0"/>
    <xf numFmtId="0" fontId="6" fillId="0" borderId="0"/>
    <xf numFmtId="0" fontId="6" fillId="0" borderId="0"/>
    <xf numFmtId="0" fontId="12" fillId="0" borderId="0"/>
    <xf numFmtId="9" fontId="12" fillId="0" borderId="0" applyFont="0" applyFill="0" applyBorder="0" applyAlignment="0" applyProtection="0"/>
    <xf numFmtId="9" fontId="12" fillId="0" borderId="0" applyFont="0" applyFill="0" applyBorder="0" applyAlignment="0" applyProtection="0"/>
  </cellStyleXfs>
  <cellXfs count="340">
    <xf numFmtId="0" fontId="0" fillId="0" borderId="0" xfId="0"/>
    <xf numFmtId="0" fontId="4" fillId="0" borderId="0" xfId="0" applyFont="1"/>
    <xf numFmtId="0" fontId="0" fillId="0" borderId="0" xfId="0" applyFont="1"/>
    <xf numFmtId="0" fontId="0" fillId="0" borderId="0" xfId="0" applyBorder="1"/>
    <xf numFmtId="0" fontId="0" fillId="0" borderId="0" xfId="0" applyAlignment="1">
      <alignment wrapText="1"/>
    </xf>
    <xf numFmtId="0" fontId="7" fillId="0" borderId="0" xfId="0" applyFont="1"/>
    <xf numFmtId="0" fontId="5" fillId="0" borderId="0" xfId="0" applyFont="1" applyAlignment="1">
      <alignment horizontal="left"/>
    </xf>
    <xf numFmtId="0" fontId="8" fillId="0" borderId="0" xfId="0" applyFont="1"/>
    <xf numFmtId="0" fontId="0" fillId="0" borderId="0" xfId="0" applyFont="1" applyFill="1" applyBorder="1"/>
    <xf numFmtId="0" fontId="9" fillId="0" borderId="0" xfId="0" applyFont="1"/>
    <xf numFmtId="0" fontId="4" fillId="0" borderId="0" xfId="0" applyFont="1" applyAlignment="1"/>
    <xf numFmtId="0" fontId="0" fillId="0" borderId="0" xfId="0" applyAlignment="1">
      <alignment horizontal="right"/>
    </xf>
    <xf numFmtId="0" fontId="0" fillId="0" borderId="0" xfId="0" applyFont="1" applyFill="1" applyBorder="1" applyAlignment="1">
      <alignment horizontal="center"/>
    </xf>
    <xf numFmtId="0" fontId="18" fillId="0" borderId="9" xfId="0" applyFont="1" applyBorder="1" applyAlignment="1">
      <alignment horizontal="left"/>
    </xf>
    <xf numFmtId="0" fontId="19" fillId="0" borderId="0" xfId="0" applyFont="1" applyAlignment="1">
      <alignment horizontal="left"/>
    </xf>
    <xf numFmtId="0" fontId="7" fillId="4" borderId="0" xfId="0" applyFont="1" applyFill="1" applyBorder="1"/>
    <xf numFmtId="0" fontId="7" fillId="2" borderId="0" xfId="0" applyFont="1" applyFill="1" applyBorder="1"/>
    <xf numFmtId="0" fontId="20" fillId="0" borderId="0" xfId="0" applyFont="1" applyBorder="1"/>
    <xf numFmtId="0" fontId="0" fillId="0" borderId="15" xfId="0" applyBorder="1"/>
    <xf numFmtId="0" fontId="7" fillId="0" borderId="0" xfId="0" applyFont="1" applyFill="1" applyBorder="1"/>
    <xf numFmtId="0" fontId="9" fillId="0" borderId="0" xfId="0" applyFont="1" applyBorder="1"/>
    <xf numFmtId="0" fontId="0" fillId="0" borderId="15" xfId="0" applyFont="1" applyFill="1" applyBorder="1"/>
    <xf numFmtId="0" fontId="10" fillId="0" borderId="0" xfId="0" applyFont="1" applyFill="1" applyBorder="1"/>
    <xf numFmtId="0" fontId="0" fillId="0" borderId="17" xfId="0" applyBorder="1"/>
    <xf numFmtId="0" fontId="21" fillId="0" borderId="0" xfId="0" applyFont="1" applyFill="1" applyBorder="1" applyAlignment="1">
      <alignment horizontal="left" vertical="top"/>
    </xf>
    <xf numFmtId="0" fontId="16" fillId="0" borderId="0" xfId="0" applyFont="1" applyBorder="1" applyAlignment="1">
      <alignment horizontal="right"/>
    </xf>
    <xf numFmtId="9" fontId="0" fillId="0" borderId="0" xfId="5" applyFont="1"/>
    <xf numFmtId="0" fontId="14" fillId="0" borderId="0" xfId="0" applyFont="1"/>
    <xf numFmtId="0" fontId="13" fillId="0" borderId="0" xfId="0" applyFont="1"/>
    <xf numFmtId="0" fontId="13" fillId="0" borderId="0" xfId="0" applyFont="1" applyFill="1" applyBorder="1"/>
    <xf numFmtId="0" fontId="13" fillId="0" borderId="0" xfId="0" applyFont="1" applyFill="1"/>
    <xf numFmtId="0" fontId="13" fillId="0" borderId="0" xfId="0" applyFont="1" applyFill="1" applyBorder="1" applyAlignment="1">
      <alignment horizontal="left"/>
    </xf>
    <xf numFmtId="0" fontId="13" fillId="0" borderId="0" xfId="0" applyFont="1" applyBorder="1"/>
    <xf numFmtId="2" fontId="0" fillId="0" borderId="0" xfId="0" applyNumberFormat="1" applyAlignment="1">
      <alignment horizontal="right"/>
    </xf>
    <xf numFmtId="1" fontId="0" fillId="0" borderId="0" xfId="0" applyNumberFormat="1" applyAlignment="1">
      <alignment horizontal="right"/>
    </xf>
    <xf numFmtId="166" fontId="0" fillId="0" borderId="0" xfId="5" applyNumberFormat="1" applyFont="1"/>
    <xf numFmtId="10" fontId="0" fillId="0" borderId="0" xfId="5" applyNumberFormat="1" applyFont="1"/>
    <xf numFmtId="3" fontId="0" fillId="0" borderId="0" xfId="0" applyNumberFormat="1"/>
    <xf numFmtId="3" fontId="22" fillId="0" borderId="0" xfId="0" applyNumberFormat="1" applyFont="1"/>
    <xf numFmtId="0" fontId="23" fillId="0" borderId="0" xfId="7"/>
    <xf numFmtId="0" fontId="0" fillId="0" borderId="6" xfId="0" applyBorder="1"/>
    <xf numFmtId="0" fontId="0" fillId="0" borderId="7" xfId="0" applyBorder="1"/>
    <xf numFmtId="0" fontId="0" fillId="0" borderId="3" xfId="0" applyBorder="1"/>
    <xf numFmtId="0" fontId="0" fillId="0" borderId="8" xfId="0" applyBorder="1"/>
    <xf numFmtId="8" fontId="0" fillId="0" borderId="0" xfId="0" applyNumberFormat="1"/>
    <xf numFmtId="0" fontId="0" fillId="0" borderId="0" xfId="0" applyFill="1" applyBorder="1"/>
    <xf numFmtId="10" fontId="0" fillId="0" borderId="0" xfId="0" applyNumberFormat="1"/>
    <xf numFmtId="9" fontId="0" fillId="0" borderId="0" xfId="0" applyNumberFormat="1"/>
    <xf numFmtId="6" fontId="0" fillId="0" borderId="0" xfId="0" applyNumberFormat="1"/>
    <xf numFmtId="167" fontId="0" fillId="0" borderId="0" xfId="6" applyNumberFormat="1" applyFont="1"/>
    <xf numFmtId="165" fontId="0" fillId="0" borderId="0" xfId="6" applyNumberFormat="1" applyFont="1"/>
    <xf numFmtId="166" fontId="0" fillId="0" borderId="0" xfId="0" applyNumberFormat="1"/>
    <xf numFmtId="165" fontId="0" fillId="0" borderId="0" xfId="6" applyNumberFormat="1" applyFont="1" applyAlignment="1">
      <alignment horizontal="center"/>
    </xf>
    <xf numFmtId="37" fontId="0" fillId="0" borderId="0" xfId="6" applyNumberFormat="1" applyFont="1" applyAlignment="1">
      <alignment horizontal="center"/>
    </xf>
    <xf numFmtId="43" fontId="0" fillId="0" borderId="0" xfId="0" applyNumberFormat="1"/>
    <xf numFmtId="165" fontId="0" fillId="0" borderId="0" xfId="0" applyNumberFormat="1"/>
    <xf numFmtId="166" fontId="0" fillId="0" borderId="0" xfId="5" applyNumberFormat="1" applyFont="1" applyAlignment="1">
      <alignment horizontal="center"/>
    </xf>
    <xf numFmtId="1" fontId="0" fillId="0" borderId="0" xfId="0" applyNumberFormat="1"/>
    <xf numFmtId="165" fontId="0" fillId="0" borderId="0" xfId="6" applyNumberFormat="1" applyFont="1" applyFill="1"/>
    <xf numFmtId="0" fontId="0" fillId="0" borderId="0" xfId="0" applyFill="1"/>
    <xf numFmtId="1" fontId="0" fillId="0" borderId="0" xfId="0" applyNumberFormat="1" applyAlignment="1">
      <alignment horizontal="center"/>
    </xf>
    <xf numFmtId="0" fontId="0" fillId="0" borderId="1" xfId="0" applyBorder="1"/>
    <xf numFmtId="9" fontId="0" fillId="0" borderId="1" xfId="5" applyFont="1" applyBorder="1"/>
    <xf numFmtId="164" fontId="0" fillId="0" borderId="1" xfId="0" applyNumberFormat="1" applyBorder="1"/>
    <xf numFmtId="2" fontId="0" fillId="0" borderId="1" xfId="5" applyNumberFormat="1" applyFont="1" applyBorder="1"/>
    <xf numFmtId="0" fontId="4" fillId="0" borderId="0" xfId="0" applyFont="1" applyAlignment="1">
      <alignment horizontal="center"/>
    </xf>
    <xf numFmtId="0" fontId="4" fillId="0" borderId="1" xfId="0" applyFont="1" applyBorder="1" applyAlignment="1">
      <alignment horizontal="center"/>
    </xf>
    <xf numFmtId="10" fontId="0" fillId="0" borderId="1" xfId="5" applyNumberFormat="1" applyFont="1" applyBorder="1"/>
    <xf numFmtId="168" fontId="0" fillId="0" borderId="1" xfId="0" applyNumberFormat="1" applyBorder="1"/>
    <xf numFmtId="169" fontId="0" fillId="0" borderId="1" xfId="0" applyNumberFormat="1" applyBorder="1"/>
    <xf numFmtId="0" fontId="0" fillId="0" borderId="1" xfId="5" applyNumberFormat="1" applyFont="1" applyBorder="1"/>
    <xf numFmtId="0" fontId="4" fillId="0" borderId="1" xfId="0" applyFont="1" applyBorder="1"/>
    <xf numFmtId="2" fontId="0" fillId="0" borderId="0" xfId="0" applyNumberFormat="1"/>
    <xf numFmtId="167" fontId="0" fillId="0" borderId="0" xfId="0" applyNumberFormat="1" applyFill="1"/>
    <xf numFmtId="167" fontId="0" fillId="0" borderId="0" xfId="0" applyNumberFormat="1"/>
    <xf numFmtId="165" fontId="0" fillId="0" borderId="0" xfId="0" applyNumberFormat="1" applyFill="1"/>
    <xf numFmtId="170" fontId="0" fillId="0" borderId="0" xfId="0" applyNumberFormat="1"/>
    <xf numFmtId="164" fontId="0" fillId="0" borderId="0" xfId="0" applyNumberFormat="1"/>
    <xf numFmtId="2" fontId="0" fillId="6" borderId="0" xfId="0" applyNumberFormat="1" applyFill="1"/>
    <xf numFmtId="166" fontId="0" fillId="6" borderId="0" xfId="0" applyNumberFormat="1" applyFill="1"/>
    <xf numFmtId="0" fontId="0" fillId="6" borderId="0" xfId="0" applyFill="1"/>
    <xf numFmtId="165" fontId="4" fillId="0" borderId="0" xfId="0" applyNumberFormat="1" applyFont="1"/>
    <xf numFmtId="0" fontId="0" fillId="0" borderId="0" xfId="0" applyAlignment="1">
      <alignment horizontal="left"/>
    </xf>
    <xf numFmtId="167" fontId="4" fillId="0" borderId="0" xfId="0" applyNumberFormat="1" applyFont="1"/>
    <xf numFmtId="0" fontId="16" fillId="0" borderId="0" xfId="0" applyFont="1" applyAlignment="1">
      <alignment vertical="center"/>
    </xf>
    <xf numFmtId="0" fontId="23" fillId="0" borderId="0" xfId="7" applyAlignment="1">
      <alignment vertical="center"/>
    </xf>
    <xf numFmtId="0" fontId="25" fillId="4" borderId="22" xfId="0" applyFont="1" applyFill="1" applyBorder="1" applyAlignment="1">
      <alignment horizontal="center" wrapText="1"/>
    </xf>
    <xf numFmtId="0" fontId="24" fillId="4" borderId="0" xfId="0" applyFont="1" applyFill="1" applyAlignment="1">
      <alignment horizontal="center"/>
    </xf>
    <xf numFmtId="164" fontId="24" fillId="4" borderId="0" xfId="0" applyNumberFormat="1" applyFont="1" applyFill="1" applyAlignment="1">
      <alignment horizontal="center"/>
    </xf>
    <xf numFmtId="0" fontId="26" fillId="0" borderId="0" xfId="0" applyFont="1" applyFill="1" applyBorder="1" applyAlignment="1">
      <alignment horizontal="center" wrapText="1"/>
    </xf>
    <xf numFmtId="0" fontId="25" fillId="4" borderId="22" xfId="0" applyFont="1" applyFill="1" applyBorder="1" applyAlignment="1">
      <alignment horizontal="left" wrapText="1"/>
    </xf>
    <xf numFmtId="0" fontId="26" fillId="0" borderId="0" xfId="0" applyFont="1" applyFill="1" applyBorder="1" applyAlignment="1">
      <alignment horizontal="left" wrapText="1"/>
    </xf>
    <xf numFmtId="0" fontId="25" fillId="0" borderId="0" xfId="0" applyFont="1" applyFill="1" applyBorder="1" applyAlignment="1">
      <alignment horizontal="left" wrapText="1"/>
    </xf>
    <xf numFmtId="164" fontId="24" fillId="0" borderId="0" xfId="0" applyNumberFormat="1" applyFont="1" applyFill="1" applyAlignment="1">
      <alignment horizontal="center"/>
    </xf>
    <xf numFmtId="0" fontId="25" fillId="0" borderId="0" xfId="0" applyFont="1" applyFill="1" applyBorder="1" applyAlignment="1">
      <alignment horizontal="center" wrapText="1"/>
    </xf>
    <xf numFmtId="164" fontId="24" fillId="0" borderId="0" xfId="0" applyNumberFormat="1" applyFont="1" applyFill="1" applyBorder="1" applyAlignment="1">
      <alignment horizontal="center" wrapText="1"/>
    </xf>
    <xf numFmtId="0" fontId="25" fillId="0" borderId="22" xfId="0" applyFont="1" applyFill="1" applyBorder="1" applyAlignment="1">
      <alignment horizontal="left" wrapText="1"/>
    </xf>
    <xf numFmtId="9" fontId="24" fillId="0" borderId="0" xfId="5" applyFont="1" applyFill="1" applyAlignment="1">
      <alignment horizontal="center"/>
    </xf>
    <xf numFmtId="1" fontId="0" fillId="0" borderId="0" xfId="0" applyNumberFormat="1" applyFill="1"/>
    <xf numFmtId="9" fontId="0" fillId="0" borderId="0" xfId="5" applyFont="1" applyFill="1"/>
    <xf numFmtId="43" fontId="24" fillId="0" borderId="0" xfId="6" applyFont="1" applyFill="1" applyAlignment="1">
      <alignment horizontal="center"/>
    </xf>
    <xf numFmtId="9" fontId="0" fillId="0" borderId="0" xfId="0" applyNumberFormat="1" applyFill="1"/>
    <xf numFmtId="0" fontId="27" fillId="0" borderId="0" xfId="0" applyFont="1" applyFill="1" applyBorder="1" applyAlignment="1">
      <alignment horizontal="center" wrapText="1"/>
    </xf>
    <xf numFmtId="0" fontId="24" fillId="4" borderId="0" xfId="0" applyFont="1" applyFill="1" applyAlignment="1">
      <alignment horizontal="left"/>
    </xf>
    <xf numFmtId="164" fontId="25" fillId="4" borderId="22" xfId="0" applyNumberFormat="1" applyFont="1" applyFill="1" applyBorder="1" applyAlignment="1">
      <alignment horizontal="center" wrapText="1"/>
    </xf>
    <xf numFmtId="164" fontId="25" fillId="0" borderId="0" xfId="0" applyNumberFormat="1" applyFont="1" applyFill="1" applyAlignment="1">
      <alignment horizontal="center"/>
    </xf>
    <xf numFmtId="0" fontId="24" fillId="0" borderId="0" xfId="0" applyFont="1" applyFill="1" applyBorder="1" applyAlignment="1">
      <alignment horizontal="center" wrapText="1"/>
    </xf>
    <xf numFmtId="9" fontId="24" fillId="5" borderId="0" xfId="5" applyFont="1" applyFill="1" applyAlignment="1">
      <alignment horizontal="center"/>
    </xf>
    <xf numFmtId="1" fontId="24" fillId="0" borderId="0" xfId="0" applyNumberFormat="1" applyFont="1" applyFill="1" applyBorder="1" applyAlignment="1">
      <alignment horizontal="center" wrapText="1"/>
    </xf>
    <xf numFmtId="3" fontId="0" fillId="0" borderId="0" xfId="0" applyNumberFormat="1" applyFill="1"/>
    <xf numFmtId="164" fontId="0" fillId="0" borderId="0" xfId="0" applyNumberFormat="1" applyFill="1"/>
    <xf numFmtId="164" fontId="4" fillId="0" borderId="0" xfId="0" applyNumberFormat="1" applyFont="1"/>
    <xf numFmtId="17" fontId="0" fillId="0" borderId="0" xfId="0" applyNumberFormat="1"/>
    <xf numFmtId="0" fontId="28" fillId="0" borderId="0" xfId="0" applyFont="1"/>
    <xf numFmtId="0" fontId="0" fillId="0" borderId="1" xfId="0" applyBorder="1" applyAlignment="1">
      <alignment wrapText="1"/>
    </xf>
    <xf numFmtId="0" fontId="0" fillId="0" borderId="0" xfId="0" applyBorder="1" applyAlignment="1">
      <alignment wrapText="1"/>
    </xf>
    <xf numFmtId="0" fontId="0" fillId="0" borderId="2" xfId="0" applyFill="1" applyBorder="1" applyAlignment="1">
      <alignment wrapText="1"/>
    </xf>
    <xf numFmtId="0" fontId="0" fillId="0" borderId="4" xfId="0" applyBorder="1"/>
    <xf numFmtId="166" fontId="24" fillId="0" borderId="1" xfId="5" applyNumberFormat="1" applyFont="1" applyBorder="1"/>
    <xf numFmtId="9" fontId="24" fillId="0" borderId="1" xfId="0" applyNumberFormat="1" applyFont="1" applyBorder="1"/>
    <xf numFmtId="166" fontId="24" fillId="0" borderId="0" xfId="0" applyNumberFormat="1" applyFont="1" applyBorder="1"/>
    <xf numFmtId="165" fontId="4" fillId="0" borderId="0" xfId="6" applyNumberFormat="1" applyFont="1"/>
    <xf numFmtId="0" fontId="0" fillId="0" borderId="5" xfId="0" applyBorder="1"/>
    <xf numFmtId="166" fontId="28" fillId="0" borderId="1" xfId="5" applyNumberFormat="1" applyFont="1" applyBorder="1"/>
    <xf numFmtId="9" fontId="28" fillId="0" borderId="1" xfId="0" applyNumberFormat="1" applyFont="1" applyBorder="1"/>
    <xf numFmtId="166" fontId="0" fillId="0" borderId="1" xfId="5" applyNumberFormat="1" applyFont="1" applyBorder="1"/>
    <xf numFmtId="10" fontId="24" fillId="0" borderId="0" xfId="0" applyNumberFormat="1" applyFont="1" applyBorder="1"/>
    <xf numFmtId="9" fontId="8" fillId="0" borderId="1" xfId="5" applyFont="1" applyBorder="1"/>
    <xf numFmtId="166" fontId="8" fillId="0" borderId="1" xfId="5" applyNumberFormat="1" applyFont="1" applyBorder="1"/>
    <xf numFmtId="9" fontId="28" fillId="0" borderId="1" xfId="5" applyFont="1" applyBorder="1"/>
    <xf numFmtId="166" fontId="8" fillId="0" borderId="0" xfId="5" applyNumberFormat="1" applyFont="1" applyBorder="1"/>
    <xf numFmtId="9" fontId="28" fillId="0" borderId="0" xfId="5" applyFont="1" applyBorder="1"/>
    <xf numFmtId="10" fontId="29" fillId="0" borderId="0" xfId="5" applyNumberFormat="1" applyFont="1" applyBorder="1"/>
    <xf numFmtId="10" fontId="24" fillId="0" borderId="0" xfId="0" applyNumberFormat="1" applyFont="1" applyFill="1" applyBorder="1"/>
    <xf numFmtId="43" fontId="0" fillId="0" borderId="0" xfId="6" applyFont="1"/>
    <xf numFmtId="167" fontId="0" fillId="0" borderId="0" xfId="6" applyNumberFormat="1" applyFont="1" applyBorder="1"/>
    <xf numFmtId="165" fontId="0" fillId="0" borderId="0" xfId="6" applyNumberFormat="1" applyFont="1" applyBorder="1"/>
    <xf numFmtId="0" fontId="4" fillId="0" borderId="0" xfId="0" applyFont="1" applyFill="1" applyBorder="1"/>
    <xf numFmtId="1" fontId="24" fillId="0" borderId="0" xfId="0" applyNumberFormat="1" applyFont="1" applyFill="1" applyBorder="1"/>
    <xf numFmtId="165" fontId="4" fillId="0" borderId="0" xfId="6" applyNumberFormat="1" applyFont="1" applyBorder="1"/>
    <xf numFmtId="0" fontId="24" fillId="0" borderId="0" xfId="0" applyFont="1" applyFill="1" applyAlignment="1">
      <alignment horizontal="center"/>
    </xf>
    <xf numFmtId="0" fontId="24" fillId="0" borderId="0" xfId="0" applyFont="1" applyFill="1" applyBorder="1" applyAlignment="1">
      <alignment horizontal="left" wrapText="1"/>
    </xf>
    <xf numFmtId="0" fontId="25" fillId="4" borderId="0" xfId="0" applyFont="1" applyFill="1" applyBorder="1" applyAlignment="1">
      <alignment horizontal="center" wrapText="1"/>
    </xf>
    <xf numFmtId="1" fontId="24" fillId="0" borderId="0" xfId="0" applyNumberFormat="1" applyFont="1" applyFill="1" applyAlignment="1">
      <alignment horizontal="center"/>
    </xf>
    <xf numFmtId="9" fontId="0" fillId="0" borderId="0" xfId="0" applyNumberFormat="1" applyAlignment="1">
      <alignment horizontal="right"/>
    </xf>
    <xf numFmtId="164" fontId="0" fillId="0" borderId="0" xfId="0" applyNumberFormat="1" applyFont="1"/>
    <xf numFmtId="167" fontId="0" fillId="0" borderId="0" xfId="6" applyNumberFormat="1" applyFont="1" applyFill="1" applyBorder="1"/>
    <xf numFmtId="0" fontId="25" fillId="4" borderId="0" xfId="0" applyFont="1" applyFill="1" applyBorder="1" applyAlignment="1">
      <alignment horizontal="left" wrapText="1"/>
    </xf>
    <xf numFmtId="2" fontId="0" fillId="0" borderId="0" xfId="0" applyNumberFormat="1" applyFill="1"/>
    <xf numFmtId="1" fontId="25" fillId="0" borderId="0" xfId="0" applyNumberFormat="1" applyFont="1" applyFill="1" applyAlignment="1">
      <alignment horizontal="center"/>
    </xf>
    <xf numFmtId="1" fontId="0" fillId="0" borderId="0" xfId="0" applyNumberFormat="1" applyFont="1" applyFill="1" applyBorder="1"/>
    <xf numFmtId="1" fontId="0" fillId="0" borderId="0" xfId="0" applyNumberFormat="1" applyBorder="1"/>
    <xf numFmtId="0" fontId="31" fillId="0" borderId="0" xfId="0" applyFont="1"/>
    <xf numFmtId="0" fontId="34" fillId="3" borderId="0" xfId="0" applyFont="1" applyFill="1" applyAlignment="1">
      <alignment horizontal="left"/>
    </xf>
    <xf numFmtId="0" fontId="3" fillId="3" borderId="0" xfId="0" applyFont="1" applyFill="1"/>
    <xf numFmtId="0" fontId="35" fillId="3" borderId="0" xfId="0" applyFont="1" applyFill="1" applyAlignment="1">
      <alignment horizontal="left"/>
    </xf>
    <xf numFmtId="171" fontId="3" fillId="3" borderId="0" xfId="0" applyNumberFormat="1" applyFont="1" applyFill="1" applyAlignment="1">
      <alignment horizontal="left"/>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applyBorder="1" applyAlignment="1">
      <alignment vertical="center" wrapText="1"/>
    </xf>
    <xf numFmtId="0" fontId="3" fillId="0" borderId="0" xfId="0" applyFont="1" applyBorder="1" applyAlignment="1">
      <alignment wrapText="1"/>
    </xf>
    <xf numFmtId="0" fontId="0" fillId="3" borderId="0" xfId="0" applyFont="1" applyFill="1" applyBorder="1"/>
    <xf numFmtId="0" fontId="0" fillId="3" borderId="1" xfId="0" applyFont="1" applyFill="1" applyBorder="1" applyAlignment="1">
      <alignment horizontal="left" vertical="center" wrapText="1"/>
    </xf>
    <xf numFmtId="9" fontId="0" fillId="3" borderId="1" xfId="0" applyNumberFormat="1" applyFont="1" applyFill="1" applyBorder="1" applyAlignment="1">
      <alignment horizontal="left" wrapText="1"/>
    </xf>
    <xf numFmtId="0" fontId="0" fillId="3" borderId="1" xfId="0"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Border="1" applyAlignment="1">
      <alignment horizontal="left" wrapText="1"/>
    </xf>
    <xf numFmtId="0" fontId="17" fillId="0" borderId="0" xfId="0" applyFont="1" applyFill="1" applyBorder="1" applyAlignment="1">
      <alignment horizontal="left"/>
    </xf>
    <xf numFmtId="0" fontId="7" fillId="7" borderId="10" xfId="0" applyFont="1" applyFill="1" applyBorder="1"/>
    <xf numFmtId="0" fontId="7" fillId="7" borderId="21" xfId="0" applyFont="1" applyFill="1" applyBorder="1"/>
    <xf numFmtId="0" fontId="7" fillId="7" borderId="21" xfId="0" applyFont="1" applyFill="1" applyBorder="1" applyAlignment="1">
      <alignment horizontal="center"/>
    </xf>
    <xf numFmtId="0" fontId="7" fillId="7" borderId="11" xfId="0" applyFont="1" applyFill="1" applyBorder="1"/>
    <xf numFmtId="167" fontId="7" fillId="0" borderId="12" xfId="6" applyNumberFormat="1" applyFont="1" applyFill="1" applyBorder="1"/>
    <xf numFmtId="167" fontId="7" fillId="0" borderId="13" xfId="6" applyNumberFormat="1" applyFont="1" applyFill="1" applyBorder="1"/>
    <xf numFmtId="167" fontId="0" fillId="0" borderId="16" xfId="6" applyNumberFormat="1" applyFont="1" applyFill="1" applyBorder="1"/>
    <xf numFmtId="0" fontId="0" fillId="0" borderId="15" xfId="0" applyFill="1" applyBorder="1"/>
    <xf numFmtId="167" fontId="0" fillId="0" borderId="15" xfId="6" applyNumberFormat="1" applyFont="1" applyFill="1" applyBorder="1"/>
    <xf numFmtId="167" fontId="0" fillId="0" borderId="0" xfId="6" applyNumberFormat="1" applyFont="1" applyFill="1" applyBorder="1" applyAlignment="1">
      <alignment horizontal="center"/>
    </xf>
    <xf numFmtId="167" fontId="7" fillId="0" borderId="15" xfId="6" applyNumberFormat="1" applyFont="1" applyFill="1" applyBorder="1"/>
    <xf numFmtId="167" fontId="7" fillId="0" borderId="0" xfId="6" applyNumberFormat="1" applyFont="1" applyFill="1" applyBorder="1"/>
    <xf numFmtId="167" fontId="7" fillId="0" borderId="0" xfId="6" applyNumberFormat="1" applyFont="1" applyFill="1" applyBorder="1" applyAlignment="1">
      <alignment horizontal="center"/>
    </xf>
    <xf numFmtId="0" fontId="0" fillId="0" borderId="17" xfId="0" applyFill="1" applyBorder="1"/>
    <xf numFmtId="0" fontId="0" fillId="0" borderId="18" xfId="0" applyFill="1" applyBorder="1"/>
    <xf numFmtId="167" fontId="0" fillId="0" borderId="18" xfId="6" applyNumberFormat="1" applyFont="1" applyFill="1" applyBorder="1" applyAlignment="1">
      <alignment horizontal="center"/>
    </xf>
    <xf numFmtId="167" fontId="0" fillId="0" borderId="18" xfId="6" applyNumberFormat="1" applyFont="1" applyFill="1" applyBorder="1"/>
    <xf numFmtId="167" fontId="0" fillId="0" borderId="19" xfId="6" applyNumberFormat="1" applyFont="1" applyFill="1" applyBorder="1"/>
    <xf numFmtId="167" fontId="7" fillId="8" borderId="10" xfId="6" applyNumberFormat="1" applyFont="1" applyFill="1" applyBorder="1"/>
    <xf numFmtId="167" fontId="7" fillId="8" borderId="13" xfId="6" applyNumberFormat="1" applyFont="1" applyFill="1" applyBorder="1"/>
    <xf numFmtId="167" fontId="7" fillId="8" borderId="13" xfId="6" applyNumberFormat="1" applyFont="1" applyFill="1" applyBorder="1" applyAlignment="1">
      <alignment horizontal="center"/>
    </xf>
    <xf numFmtId="0" fontId="7" fillId="8" borderId="13" xfId="6" applyNumberFormat="1" applyFont="1" applyFill="1" applyBorder="1"/>
    <xf numFmtId="0" fontId="7" fillId="8" borderId="14" xfId="6" applyNumberFormat="1" applyFont="1" applyFill="1" applyBorder="1"/>
    <xf numFmtId="0" fontId="7" fillId="0" borderId="12" xfId="0" applyFont="1" applyFill="1" applyBorder="1"/>
    <xf numFmtId="0" fontId="7" fillId="0" borderId="13" xfId="0" applyFont="1" applyFill="1" applyBorder="1"/>
    <xf numFmtId="0" fontId="0" fillId="0" borderId="0" xfId="0" applyFill="1" applyBorder="1" applyAlignment="1">
      <alignment horizontal="center"/>
    </xf>
    <xf numFmtId="0" fontId="7" fillId="0" borderId="15" xfId="0" applyFont="1" applyFill="1" applyBorder="1"/>
    <xf numFmtId="0" fontId="7" fillId="0" borderId="0" xfId="0" applyFont="1" applyFill="1" applyBorder="1" applyAlignment="1">
      <alignment horizontal="center"/>
    </xf>
    <xf numFmtId="0" fontId="0" fillId="0" borderId="18" xfId="0" applyFill="1" applyBorder="1" applyAlignment="1">
      <alignment horizontal="center"/>
    </xf>
    <xf numFmtId="167" fontId="7" fillId="9" borderId="10" xfId="6" applyNumberFormat="1" applyFont="1" applyFill="1" applyBorder="1"/>
    <xf numFmtId="167" fontId="7" fillId="9" borderId="13" xfId="6" applyNumberFormat="1" applyFont="1" applyFill="1" applyBorder="1"/>
    <xf numFmtId="167" fontId="7" fillId="9" borderId="13" xfId="6" applyNumberFormat="1" applyFont="1" applyFill="1" applyBorder="1" applyAlignment="1">
      <alignment horizontal="center"/>
    </xf>
    <xf numFmtId="0" fontId="7" fillId="9" borderId="13" xfId="6" applyNumberFormat="1" applyFont="1" applyFill="1" applyBorder="1"/>
    <xf numFmtId="0" fontId="7" fillId="9" borderId="14" xfId="6" applyNumberFormat="1" applyFont="1" applyFill="1" applyBorder="1"/>
    <xf numFmtId="0" fontId="15" fillId="0" borderId="0" xfId="0" applyFont="1" applyBorder="1"/>
    <xf numFmtId="0" fontId="2" fillId="3" borderId="0" xfId="0" applyFont="1" applyFill="1"/>
    <xf numFmtId="0" fontId="2" fillId="0" borderId="1" xfId="0" applyFont="1" applyBorder="1" applyAlignment="1">
      <alignment vertical="center" wrapText="1"/>
    </xf>
    <xf numFmtId="0" fontId="0" fillId="3" borderId="0" xfId="0" applyFont="1" applyFill="1" applyBorder="1" applyAlignment="1"/>
    <xf numFmtId="164" fontId="0" fillId="0" borderId="0" xfId="0" applyNumberFormat="1" applyBorder="1"/>
    <xf numFmtId="1" fontId="4" fillId="0" borderId="0" xfId="0" applyNumberFormat="1" applyFont="1" applyBorder="1"/>
    <xf numFmtId="0" fontId="4" fillId="0" borderId="0" xfId="0" applyFont="1" applyBorder="1" applyAlignment="1">
      <alignment horizontal="left"/>
    </xf>
    <xf numFmtId="0" fontId="0" fillId="0" borderId="0" xfId="0" applyFont="1" applyBorder="1" applyAlignment="1">
      <alignment horizontal="left"/>
    </xf>
    <xf numFmtId="0" fontId="7" fillId="4" borderId="0" xfId="0" applyFont="1" applyFill="1" applyBorder="1" applyAlignment="1">
      <alignment horizontal="left"/>
    </xf>
    <xf numFmtId="0" fontId="0" fillId="0" borderId="0" xfId="0" applyBorder="1" applyAlignment="1">
      <alignment horizontal="left"/>
    </xf>
    <xf numFmtId="165" fontId="0" fillId="0" borderId="0" xfId="0" applyNumberFormat="1" applyFont="1" applyFill="1" applyBorder="1" applyAlignment="1">
      <alignment horizontal="left"/>
    </xf>
    <xf numFmtId="0" fontId="0" fillId="0" borderId="0" xfId="0" applyFill="1" applyBorder="1" applyAlignment="1">
      <alignment horizontal="left"/>
    </xf>
    <xf numFmtId="0" fontId="0" fillId="0" borderId="0" xfId="0" applyFont="1" applyFill="1" applyBorder="1" applyAlignment="1">
      <alignment horizontal="left"/>
    </xf>
    <xf numFmtId="0" fontId="7" fillId="2" borderId="0" xfId="0" applyFont="1" applyFill="1" applyBorder="1" applyAlignment="1">
      <alignment horizontal="left"/>
    </xf>
    <xf numFmtId="0" fontId="7" fillId="0" borderId="13" xfId="0" applyFont="1" applyBorder="1"/>
    <xf numFmtId="0" fontId="7" fillId="0" borderId="13" xfId="0" applyFont="1" applyBorder="1" applyAlignment="1">
      <alignment horizontal="left"/>
    </xf>
    <xf numFmtId="0" fontId="7" fillId="0" borderId="14" xfId="0" applyFont="1" applyFill="1" applyBorder="1"/>
    <xf numFmtId="1" fontId="24" fillId="0" borderId="16" xfId="0" applyNumberFormat="1" applyFont="1" applyFill="1" applyBorder="1"/>
    <xf numFmtId="1" fontId="0" fillId="0" borderId="16" xfId="0" applyNumberFormat="1" applyBorder="1"/>
    <xf numFmtId="167" fontId="0" fillId="0" borderId="16" xfId="6" applyNumberFormat="1" applyFont="1" applyBorder="1"/>
    <xf numFmtId="165" fontId="4" fillId="0" borderId="16" xfId="6" applyNumberFormat="1" applyFont="1" applyBorder="1"/>
    <xf numFmtId="164" fontId="24" fillId="0" borderId="16" xfId="0" applyNumberFormat="1" applyFont="1" applyFill="1" applyBorder="1"/>
    <xf numFmtId="0" fontId="4" fillId="0" borderId="18" xfId="0" applyFont="1" applyFill="1" applyBorder="1"/>
    <xf numFmtId="0" fontId="4" fillId="0" borderId="18" xfId="0" applyFont="1" applyBorder="1" applyAlignment="1">
      <alignment horizontal="left"/>
    </xf>
    <xf numFmtId="1" fontId="0" fillId="0" borderId="16" xfId="0" applyNumberFormat="1" applyFont="1" applyFill="1" applyBorder="1"/>
    <xf numFmtId="164" fontId="0" fillId="0" borderId="16" xfId="0" applyNumberFormat="1" applyBorder="1"/>
    <xf numFmtId="165" fontId="0" fillId="0" borderId="16" xfId="6" applyNumberFormat="1" applyFont="1" applyBorder="1"/>
    <xf numFmtId="1" fontId="0" fillId="0" borderId="16" xfId="0" applyNumberFormat="1" applyFill="1" applyBorder="1"/>
    <xf numFmtId="167" fontId="0" fillId="0" borderId="16" xfId="0" applyNumberFormat="1" applyBorder="1"/>
    <xf numFmtId="0" fontId="0" fillId="0" borderId="25" xfId="0" applyBorder="1"/>
    <xf numFmtId="0" fontId="0" fillId="0" borderId="25" xfId="0" applyFill="1" applyBorder="1" applyAlignment="1">
      <alignment horizontal="left"/>
    </xf>
    <xf numFmtId="165" fontId="0" fillId="0" borderId="25" xfId="6" applyNumberFormat="1" applyFont="1" applyBorder="1"/>
    <xf numFmtId="165" fontId="0" fillId="0" borderId="26" xfId="6" applyNumberFormat="1" applyFont="1" applyBorder="1"/>
    <xf numFmtId="164" fontId="4" fillId="0" borderId="0" xfId="6" applyNumberFormat="1" applyFont="1" applyBorder="1"/>
    <xf numFmtId="0" fontId="0" fillId="0" borderId="0" xfId="0"/>
    <xf numFmtId="0" fontId="4" fillId="0" borderId="0" xfId="0" applyFont="1"/>
    <xf numFmtId="0" fontId="0" fillId="0" borderId="0" xfId="0" applyBorder="1"/>
    <xf numFmtId="0" fontId="9" fillId="0" borderId="0" xfId="0" applyFont="1"/>
    <xf numFmtId="0" fontId="0" fillId="0" borderId="0" xfId="0" applyFont="1" applyFill="1" applyBorder="1" applyAlignment="1">
      <alignment horizontal="left"/>
    </xf>
    <xf numFmtId="0" fontId="7" fillId="4" borderId="0" xfId="0" applyFont="1" applyFill="1" applyBorder="1"/>
    <xf numFmtId="0" fontId="7" fillId="2" borderId="0" xfId="0" applyFont="1" applyFill="1" applyBorder="1"/>
    <xf numFmtId="0" fontId="4" fillId="0" borderId="0" xfId="0" applyFont="1" applyBorder="1"/>
    <xf numFmtId="0" fontId="0" fillId="0" borderId="15" xfId="0" applyBorder="1"/>
    <xf numFmtId="0" fontId="9" fillId="0" borderId="0" xfId="0" applyFont="1" applyBorder="1"/>
    <xf numFmtId="0" fontId="7" fillId="2" borderId="15" xfId="0" applyFont="1" applyFill="1" applyBorder="1"/>
    <xf numFmtId="0" fontId="0" fillId="0" borderId="17" xfId="0" applyBorder="1"/>
    <xf numFmtId="0" fontId="7" fillId="4" borderId="15" xfId="0" applyFont="1" applyFill="1" applyBorder="1"/>
    <xf numFmtId="0" fontId="0" fillId="0" borderId="15" xfId="0" applyFont="1" applyBorder="1"/>
    <xf numFmtId="0" fontId="11" fillId="0" borderId="12" xfId="0" applyFont="1" applyBorder="1"/>
    <xf numFmtId="0" fontId="0" fillId="0" borderId="0" xfId="0" applyFont="1" applyBorder="1" applyAlignment="1">
      <alignment horizontal="left"/>
    </xf>
    <xf numFmtId="0" fontId="23" fillId="0" borderId="0" xfId="7"/>
    <xf numFmtId="0" fontId="0" fillId="0" borderId="6" xfId="0" applyBorder="1"/>
    <xf numFmtId="0" fontId="0" fillId="0" borderId="7" xfId="0" applyBorder="1"/>
    <xf numFmtId="0" fontId="0" fillId="0" borderId="0" xfId="0" applyFill="1" applyBorder="1"/>
    <xf numFmtId="165" fontId="0" fillId="0" borderId="0" xfId="6" applyNumberFormat="1" applyFont="1"/>
    <xf numFmtId="167" fontId="0" fillId="0" borderId="0" xfId="6" applyNumberFormat="1" applyFont="1" applyBorder="1"/>
    <xf numFmtId="165" fontId="0" fillId="0" borderId="0" xfId="6" applyNumberFormat="1" applyFont="1" applyBorder="1"/>
    <xf numFmtId="0" fontId="4" fillId="0" borderId="0" xfId="0" applyFont="1" applyFill="1" applyBorder="1"/>
    <xf numFmtId="1" fontId="24" fillId="0" borderId="0" xfId="0" applyNumberFormat="1" applyFont="1" applyFill="1" applyBorder="1"/>
    <xf numFmtId="165" fontId="4" fillId="0" borderId="0" xfId="6" applyNumberFormat="1" applyFont="1" applyBorder="1"/>
    <xf numFmtId="164" fontId="24" fillId="0" borderId="0" xfId="0" applyNumberFormat="1" applyFont="1" applyFill="1" applyBorder="1"/>
    <xf numFmtId="167" fontId="0" fillId="0" borderId="0" xfId="6" applyNumberFormat="1" applyFont="1" applyFill="1" applyBorder="1"/>
    <xf numFmtId="1" fontId="0" fillId="0" borderId="0" xfId="0" applyNumberFormat="1" applyFont="1" applyFill="1" applyBorder="1"/>
    <xf numFmtId="1" fontId="0" fillId="0" borderId="0" xfId="0" applyNumberFormat="1" applyFill="1" applyBorder="1"/>
    <xf numFmtId="1" fontId="0" fillId="0" borderId="0" xfId="0" applyNumberFormat="1" applyBorder="1"/>
    <xf numFmtId="167" fontId="0" fillId="0" borderId="0" xfId="0" applyNumberFormat="1" applyBorder="1"/>
    <xf numFmtId="164" fontId="4" fillId="0" borderId="16" xfId="6" applyNumberFormat="1" applyFont="1" applyBorder="1"/>
    <xf numFmtId="164" fontId="0" fillId="0" borderId="25" xfId="6" applyNumberFormat="1" applyFont="1" applyBorder="1"/>
    <xf numFmtId="164" fontId="0" fillId="0" borderId="26" xfId="6" applyNumberFormat="1" applyFont="1" applyBorder="1"/>
    <xf numFmtId="164" fontId="4" fillId="0" borderId="18" xfId="6" applyNumberFormat="1" applyFont="1" applyBorder="1"/>
    <xf numFmtId="164" fontId="4" fillId="0" borderId="19" xfId="6" applyNumberFormat="1" applyFont="1" applyBorder="1"/>
    <xf numFmtId="164" fontId="0" fillId="0" borderId="0" xfId="6" applyNumberFormat="1" applyFont="1" applyFill="1" applyBorder="1"/>
    <xf numFmtId="164" fontId="0" fillId="0" borderId="16" xfId="6" applyNumberFormat="1" applyFont="1" applyFill="1" applyBorder="1"/>
    <xf numFmtId="0" fontId="0" fillId="0" borderId="15" xfId="0" applyFont="1" applyBorder="1" applyAlignment="1">
      <alignment horizontal="left"/>
    </xf>
    <xf numFmtId="0" fontId="0" fillId="0" borderId="17" xfId="0" applyFont="1" applyBorder="1" applyAlignment="1">
      <alignment horizontal="left"/>
    </xf>
    <xf numFmtId="0" fontId="0" fillId="0" borderId="18" xfId="0" applyFont="1" applyFill="1" applyBorder="1" applyAlignment="1">
      <alignment horizontal="left"/>
    </xf>
    <xf numFmtId="0" fontId="0" fillId="0" borderId="18" xfId="0" applyFont="1" applyBorder="1" applyAlignment="1">
      <alignment horizontal="left"/>
    </xf>
    <xf numFmtId="0" fontId="7" fillId="0" borderId="12" xfId="0" applyFont="1" applyBorder="1"/>
    <xf numFmtId="0" fontId="4" fillId="0" borderId="6" xfId="0" applyFont="1" applyBorder="1"/>
    <xf numFmtId="0" fontId="4" fillId="0" borderId="2" xfId="0" applyFont="1" applyBorder="1" applyAlignment="1">
      <alignment horizontal="left"/>
    </xf>
    <xf numFmtId="0" fontId="0" fillId="0" borderId="28" xfId="0" applyBorder="1"/>
    <xf numFmtId="1" fontId="4" fillId="0" borderId="28" xfId="0" applyNumberFormat="1" applyFont="1" applyBorder="1"/>
    <xf numFmtId="0" fontId="4" fillId="0" borderId="3" xfId="0" applyFont="1" applyBorder="1" applyAlignment="1">
      <alignment horizontal="left"/>
    </xf>
    <xf numFmtId="0" fontId="0" fillId="0" borderId="27" xfId="0" applyBorder="1"/>
    <xf numFmtId="164" fontId="0" fillId="0" borderId="27" xfId="0" applyNumberFormat="1" applyBorder="1"/>
    <xf numFmtId="1" fontId="4" fillId="0" borderId="27" xfId="0" applyNumberFormat="1" applyFont="1" applyBorder="1"/>
    <xf numFmtId="1" fontId="4" fillId="0" borderId="8" xfId="0" applyNumberFormat="1" applyFont="1" applyBorder="1"/>
    <xf numFmtId="0" fontId="4" fillId="0" borderId="6" xfId="0" applyFont="1" applyBorder="1" applyAlignment="1">
      <alignment horizontal="left"/>
    </xf>
    <xf numFmtId="0" fontId="0" fillId="0" borderId="2" xfId="0" applyBorder="1" applyAlignment="1">
      <alignment horizontal="left"/>
    </xf>
    <xf numFmtId="164" fontId="0" fillId="0" borderId="28" xfId="0" applyNumberFormat="1" applyBorder="1"/>
    <xf numFmtId="1" fontId="0" fillId="0" borderId="28" xfId="0" applyNumberFormat="1" applyBorder="1"/>
    <xf numFmtId="0" fontId="38" fillId="0" borderId="2" xfId="0" applyFont="1" applyBorder="1" applyAlignment="1">
      <alignment horizontal="left"/>
    </xf>
    <xf numFmtId="164" fontId="38" fillId="0" borderId="0" xfId="0" applyNumberFormat="1" applyFont="1" applyBorder="1"/>
    <xf numFmtId="164" fontId="38" fillId="0" borderId="28" xfId="0" applyNumberFormat="1" applyFont="1" applyBorder="1"/>
    <xf numFmtId="0" fontId="38" fillId="0" borderId="3" xfId="0" applyFont="1" applyBorder="1" applyAlignment="1">
      <alignment horizontal="left"/>
    </xf>
    <xf numFmtId="0" fontId="0" fillId="0" borderId="2" xfId="0" applyBorder="1"/>
    <xf numFmtId="0" fontId="30" fillId="0" borderId="2" xfId="0" applyFont="1" applyBorder="1" applyAlignment="1">
      <alignment horizontal="left"/>
    </xf>
    <xf numFmtId="164" fontId="30" fillId="0" borderId="0" xfId="0" applyNumberFormat="1" applyFont="1" applyBorder="1"/>
    <xf numFmtId="164" fontId="30" fillId="0" borderId="28" xfId="0" applyNumberFormat="1" applyFont="1" applyBorder="1"/>
    <xf numFmtId="0" fontId="23" fillId="0" borderId="0" xfId="7" applyBorder="1"/>
    <xf numFmtId="2" fontId="4" fillId="0" borderId="0" xfId="0" applyNumberFormat="1" applyFont="1" applyFill="1" applyBorder="1"/>
    <xf numFmtId="2" fontId="4" fillId="0" borderId="25" xfId="0" applyNumberFormat="1" applyFont="1" applyFill="1" applyBorder="1"/>
    <xf numFmtId="0" fontId="0" fillId="0" borderId="24" xfId="0" applyFont="1" applyBorder="1" applyAlignment="1">
      <alignment horizontal="left"/>
    </xf>
    <xf numFmtId="164" fontId="0" fillId="0" borderId="0" xfId="6" applyNumberFormat="1" applyFont="1" applyBorder="1"/>
    <xf numFmtId="43" fontId="0" fillId="0" borderId="0" xfId="6" applyNumberFormat="1" applyFont="1" applyBorder="1"/>
    <xf numFmtId="164" fontId="0" fillId="0" borderId="16" xfId="6" applyNumberFormat="1" applyFont="1" applyBorder="1"/>
    <xf numFmtId="0" fontId="7" fillId="0" borderId="13" xfId="0" applyFont="1" applyBorder="1" applyAlignment="1">
      <alignment horizontal="center"/>
    </xf>
    <xf numFmtId="164" fontId="6" fillId="0" borderId="18" xfId="6" applyNumberFormat="1" applyFont="1" applyBorder="1"/>
    <xf numFmtId="164" fontId="0" fillId="0" borderId="0" xfId="0" applyNumberFormat="1" applyFont="1" applyBorder="1"/>
    <xf numFmtId="164" fontId="0" fillId="0" borderId="16" xfId="0" applyNumberFormat="1" applyFont="1" applyBorder="1"/>
    <xf numFmtId="164" fontId="6" fillId="0" borderId="19" xfId="6" applyNumberFormat="1" applyFont="1" applyBorder="1"/>
    <xf numFmtId="0" fontId="1" fillId="0" borderId="1" xfId="0" applyFont="1" applyBorder="1" applyAlignment="1">
      <alignment vertical="center" wrapText="1"/>
    </xf>
    <xf numFmtId="0" fontId="33" fillId="0" borderId="23" xfId="0" applyFont="1" applyBorder="1" applyAlignment="1">
      <alignment horizontal="center" vertical="center" wrapText="1"/>
    </xf>
    <xf numFmtId="0" fontId="33" fillId="0" borderId="20" xfId="0" applyFont="1" applyBorder="1" applyAlignment="1">
      <alignment horizontal="center" vertical="center" wrapText="1"/>
    </xf>
    <xf numFmtId="0" fontId="4" fillId="3" borderId="2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167" fontId="36" fillId="9" borderId="10" xfId="6" applyNumberFormat="1" applyFont="1" applyFill="1" applyBorder="1" applyAlignment="1">
      <alignment horizontal="center"/>
    </xf>
    <xf numFmtId="167" fontId="36" fillId="9" borderId="21" xfId="6" applyNumberFormat="1" applyFont="1" applyFill="1" applyBorder="1" applyAlignment="1">
      <alignment horizontal="center"/>
    </xf>
    <xf numFmtId="167" fontId="36" fillId="9" borderId="11" xfId="6" applyNumberFormat="1" applyFont="1" applyFill="1" applyBorder="1" applyAlignment="1">
      <alignment horizontal="center"/>
    </xf>
    <xf numFmtId="167" fontId="7" fillId="0" borderId="13" xfId="6" applyNumberFormat="1" applyFont="1" applyFill="1" applyBorder="1" applyAlignment="1">
      <alignment horizontal="center"/>
    </xf>
    <xf numFmtId="167" fontId="7" fillId="0" borderId="14" xfId="6" applyNumberFormat="1" applyFont="1" applyFill="1" applyBorder="1" applyAlignment="1">
      <alignment horizontal="center"/>
    </xf>
    <xf numFmtId="167" fontId="7" fillId="0" borderId="0" xfId="6" applyNumberFormat="1" applyFont="1" applyFill="1" applyBorder="1" applyAlignment="1">
      <alignment horizontal="center"/>
    </xf>
    <xf numFmtId="167" fontId="7" fillId="0" borderId="16" xfId="6" applyNumberFormat="1" applyFont="1" applyFill="1" applyBorder="1" applyAlignment="1">
      <alignment horizontal="center"/>
    </xf>
    <xf numFmtId="0" fontId="36" fillId="7" borderId="10" xfId="0" applyFont="1" applyFill="1" applyBorder="1" applyAlignment="1">
      <alignment horizontal="center"/>
    </xf>
    <xf numFmtId="0" fontId="36" fillId="7" borderId="21" xfId="0" applyFont="1" applyFill="1" applyBorder="1" applyAlignment="1">
      <alignment horizontal="center"/>
    </xf>
    <xf numFmtId="0" fontId="36" fillId="7" borderId="11" xfId="0" applyFont="1" applyFill="1" applyBorder="1" applyAlignment="1">
      <alignment horizontal="center"/>
    </xf>
    <xf numFmtId="167" fontId="36" fillId="8" borderId="10" xfId="6" applyNumberFormat="1" applyFont="1" applyFill="1" applyBorder="1" applyAlignment="1">
      <alignment horizontal="center"/>
    </xf>
    <xf numFmtId="167" fontId="36" fillId="8" borderId="21" xfId="6" applyNumberFormat="1" applyFont="1" applyFill="1" applyBorder="1" applyAlignment="1">
      <alignment horizontal="center"/>
    </xf>
    <xf numFmtId="167" fontId="36" fillId="8" borderId="11" xfId="6" applyNumberFormat="1" applyFont="1" applyFill="1" applyBorder="1" applyAlignment="1">
      <alignment horizontal="center"/>
    </xf>
    <xf numFmtId="0" fontId="7" fillId="2" borderId="0" xfId="0" applyFont="1" applyFill="1" applyBorder="1" applyAlignment="1">
      <alignment horizontal="left"/>
    </xf>
    <xf numFmtId="0" fontId="7" fillId="2" borderId="16" xfId="0" applyFont="1" applyFill="1" applyBorder="1" applyAlignment="1">
      <alignment horizontal="left"/>
    </xf>
    <xf numFmtId="0" fontId="39" fillId="10" borderId="18" xfId="0" applyFont="1" applyFill="1" applyBorder="1" applyAlignment="1">
      <alignment horizontal="left"/>
    </xf>
    <xf numFmtId="0" fontId="7" fillId="4" borderId="0" xfId="0" applyFont="1" applyFill="1" applyBorder="1" applyAlignment="1">
      <alignment horizontal="left"/>
    </xf>
    <xf numFmtId="0" fontId="7" fillId="4" borderId="16" xfId="0" applyFont="1" applyFill="1" applyBorder="1" applyAlignment="1">
      <alignment horizontal="left"/>
    </xf>
    <xf numFmtId="0" fontId="4" fillId="0" borderId="1" xfId="0" applyFont="1" applyBorder="1" applyAlignment="1">
      <alignment horizontal="center"/>
    </xf>
    <xf numFmtId="0" fontId="0" fillId="0" borderId="0" xfId="0" applyAlignment="1">
      <alignment horizontal="center"/>
    </xf>
  </cellXfs>
  <cellStyles count="18">
    <cellStyle name="Comma" xfId="6" builtinId="3"/>
    <cellStyle name="Comma 2" xfId="1"/>
    <cellStyle name="Comma 2 2" xfId="3"/>
    <cellStyle name="Currency 2" xfId="2"/>
    <cellStyle name="Currency 2 2" xfId="8"/>
    <cellStyle name="Currency 2 3" xfId="9"/>
    <cellStyle name="Hyperlink" xfId="7" builtinId="8"/>
    <cellStyle name="Hyperlink 2" xfId="10"/>
    <cellStyle name="Normal" xfId="0" builtinId="0"/>
    <cellStyle name="Normal 11" xfId="11"/>
    <cellStyle name="Normal 2" xfId="4"/>
    <cellStyle name="Normal 2 2" xfId="12"/>
    <cellStyle name="Normal 3" xfId="13"/>
    <cellStyle name="Normal 5 2 2 2" xfId="14"/>
    <cellStyle name="Normal 6" xfId="15"/>
    <cellStyle name="Percent" xfId="5" builtinId="5"/>
    <cellStyle name="Percent 2" xfId="16"/>
    <cellStyle name="Percent 2 2" xfId="17"/>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19.xml"/><Relationship Id="rId34" Type="http://schemas.openxmlformats.org/officeDocument/2006/relationships/customXml" Target="../customXml/item3.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externalLink" Target="externalLinks/externalLink4.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worksheet" Target="worksheets/sheet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externalLink" Target="externalLinks/externalLink3.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8.xml"/><Relationship Id="rId19" Type="http://schemas.openxmlformats.org/officeDocument/2006/relationships/worksheet" Target="worksheets/sheet17.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#,##0.0_);_(* \(#,##0.0\);_(* "-"??_);_(@_)</c:formatCode>
                <c:ptCount val="15"/>
                <c:pt idx="0">
                  <c:v>31.561300030884397</c:v>
                </c:pt>
                <c:pt idx="1">
                  <c:v>38.915342970678964</c:v>
                </c:pt>
                <c:pt idx="2">
                  <c:v>46.734015570756831</c:v>
                </c:pt>
                <c:pt idx="3">
                  <c:v>55.051404568991813</c:v>
                </c:pt>
                <c:pt idx="4">
                  <c:v>66.597740831779419</c:v>
                </c:pt>
                <c:pt idx="5">
                  <c:v>83.808013991879477</c:v>
                </c:pt>
                <c:pt idx="6">
                  <c:v>119.67161317832495</c:v>
                </c:pt>
                <c:pt idx="7">
                  <c:v>133.82857696527725</c:v>
                </c:pt>
                <c:pt idx="8">
                  <c:v>147.87041310102478</c:v>
                </c:pt>
                <c:pt idx="9">
                  <c:v>161.88890907000598</c:v>
                </c:pt>
                <c:pt idx="10">
                  <c:v>171.43550427391932</c:v>
                </c:pt>
                <c:pt idx="11">
                  <c:v>176.71033121777128</c:v>
                </c:pt>
                <c:pt idx="12">
                  <c:v>181.38089990467034</c:v>
                </c:pt>
                <c:pt idx="13">
                  <c:v>185.76700116679572</c:v>
                </c:pt>
                <c:pt idx="14">
                  <c:v>190.14228656466642</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#,##0.0_);_(* \(#,##0.0\);_(* "-"??_);_(@_)</c:formatCode>
                <c:ptCount val="15"/>
                <c:pt idx="0">
                  <c:v>31.561300030884397</c:v>
                </c:pt>
                <c:pt idx="1">
                  <c:v>38.915342970678964</c:v>
                </c:pt>
                <c:pt idx="2">
                  <c:v>46.734015570756831</c:v>
                </c:pt>
                <c:pt idx="3">
                  <c:v>55.051404568991813</c:v>
                </c:pt>
                <c:pt idx="4">
                  <c:v>66.597740831779419</c:v>
                </c:pt>
                <c:pt idx="5">
                  <c:v>83.808013991879477</c:v>
                </c:pt>
                <c:pt idx="6">
                  <c:v>128.80469683441905</c:v>
                </c:pt>
                <c:pt idx="7">
                  <c:v>152.49139112401053</c:v>
                </c:pt>
                <c:pt idx="8">
                  <c:v>177.65714915382287</c:v>
                </c:pt>
                <c:pt idx="9">
                  <c:v>205.31207279540689</c:v>
                </c:pt>
                <c:pt idx="10">
                  <c:v>234.00238734412915</c:v>
                </c:pt>
                <c:pt idx="11">
                  <c:v>257.58206664184354</c:v>
                </c:pt>
                <c:pt idx="12">
                  <c:v>282.18579379310302</c:v>
                </c:pt>
                <c:pt idx="13">
                  <c:v>307.97647981458965</c:v>
                </c:pt>
                <c:pt idx="14">
                  <c:v>335.71325347201844</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#,##0.0_);_(* \(#,##0.0\);_(* "-"??_);_(@_)</c:formatCode>
                <c:ptCount val="15"/>
                <c:pt idx="0">
                  <c:v>31.561300030884397</c:v>
                </c:pt>
                <c:pt idx="1">
                  <c:v>38.915342970678964</c:v>
                </c:pt>
                <c:pt idx="2">
                  <c:v>46.734015570756831</c:v>
                </c:pt>
                <c:pt idx="3">
                  <c:v>61.109192397433873</c:v>
                </c:pt>
                <c:pt idx="4">
                  <c:v>90.45958914810798</c:v>
                </c:pt>
                <c:pt idx="5">
                  <c:v>130.36343126445223</c:v>
                </c:pt>
                <c:pt idx="6">
                  <c:v>190.73273239462071</c:v>
                </c:pt>
                <c:pt idx="7">
                  <c:v>228.20797769916283</c:v>
                </c:pt>
                <c:pt idx="8">
                  <c:v>269.2958482071532</c:v>
                </c:pt>
                <c:pt idx="9">
                  <c:v>317.92269108633832</c:v>
                </c:pt>
                <c:pt idx="10">
                  <c:v>374.10927738680635</c:v>
                </c:pt>
                <c:pt idx="11">
                  <c:v>428.15588632347772</c:v>
                </c:pt>
                <c:pt idx="12">
                  <c:v>489.20265302359292</c:v>
                </c:pt>
                <c:pt idx="13">
                  <c:v>558.81117009029606</c:v>
                </c:pt>
                <c:pt idx="14">
                  <c:v>639.79782546537103</c:v>
                </c:pt>
              </c:numCache>
            </c:numRef>
          </c:val>
          <c:smooth val="0"/>
        </c:ser>
        <c:dLbls>
          <c:showLegendKey val="0"/>
          <c:showVal val="0"/>
          <c:showCatName val="0"/>
          <c:showSerName val="0"/>
          <c:showPercent val="0"/>
          <c:showBubbleSize val="0"/>
        </c:dLbls>
        <c:marker val="1"/>
        <c:smooth val="0"/>
        <c:axId val="186198656"/>
        <c:axId val="186212736"/>
      </c:lineChart>
      <c:catAx>
        <c:axId val="186198656"/>
        <c:scaling>
          <c:orientation val="minMax"/>
        </c:scaling>
        <c:delete val="0"/>
        <c:axPos val="b"/>
        <c:numFmt formatCode="General" sourceLinked="1"/>
        <c:majorTickMark val="none"/>
        <c:minorTickMark val="none"/>
        <c:tickLblPos val="nextTo"/>
        <c:crossAx val="186212736"/>
        <c:crosses val="autoZero"/>
        <c:auto val="1"/>
        <c:lblAlgn val="ctr"/>
        <c:lblOffset val="100"/>
        <c:noMultiLvlLbl val="0"/>
      </c:catAx>
      <c:valAx>
        <c:axId val="186212736"/>
        <c:scaling>
          <c:orientation val="minMax"/>
        </c:scaling>
        <c:delete val="0"/>
        <c:axPos val="l"/>
        <c:majorGridlines/>
        <c:title>
          <c:tx>
            <c:rich>
              <a:bodyPr rot="-5400000" vert="horz"/>
              <a:lstStyle/>
              <a:p>
                <a:pPr>
                  <a:defRPr sz="1200"/>
                </a:pPr>
                <a:r>
                  <a:rPr lang="en-US" sz="1200"/>
                  <a:t>Electricity Savings (GWh)</a:t>
                </a:r>
              </a:p>
            </c:rich>
          </c:tx>
          <c:overlay val="0"/>
        </c:title>
        <c:numFmt formatCode="_(* #,##0.0_);_(* \(#,##0.0\);_(* &quot;-&quot;??_);_(@_)" sourceLinked="1"/>
        <c:majorTickMark val="none"/>
        <c:minorTickMark val="none"/>
        <c:tickLblPos val="nextTo"/>
        <c:crossAx val="186198656"/>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0.32803900000000003</c:v>
                </c:pt>
                <c:pt idx="1">
                  <c:v>0.33087100000000003</c:v>
                </c:pt>
                <c:pt idx="2">
                  <c:v>0.33384459999999999</c:v>
                </c:pt>
                <c:pt idx="3">
                  <c:v>0.33696688000000002</c:v>
                </c:pt>
                <c:pt idx="4">
                  <c:v>6.8846274000000013E-2</c:v>
                </c:pt>
                <c:pt idx="5">
                  <c:v>7.2288587700000018E-2</c:v>
                </c:pt>
                <c:pt idx="6">
                  <c:v>7.0666895219612391E-2</c:v>
                </c:pt>
                <c:pt idx="7">
                  <c:v>6.9045202739224765E-2</c:v>
                </c:pt>
                <c:pt idx="8">
                  <c:v>6.7423510258837138E-2</c:v>
                </c:pt>
                <c:pt idx="9">
                  <c:v>6.5801817778449512E-2</c:v>
                </c:pt>
                <c:pt idx="10">
                  <c:v>6.4180125298061885E-2</c:v>
                </c:pt>
                <c:pt idx="11">
                  <c:v>6.2558432817674259E-2</c:v>
                </c:pt>
                <c:pt idx="12">
                  <c:v>6.0936740337286632E-2</c:v>
                </c:pt>
                <c:pt idx="13">
                  <c:v>5.9315047856899006E-2</c:v>
                </c:pt>
                <c:pt idx="14">
                  <c:v>5.6071662896123767E-2</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0.32803900000000003</c:v>
                </c:pt>
                <c:pt idx="1">
                  <c:v>0.33087100000000003</c:v>
                </c:pt>
                <c:pt idx="2">
                  <c:v>0.33384459999999999</c:v>
                </c:pt>
                <c:pt idx="3">
                  <c:v>0.33696688000000002</c:v>
                </c:pt>
                <c:pt idx="4">
                  <c:v>6.8846274000000013E-2</c:v>
                </c:pt>
                <c:pt idx="5">
                  <c:v>7.2288587700000018E-2</c:v>
                </c:pt>
                <c:pt idx="6">
                  <c:v>7.5903017085000024E-2</c:v>
                </c:pt>
                <c:pt idx="7">
                  <c:v>7.9698167939250025E-2</c:v>
                </c:pt>
                <c:pt idx="8">
                  <c:v>8.3683076336212525E-2</c:v>
                </c:pt>
                <c:pt idx="9">
                  <c:v>8.7867230153023154E-2</c:v>
                </c:pt>
                <c:pt idx="10">
                  <c:v>9.226059166067431E-2</c:v>
                </c:pt>
                <c:pt idx="11">
                  <c:v>9.6873621243708033E-2</c:v>
                </c:pt>
                <c:pt idx="12">
                  <c:v>0.10171730230589345</c:v>
                </c:pt>
                <c:pt idx="13">
                  <c:v>0.10680316742118812</c:v>
                </c:pt>
                <c:pt idx="14">
                  <c:v>0.11214332579224753</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0.32803900000000003</c:v>
                </c:pt>
                <c:pt idx="1">
                  <c:v>0.33087100000000003</c:v>
                </c:pt>
                <c:pt idx="2">
                  <c:v>0.33384459999999999</c:v>
                </c:pt>
                <c:pt idx="3">
                  <c:v>0.33696688000000002</c:v>
                </c:pt>
                <c:pt idx="4">
                  <c:v>1.1719825911760167</c:v>
                </c:pt>
                <c:pt idx="5">
                  <c:v>2.4213575064609376</c:v>
                </c:pt>
                <c:pt idx="6">
                  <c:v>2.4995029413225023</c:v>
                </c:pt>
                <c:pt idx="7">
                  <c:v>2.5602778272645992</c:v>
                </c:pt>
                <c:pt idx="8">
                  <c:v>2.6151579917897632</c:v>
                </c:pt>
                <c:pt idx="9">
                  <c:v>2.6706041646048027</c:v>
                </c:pt>
                <c:pt idx="10">
                  <c:v>2.7255877599442533</c:v>
                </c:pt>
                <c:pt idx="11">
                  <c:v>2.7840032183331349</c:v>
                </c:pt>
                <c:pt idx="12">
                  <c:v>2.8407827359257793</c:v>
                </c:pt>
                <c:pt idx="13">
                  <c:v>2.8996410132708683</c:v>
                </c:pt>
                <c:pt idx="14">
                  <c:v>2.9595776267141289</c:v>
                </c:pt>
              </c:numCache>
            </c:numRef>
          </c:val>
          <c:smooth val="0"/>
        </c:ser>
        <c:dLbls>
          <c:showLegendKey val="0"/>
          <c:showVal val="0"/>
          <c:showCatName val="0"/>
          <c:showSerName val="0"/>
          <c:showPercent val="0"/>
          <c:showBubbleSize val="0"/>
        </c:dLbls>
        <c:marker val="1"/>
        <c:smooth val="0"/>
        <c:axId val="191062400"/>
        <c:axId val="191063936"/>
      </c:lineChart>
      <c:catAx>
        <c:axId val="191062400"/>
        <c:scaling>
          <c:orientation val="minMax"/>
        </c:scaling>
        <c:delete val="0"/>
        <c:axPos val="b"/>
        <c:numFmt formatCode="General" sourceLinked="1"/>
        <c:majorTickMark val="none"/>
        <c:minorTickMark val="none"/>
        <c:tickLblPos val="nextTo"/>
        <c:crossAx val="191063936"/>
        <c:crosses val="autoZero"/>
        <c:auto val="1"/>
        <c:lblAlgn val="ctr"/>
        <c:lblOffset val="100"/>
        <c:noMultiLvlLbl val="0"/>
      </c:catAx>
      <c:valAx>
        <c:axId val="191063936"/>
        <c:scaling>
          <c:orientation val="minMax"/>
        </c:scaling>
        <c:delete val="0"/>
        <c:axPos val="l"/>
        <c:majorGridlines/>
        <c:title>
          <c:tx>
            <c:rich>
              <a:bodyPr rot="-5400000" vert="horz"/>
              <a:lstStyle/>
              <a:p>
                <a:pPr>
                  <a:defRPr sz="1200"/>
                </a:pPr>
                <a:r>
                  <a:rPr lang="en-US" sz="1200"/>
                  <a:t>Gas Savings (MM Therms)</a:t>
                </a:r>
              </a:p>
            </c:rich>
          </c:tx>
          <c:overlay val="0"/>
        </c:title>
        <c:numFmt formatCode="_(* #,##0.0_);_(* \(#,##0.0\);_(* &quot;-&quot;??_);_(@_)" sourceLinked="1"/>
        <c:majorTickMark val="none"/>
        <c:minorTickMark val="none"/>
        <c:tickLblPos val="nextTo"/>
        <c:crossAx val="191062400"/>
        <c:crosses val="autoZero"/>
        <c:crossBetween val="between"/>
      </c:valAx>
      <c:dTable>
        <c:showHorzBorder val="1"/>
        <c:showVertBorder val="1"/>
        <c:showOutline val="1"/>
        <c:showKeys val="1"/>
      </c:dTable>
    </c:plotArea>
    <c:legend>
      <c:legendPos val="r"/>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712235" cy="1183278"/>
        </a:xfrm>
        <a:prstGeom prst="rect">
          <a:avLst/>
        </a:prstGeom>
        <a:noFill/>
        <a:ln w="3175">
          <a:solidFill>
            <a:schemeClr val="tx1"/>
          </a:solidFill>
        </a:ln>
        <a:effectLst/>
        <a:extLst>
          <a:ext uri="{C572A759-6A51-4108-AA02-DFA0A04FC94B}">
            <ma14:wrappingTextBoxFlag xmlns:lc="http://schemas.openxmlformats.org/drawingml/2006/lockedCanvas" xmlns:w15="http://schemas.microsoft.com/office/word/2012/wordml"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32</xdr:row>
      <xdr:rowOff>134472</xdr:rowOff>
    </xdr:from>
    <xdr:to>
      <xdr:col>21</xdr:col>
      <xdr:colOff>653602</xdr:colOff>
      <xdr:row>68</xdr:row>
      <xdr:rowOff>109978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871884"/>
          <a:ext cx="14620614" cy="6430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Workbook%20A13_Benchmarking_201708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CEC Worksheet"/>
      <sheetName val="Benchmarking"/>
      <sheetName val="Look-up"/>
      <sheetName val="FS Stick Mid PA"/>
      <sheetName val="FS ADD Mid PA"/>
      <sheetName val="Summary"/>
      <sheetName val="Building Stock Data"/>
    </sheetNames>
    <sheetDataSet>
      <sheetData sheetId="0"/>
      <sheetData sheetId="1"/>
      <sheetData sheetId="2">
        <row r="35">
          <cell r="G35">
            <v>2015</v>
          </cell>
        </row>
      </sheetData>
      <sheetData sheetId="3"/>
      <sheetData sheetId="4"/>
      <sheetData sheetId="5"/>
      <sheetData sheetId="6" refreshError="1"/>
      <sheetData sheetId="7" refreshError="1"/>
      <sheetData sheetId="8">
        <row r="86">
          <cell r="B86">
            <v>64670881.563537017</v>
          </cell>
        </row>
      </sheetData>
      <sheetData sheetId="9"/>
      <sheetData sheetId="10">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Benchmarking and Public Disclosure</v>
          </cell>
        </row>
        <row r="17">
          <cell r="A17" t="str">
            <v>Behavorial, Retrocommissioning, Operational Savings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pge.com/tariffs/tm2/pdf/GAS_3698-G.pdf" TargetMode="External"/><Relationship Id="rId1" Type="http://schemas.openxmlformats.org/officeDocument/2006/relationships/hyperlink" Target="https://www.pge.com/tariffs/tm2/pdf/GAS_3698-G.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calmac.org/publications/DNVGL_SDGE_HERs_2015_final_to_calmac.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aceee.org/files/proceedings/2016/data/papers/2_420.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energycollection.us/Energy-Metering/Advanced-Metering-Initiatives.pdf&#160;"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calmac.org/publications/DNVGL_PGE_HERs_2014_FINAL_to_Calma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energy.nv.gov/uploadedFiles/energynvgov/content/Programs/TaskForces/2017/Agenda%20item%204%20-%20California%20Presentation.pdf" TargetMode="External"/><Relationship Id="rId1" Type="http://schemas.openxmlformats.org/officeDocument/2006/relationships/hyperlink" Target="http://energy.nv.gov/uploadedFiles/energynvgov/content/Programs/TaskForces/2017/Agenda%20item%204%20-%20California%20Presentation.pdf"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5"/>
  <sheetViews>
    <sheetView zoomScale="70" zoomScaleNormal="70" workbookViewId="0">
      <selection activeCell="B16" sqref="B16"/>
    </sheetView>
  </sheetViews>
  <sheetFormatPr defaultColWidth="8.88671875" defaultRowHeight="13.8" x14ac:dyDescent="0.25"/>
  <cols>
    <col min="1" max="1" width="8.88671875" style="154"/>
    <col min="2" max="2" width="20.5546875" style="154" customWidth="1"/>
    <col min="3" max="3" width="121.21875" style="154" customWidth="1"/>
    <col min="4" max="16384" width="8.88671875" style="154"/>
  </cols>
  <sheetData>
    <row r="8" spans="2:8" ht="22.8" x14ac:dyDescent="0.4">
      <c r="B8" s="153" t="s">
        <v>426</v>
      </c>
      <c r="H8"/>
    </row>
    <row r="9" spans="2:8" ht="22.8" x14ac:dyDescent="0.4">
      <c r="B9" s="153" t="s">
        <v>427</v>
      </c>
    </row>
    <row r="10" spans="2:8" ht="22.8" x14ac:dyDescent="0.4">
      <c r="B10" s="153" t="s">
        <v>428</v>
      </c>
    </row>
    <row r="11" spans="2:8" ht="22.8" x14ac:dyDescent="0.4">
      <c r="B11" s="153"/>
    </row>
    <row r="12" spans="2:8" ht="17.399999999999999" x14ac:dyDescent="0.3">
      <c r="B12" s="155" t="s">
        <v>475</v>
      </c>
    </row>
    <row r="13" spans="2:8" x14ac:dyDescent="0.25">
      <c r="B13" s="154" t="s">
        <v>429</v>
      </c>
      <c r="C13" s="203" t="s">
        <v>476</v>
      </c>
    </row>
    <row r="14" spans="2:8" x14ac:dyDescent="0.25">
      <c r="B14" s="154" t="s">
        <v>430</v>
      </c>
      <c r="C14" s="154" t="s">
        <v>431</v>
      </c>
    </row>
    <row r="15" spans="2:8" x14ac:dyDescent="0.25">
      <c r="B15" s="154" t="s">
        <v>432</v>
      </c>
      <c r="C15" s="154" t="s">
        <v>433</v>
      </c>
    </row>
    <row r="16" spans="2:8" x14ac:dyDescent="0.25">
      <c r="B16" s="154" t="s">
        <v>434</v>
      </c>
      <c r="C16" s="156">
        <v>42978</v>
      </c>
    </row>
    <row r="27" spans="2:3" ht="27.6" customHeight="1" x14ac:dyDescent="0.25">
      <c r="B27" s="314" t="s">
        <v>435</v>
      </c>
      <c r="C27" s="315"/>
    </row>
    <row r="28" spans="2:3" x14ac:dyDescent="0.25">
      <c r="B28" s="157" t="s">
        <v>436</v>
      </c>
      <c r="C28" s="158" t="s">
        <v>437</v>
      </c>
    </row>
    <row r="29" spans="2:3" x14ac:dyDescent="0.25">
      <c r="B29" s="157" t="s">
        <v>438</v>
      </c>
      <c r="C29" s="158" t="s">
        <v>439</v>
      </c>
    </row>
    <row r="30" spans="2:3" x14ac:dyDescent="0.25">
      <c r="B30" s="157" t="s">
        <v>231</v>
      </c>
      <c r="C30" s="158" t="s">
        <v>440</v>
      </c>
    </row>
    <row r="31" spans="2:3" x14ac:dyDescent="0.25">
      <c r="B31" s="157" t="s">
        <v>374</v>
      </c>
      <c r="C31" s="158" t="s">
        <v>441</v>
      </c>
    </row>
    <row r="32" spans="2:3" x14ac:dyDescent="0.25">
      <c r="B32" s="157" t="s">
        <v>231</v>
      </c>
      <c r="C32" s="158" t="s">
        <v>442</v>
      </c>
    </row>
    <row r="33" spans="2:3" x14ac:dyDescent="0.25">
      <c r="B33" s="157" t="s">
        <v>443</v>
      </c>
      <c r="C33" s="157" t="s">
        <v>444</v>
      </c>
    </row>
    <row r="34" spans="2:3" x14ac:dyDescent="0.25">
      <c r="B34" s="157" t="s">
        <v>445</v>
      </c>
      <c r="C34" s="157" t="s">
        <v>446</v>
      </c>
    </row>
    <row r="35" spans="2:3" x14ac:dyDescent="0.25">
      <c r="B35" s="313" t="s">
        <v>498</v>
      </c>
      <c r="C35" s="313" t="s">
        <v>499</v>
      </c>
    </row>
    <row r="36" spans="2:3" x14ac:dyDescent="0.25">
      <c r="B36" s="159"/>
      <c r="C36" s="160"/>
    </row>
    <row r="38" spans="2:3" ht="27.6" customHeight="1" x14ac:dyDescent="0.25">
      <c r="B38" s="314" t="s">
        <v>447</v>
      </c>
      <c r="C38" s="315" t="s">
        <v>448</v>
      </c>
    </row>
    <row r="39" spans="2:3" x14ac:dyDescent="0.25">
      <c r="B39" s="157" t="s">
        <v>0</v>
      </c>
      <c r="C39" s="158" t="s">
        <v>449</v>
      </c>
    </row>
    <row r="40" spans="2:3" x14ac:dyDescent="0.25">
      <c r="B40" s="157" t="s">
        <v>4</v>
      </c>
      <c r="C40" s="158" t="s">
        <v>450</v>
      </c>
    </row>
    <row r="41" spans="2:3" x14ac:dyDescent="0.25">
      <c r="B41" s="157" t="s">
        <v>451</v>
      </c>
      <c r="C41" s="158" t="s">
        <v>452</v>
      </c>
    </row>
    <row r="42" spans="2:3" x14ac:dyDescent="0.25">
      <c r="B42" s="204" t="s">
        <v>477</v>
      </c>
      <c r="C42" s="158" t="s">
        <v>475</v>
      </c>
    </row>
    <row r="43" spans="2:3" ht="27.6" x14ac:dyDescent="0.25">
      <c r="B43" s="157" t="s">
        <v>453</v>
      </c>
      <c r="C43" s="158" t="s">
        <v>454</v>
      </c>
    </row>
    <row r="44" spans="2:3" x14ac:dyDescent="0.25">
      <c r="B44" s="157" t="s">
        <v>52</v>
      </c>
      <c r="C44" s="158" t="s">
        <v>455</v>
      </c>
    </row>
    <row r="45" spans="2:3" x14ac:dyDescent="0.25">
      <c r="B45" s="157" t="s">
        <v>456</v>
      </c>
      <c r="C45" s="158" t="s">
        <v>457</v>
      </c>
    </row>
  </sheetData>
  <mergeCells count="2">
    <mergeCell ref="B27:C27"/>
    <mergeCell ref="B38:C3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R16"/>
  <sheetViews>
    <sheetView workbookViewId="0">
      <selection activeCell="X1" sqref="X1"/>
    </sheetView>
  </sheetViews>
  <sheetFormatPr defaultRowHeight="14.4" x14ac:dyDescent="0.3"/>
  <cols>
    <col min="2" max="2" width="29.88671875" customWidth="1"/>
  </cols>
  <sheetData>
    <row r="1" spans="2:18" x14ac:dyDescent="0.3">
      <c r="B1" t="s">
        <v>405</v>
      </c>
    </row>
    <row r="2" spans="2:18" x14ac:dyDescent="0.3">
      <c r="B2" t="s">
        <v>406</v>
      </c>
    </row>
    <row r="3" spans="2:18" x14ac:dyDescent="0.3">
      <c r="B3" t="s">
        <v>407</v>
      </c>
    </row>
    <row r="4" spans="2:18" x14ac:dyDescent="0.3">
      <c r="B4" t="s">
        <v>408</v>
      </c>
    </row>
    <row r="5" spans="2:18" s="59" customFormat="1" x14ac:dyDescent="0.3">
      <c r="C5" s="59" t="s">
        <v>401</v>
      </c>
    </row>
    <row r="6" spans="2:18" s="59" customFormat="1" x14ac:dyDescent="0.3">
      <c r="C6" s="106">
        <v>2015</v>
      </c>
      <c r="D6" s="106">
        <v>2016</v>
      </c>
      <c r="E6" s="106">
        <v>2017</v>
      </c>
      <c r="F6" s="140" t="s">
        <v>275</v>
      </c>
      <c r="G6" s="140" t="s">
        <v>276</v>
      </c>
      <c r="H6" s="140" t="s">
        <v>277</v>
      </c>
      <c r="I6" s="140" t="s">
        <v>278</v>
      </c>
      <c r="J6" s="140" t="s">
        <v>279</v>
      </c>
      <c r="K6" s="140" t="s">
        <v>280</v>
      </c>
      <c r="L6" s="140" t="s">
        <v>281</v>
      </c>
      <c r="M6" s="140" t="s">
        <v>282</v>
      </c>
      <c r="N6" s="140" t="s">
        <v>283</v>
      </c>
      <c r="O6" s="140" t="s">
        <v>284</v>
      </c>
      <c r="P6" s="140" t="s">
        <v>285</v>
      </c>
      <c r="Q6" s="140" t="s">
        <v>286</v>
      </c>
      <c r="R6" s="140" t="s">
        <v>287</v>
      </c>
    </row>
    <row r="7" spans="2:18" s="59" customFormat="1" x14ac:dyDescent="0.3">
      <c r="B7" s="141" t="s">
        <v>403</v>
      </c>
      <c r="C7" s="98">
        <f>'2018 PGT BRO 0609 for 2015-17'!C12</f>
        <v>133.03356178980181</v>
      </c>
      <c r="D7" s="98">
        <f>'2018 PGT BRO 0609 for 2015-17'!D12</f>
        <v>146.40995862476706</v>
      </c>
      <c r="E7" s="98">
        <f>'2018 PGT BRO 0609 for 2015-17'!E12</f>
        <v>161.13133931101925</v>
      </c>
      <c r="F7" s="98">
        <f>'2018 PGT BRO 0609 for 2015-17'!F12</f>
        <v>177.332940682703</v>
      </c>
      <c r="G7" s="98">
        <f>'2018 PGT BRO 0609 for 2015-17'!G12</f>
        <v>193.53454205438675</v>
      </c>
      <c r="H7" s="98">
        <f>'2018 PGT BRO 0609 for 2015-17'!H12</f>
        <v>210.62185041818307</v>
      </c>
      <c r="I7" s="98">
        <f>'2018 PGT BRO 0609 for 2015-17'!I12</f>
        <v>228.61744096533602</v>
      </c>
      <c r="J7" s="98">
        <f>'2018 PGT BRO 0609 for 2015-17'!J12</f>
        <v>242.88182947623309</v>
      </c>
      <c r="K7" s="98">
        <f>'2018 PGT BRO 0609 for 2015-17'!K12</f>
        <v>255.83886429820234</v>
      </c>
      <c r="L7" s="98">
        <f>'2018 PGT BRO 0609 for 2015-17'!L12</f>
        <v>269.0104131757065</v>
      </c>
      <c r="M7" s="98">
        <f>'2018 PGT BRO 0609 for 2015-17'!M12</f>
        <v>282.73438983756228</v>
      </c>
      <c r="N7" s="98">
        <f>'2018 PGT BRO 0609 for 2015-17'!N12</f>
        <v>296.74578094578254</v>
      </c>
      <c r="O7" s="98">
        <f>'2018 PGT BRO 0609 for 2015-17'!O12</f>
        <v>311.24841117681325</v>
      </c>
      <c r="P7" s="98">
        <f>'2018 PGT BRO 0609 for 2015-17'!P12</f>
        <v>324.30671049512796</v>
      </c>
      <c r="Q7" s="98">
        <f>'2018 PGT BRO 0609 for 2015-17'!Q12</f>
        <v>337.6845105965225</v>
      </c>
      <c r="R7" s="98">
        <f>'2018 PGT BRO 0609 for 2015-17'!R12</f>
        <v>345.95402119271745</v>
      </c>
    </row>
    <row r="8" spans="2:18" s="59" customFormat="1" x14ac:dyDescent="0.3">
      <c r="B8" s="141" t="s">
        <v>404</v>
      </c>
      <c r="C8" s="98">
        <f>'POU BRO savings'!H9</f>
        <v>23.666630999999999</v>
      </c>
      <c r="D8" s="98">
        <f>'POU BRO savings'!I9</f>
        <v>26.033294099999999</v>
      </c>
      <c r="E8" s="98">
        <f>'POU BRO savings'!J9</f>
        <v>28.63662351</v>
      </c>
      <c r="F8" s="98">
        <f>'POU BRO savings'!K9</f>
        <v>31.500285861000002</v>
      </c>
      <c r="G8" s="98">
        <f>'POU BRO savings'!L9</f>
        <v>39.375357326250004</v>
      </c>
      <c r="H8" s="98">
        <f>'POU BRO savings'!M9</f>
        <v>49.219196657812503</v>
      </c>
      <c r="I8" s="98">
        <f>'POU BRO savings'!N9</f>
        <v>76.205813655111996</v>
      </c>
      <c r="J8" s="98">
        <f>'POU BRO savings'!O9</f>
        <v>80.960609825411026</v>
      </c>
      <c r="K8" s="98">
        <f>'POU BRO savings'!P9</f>
        <v>85.279621432734103</v>
      </c>
      <c r="L8" s="98">
        <f>'POU BRO savings'!Q9</f>
        <v>89.670137725235492</v>
      </c>
      <c r="M8" s="98">
        <f>'POU BRO savings'!R9</f>
        <v>94.244796612520759</v>
      </c>
      <c r="N8" s="98">
        <f>'POU BRO savings'!S9</f>
        <v>98.915260315260838</v>
      </c>
      <c r="O8" s="98">
        <f>'POU BRO savings'!T9</f>
        <v>103.74947039227108</v>
      </c>
      <c r="P8" s="98">
        <f>'POU BRO savings'!U9</f>
        <v>108.10223683170932</v>
      </c>
      <c r="Q8" s="98">
        <f>'POU BRO savings'!V9</f>
        <v>112.56150353217416</v>
      </c>
      <c r="R8" s="98" t="e">
        <f>'POU BRO savings'!#REF!</f>
        <v>#REF!</v>
      </c>
    </row>
    <row r="9" spans="2:18" s="59" customFormat="1" x14ac:dyDescent="0.3">
      <c r="B9" s="141" t="s">
        <v>402</v>
      </c>
      <c r="C9" s="98">
        <f>C7+C8</f>
        <v>156.7001927898018</v>
      </c>
      <c r="D9" s="98">
        <f t="shared" ref="D9:R9" si="0">D7+D8</f>
        <v>172.44325272476706</v>
      </c>
      <c r="E9" s="98">
        <f t="shared" si="0"/>
        <v>189.76796282101924</v>
      </c>
      <c r="F9" s="98">
        <f t="shared" si="0"/>
        <v>208.83322654370301</v>
      </c>
      <c r="G9" s="98">
        <f t="shared" si="0"/>
        <v>232.90989938063674</v>
      </c>
      <c r="H9" s="98">
        <f>H7+H8</f>
        <v>259.84104707599556</v>
      </c>
      <c r="I9" s="98">
        <f t="shared" si="0"/>
        <v>304.82325462044798</v>
      </c>
      <c r="J9" s="98">
        <f t="shared" si="0"/>
        <v>323.84243930164411</v>
      </c>
      <c r="K9" s="98">
        <f t="shared" si="0"/>
        <v>341.11848573093641</v>
      </c>
      <c r="L9" s="98">
        <f t="shared" si="0"/>
        <v>358.68055090094197</v>
      </c>
      <c r="M9" s="98">
        <f t="shared" si="0"/>
        <v>376.97918645008303</v>
      </c>
      <c r="N9" s="98">
        <f t="shared" si="0"/>
        <v>395.66104126104335</v>
      </c>
      <c r="O9" s="98">
        <f t="shared" si="0"/>
        <v>414.99788156908431</v>
      </c>
      <c r="P9" s="98">
        <f t="shared" si="0"/>
        <v>432.40894732683728</v>
      </c>
      <c r="Q9" s="98">
        <f t="shared" si="0"/>
        <v>450.24601412869663</v>
      </c>
      <c r="R9" s="98" t="e">
        <f t="shared" si="0"/>
        <v>#REF!</v>
      </c>
    </row>
    <row r="10" spans="2:18" s="59" customFormat="1" ht="28.8" x14ac:dyDescent="0.3">
      <c r="B10" s="141" t="s">
        <v>400</v>
      </c>
      <c r="C10" s="98">
        <v>0</v>
      </c>
      <c r="D10" s="98">
        <v>0</v>
      </c>
      <c r="E10" s="98">
        <v>0</v>
      </c>
      <c r="F10" s="98">
        <v>0</v>
      </c>
      <c r="G10" s="98">
        <f>G9*12.5%/2</f>
        <v>14.556868711289797</v>
      </c>
      <c r="H10" s="98">
        <f t="shared" ref="H10:R10" si="1">H9*12.5%</f>
        <v>32.480130884499445</v>
      </c>
      <c r="I10" s="98">
        <f t="shared" si="1"/>
        <v>38.102906827555998</v>
      </c>
      <c r="J10" s="98">
        <f t="shared" si="1"/>
        <v>40.480304912705513</v>
      </c>
      <c r="K10" s="98">
        <f t="shared" si="1"/>
        <v>42.639810716367052</v>
      </c>
      <c r="L10" s="98">
        <f t="shared" si="1"/>
        <v>44.835068862617746</v>
      </c>
      <c r="M10" s="98">
        <f t="shared" si="1"/>
        <v>47.122398306260379</v>
      </c>
      <c r="N10" s="98">
        <f t="shared" si="1"/>
        <v>49.457630157630419</v>
      </c>
      <c r="O10" s="98">
        <f t="shared" si="1"/>
        <v>51.874735196135539</v>
      </c>
      <c r="P10" s="98">
        <f t="shared" si="1"/>
        <v>54.05111841585466</v>
      </c>
      <c r="Q10" s="98">
        <f t="shared" si="1"/>
        <v>56.280751766087079</v>
      </c>
      <c r="R10" s="98" t="e">
        <f t="shared" si="1"/>
        <v>#REF!</v>
      </c>
    </row>
    <row r="11" spans="2:18" s="59" customFormat="1" x14ac:dyDescent="0.3">
      <c r="C11" t="s">
        <v>262</v>
      </c>
    </row>
    <row r="12" spans="2:18" x14ac:dyDescent="0.3">
      <c r="C12" s="106">
        <v>2015</v>
      </c>
      <c r="D12" s="106">
        <v>2016</v>
      </c>
      <c r="E12" s="106">
        <v>2017</v>
      </c>
      <c r="F12" s="140" t="s">
        <v>275</v>
      </c>
      <c r="G12" s="140" t="s">
        <v>276</v>
      </c>
      <c r="H12" s="140" t="s">
        <v>277</v>
      </c>
      <c r="I12" s="140" t="s">
        <v>278</v>
      </c>
      <c r="J12" s="140" t="s">
        <v>279</v>
      </c>
      <c r="K12" s="140" t="s">
        <v>280</v>
      </c>
      <c r="L12" s="140" t="s">
        <v>281</v>
      </c>
      <c r="M12" s="140" t="s">
        <v>282</v>
      </c>
      <c r="N12" s="140" t="s">
        <v>283</v>
      </c>
      <c r="O12" s="140" t="s">
        <v>284</v>
      </c>
      <c r="P12" s="140" t="s">
        <v>285</v>
      </c>
      <c r="Q12" s="140" t="s">
        <v>286</v>
      </c>
      <c r="R12" s="140" t="s">
        <v>287</v>
      </c>
    </row>
    <row r="13" spans="2:18" x14ac:dyDescent="0.3">
      <c r="B13" s="141" t="s">
        <v>403</v>
      </c>
      <c r="C13" s="57">
        <f>'2018 PGT BRO 0609 for 2015-17'!C89</f>
        <v>9.6073807061913907</v>
      </c>
      <c r="D13" s="57">
        <f>'2018 PGT BRO 0609 for 2015-17'!D89</f>
        <v>10.004961424785625</v>
      </c>
      <c r="E13" s="57">
        <f>'2018 PGT BRO 0609 for 2015-17'!E89</f>
        <v>10.418995163472633</v>
      </c>
      <c r="F13" s="57">
        <f>'2018 PGT BRO 0609 for 2015-17'!F89</f>
        <v>10.850162794984703</v>
      </c>
      <c r="G13" s="57">
        <f>'2018 PGT BRO 0609 for 2015-17'!G89</f>
        <v>11.281330426496773</v>
      </c>
      <c r="H13" s="57">
        <f>'2018 PGT BRO 0609 for 2015-17'!H89</f>
        <v>11.736212679893786</v>
      </c>
      <c r="I13" s="57">
        <f>'2018 PGT BRO 0609 for 2015-17'!I89</f>
        <v>12.199175366854874</v>
      </c>
      <c r="J13" s="57">
        <f>'2018 PGT BRO 0609 for 2015-17'!J89</f>
        <v>12.518550693842261</v>
      </c>
      <c r="K13" s="57">
        <f>'2018 PGT BRO 0609 for 2015-17'!K89</f>
        <v>12.7860110017983</v>
      </c>
      <c r="L13" s="57">
        <f>'2018 PGT BRO 0609 for 2015-17'!L89</f>
        <v>13.057995247179045</v>
      </c>
      <c r="M13" s="57">
        <f>'2018 PGT BRO 0609 for 2015-17'!M89</f>
        <v>13.318137721395111</v>
      </c>
      <c r="N13" s="57">
        <f>'2018 PGT BRO 0609 for 2015-17'!N89</f>
        <v>13.6062144301568</v>
      </c>
      <c r="O13" s="57">
        <f>'2018 PGT BRO 0609 for 2015-17'!O89</f>
        <v>13.875769046788562</v>
      </c>
      <c r="P13" s="57">
        <f>'2018 PGT BRO 0609 for 2015-17'!P89</f>
        <v>14.153374853561971</v>
      </c>
      <c r="Q13" s="57">
        <f>'2018 PGT BRO 0609 for 2015-17'!Q89</f>
        <v>14.432908431528469</v>
      </c>
      <c r="R13" s="57">
        <f>'2018 PGT BRO 0609 for 2015-17'!R89</f>
        <v>14.716360156450664</v>
      </c>
    </row>
    <row r="14" spans="2:18" x14ac:dyDescent="0.3">
      <c r="B14" s="141" t="s">
        <v>404</v>
      </c>
      <c r="C14" s="57">
        <v>0</v>
      </c>
      <c r="D14" s="57">
        <v>0</v>
      </c>
      <c r="E14" s="57">
        <v>0</v>
      </c>
      <c r="F14" s="57">
        <v>0</v>
      </c>
      <c r="G14" s="57">
        <v>0</v>
      </c>
      <c r="H14" s="57">
        <v>0</v>
      </c>
      <c r="I14" s="57">
        <v>0</v>
      </c>
      <c r="J14" s="57">
        <v>0</v>
      </c>
      <c r="K14" s="57">
        <v>0</v>
      </c>
      <c r="L14" s="57">
        <v>0</v>
      </c>
      <c r="M14" s="57">
        <v>0</v>
      </c>
      <c r="N14" s="57">
        <v>0</v>
      </c>
      <c r="O14" s="57">
        <v>0</v>
      </c>
      <c r="P14" s="57">
        <v>0</v>
      </c>
      <c r="Q14" s="57">
        <v>0</v>
      </c>
      <c r="R14" s="57">
        <v>0</v>
      </c>
    </row>
    <row r="15" spans="2:18" x14ac:dyDescent="0.3">
      <c r="B15" s="141" t="s">
        <v>402</v>
      </c>
      <c r="C15" s="57">
        <f>SUM(C13:C14)</f>
        <v>9.6073807061913907</v>
      </c>
      <c r="D15" s="57">
        <f t="shared" ref="D15:R15" si="2">SUM(D13:D14)</f>
        <v>10.004961424785625</v>
      </c>
      <c r="E15" s="57">
        <f t="shared" si="2"/>
        <v>10.418995163472633</v>
      </c>
      <c r="F15" s="57">
        <f t="shared" si="2"/>
        <v>10.850162794984703</v>
      </c>
      <c r="G15" s="57">
        <f t="shared" si="2"/>
        <v>11.281330426496773</v>
      </c>
      <c r="H15" s="57">
        <f t="shared" si="2"/>
        <v>11.736212679893786</v>
      </c>
      <c r="I15" s="57">
        <f t="shared" si="2"/>
        <v>12.199175366854874</v>
      </c>
      <c r="J15" s="57">
        <f t="shared" si="2"/>
        <v>12.518550693842261</v>
      </c>
      <c r="K15" s="57">
        <f t="shared" si="2"/>
        <v>12.7860110017983</v>
      </c>
      <c r="L15" s="57">
        <f t="shared" si="2"/>
        <v>13.057995247179045</v>
      </c>
      <c r="M15" s="57">
        <f t="shared" si="2"/>
        <v>13.318137721395111</v>
      </c>
      <c r="N15" s="57">
        <f t="shared" si="2"/>
        <v>13.6062144301568</v>
      </c>
      <c r="O15" s="57">
        <f t="shared" si="2"/>
        <v>13.875769046788562</v>
      </c>
      <c r="P15" s="57">
        <f t="shared" si="2"/>
        <v>14.153374853561971</v>
      </c>
      <c r="Q15" s="57">
        <f t="shared" si="2"/>
        <v>14.432908431528469</v>
      </c>
      <c r="R15" s="57">
        <f t="shared" si="2"/>
        <v>14.716360156450664</v>
      </c>
    </row>
    <row r="16" spans="2:18" ht="28.8" x14ac:dyDescent="0.3">
      <c r="B16" s="141" t="s">
        <v>400</v>
      </c>
      <c r="C16" s="57">
        <v>0</v>
      </c>
      <c r="D16" s="57">
        <v>0</v>
      </c>
      <c r="E16" s="57">
        <v>0</v>
      </c>
      <c r="F16" s="57">
        <v>0</v>
      </c>
      <c r="G16" s="57">
        <f>G15*12.5%/2</f>
        <v>0.70508315165604829</v>
      </c>
      <c r="H16" s="57">
        <f t="shared" ref="H16:R16" si="3">H15*12.5%</f>
        <v>1.4670265849867232</v>
      </c>
      <c r="I16" s="57">
        <f t="shared" si="3"/>
        <v>1.5248969208568592</v>
      </c>
      <c r="J16" s="57">
        <f t="shared" si="3"/>
        <v>1.5648188367302827</v>
      </c>
      <c r="K16" s="57">
        <f t="shared" si="3"/>
        <v>1.5982513752247876</v>
      </c>
      <c r="L16" s="57">
        <f t="shared" si="3"/>
        <v>1.6322494058973807</v>
      </c>
      <c r="M16" s="57">
        <f t="shared" si="3"/>
        <v>1.6647672151743889</v>
      </c>
      <c r="N16" s="57">
        <f t="shared" si="3"/>
        <v>1.7007768037696001</v>
      </c>
      <c r="O16" s="57">
        <f t="shared" si="3"/>
        <v>1.7344711308485703</v>
      </c>
      <c r="P16" s="57">
        <f t="shared" si="3"/>
        <v>1.7691718566952463</v>
      </c>
      <c r="Q16" s="57">
        <f t="shared" si="3"/>
        <v>1.8041135539410587</v>
      </c>
      <c r="R16" s="57">
        <f t="shared" si="3"/>
        <v>1.839545019556333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O28"/>
  <sheetViews>
    <sheetView topLeftCell="G1" workbookViewId="0">
      <selection activeCell="X1" sqref="X1"/>
    </sheetView>
  </sheetViews>
  <sheetFormatPr defaultRowHeight="14.4" x14ac:dyDescent="0.3"/>
  <cols>
    <col min="2" max="2" width="25.6640625" customWidth="1"/>
    <col min="3" max="3" width="18.109375" customWidth="1"/>
    <col min="4" max="4" width="15.44140625" customWidth="1"/>
    <col min="5" max="5" width="15.88671875" customWidth="1"/>
  </cols>
  <sheetData>
    <row r="1" spans="2:41" x14ac:dyDescent="0.3">
      <c r="B1" t="s">
        <v>59</v>
      </c>
      <c r="J1">
        <v>2000</v>
      </c>
      <c r="K1" s="57">
        <f>J1*105%</f>
        <v>2100</v>
      </c>
      <c r="L1" s="57">
        <f t="shared" ref="L1:Y1" si="0">K1*105%</f>
        <v>2205</v>
      </c>
      <c r="M1" s="57">
        <f t="shared" si="0"/>
        <v>2315.25</v>
      </c>
      <c r="N1" s="57">
        <f t="shared" si="0"/>
        <v>2431.0125000000003</v>
      </c>
      <c r="O1" s="57">
        <f t="shared" si="0"/>
        <v>2552.5631250000006</v>
      </c>
      <c r="P1" s="57">
        <f t="shared" si="0"/>
        <v>2680.1912812500009</v>
      </c>
      <c r="Q1" s="57">
        <f t="shared" si="0"/>
        <v>2814.2008453125009</v>
      </c>
      <c r="R1" s="57">
        <f t="shared" si="0"/>
        <v>2954.9108875781262</v>
      </c>
      <c r="S1" s="57">
        <f t="shared" si="0"/>
        <v>3102.6564319570325</v>
      </c>
      <c r="T1" s="57">
        <f t="shared" si="0"/>
        <v>3257.7892535548845</v>
      </c>
      <c r="U1" s="57">
        <f t="shared" si="0"/>
        <v>3420.6787162326286</v>
      </c>
      <c r="V1" s="57">
        <f t="shared" si="0"/>
        <v>3591.7126520442603</v>
      </c>
      <c r="W1" s="57">
        <f t="shared" si="0"/>
        <v>3771.2982846464733</v>
      </c>
      <c r="X1" s="57">
        <f t="shared" si="0"/>
        <v>3959.863198878797</v>
      </c>
      <c r="Y1" s="57">
        <f t="shared" si="0"/>
        <v>4157.8563588227371</v>
      </c>
    </row>
    <row r="2" spans="2:41" x14ac:dyDescent="0.3">
      <c r="C2" s="11"/>
      <c r="D2" s="11"/>
      <c r="J2" t="s">
        <v>412</v>
      </c>
    </row>
    <row r="3" spans="2:41" x14ac:dyDescent="0.3">
      <c r="C3" s="11"/>
      <c r="D3" s="11"/>
      <c r="J3" t="s">
        <v>0</v>
      </c>
      <c r="Z3" t="s">
        <v>149</v>
      </c>
    </row>
    <row r="4" spans="2:41" x14ac:dyDescent="0.3">
      <c r="C4" s="11"/>
      <c r="D4" s="11" t="s">
        <v>248</v>
      </c>
      <c r="E4" t="s">
        <v>182</v>
      </c>
      <c r="F4" t="s">
        <v>247</v>
      </c>
      <c r="G4" t="s">
        <v>249</v>
      </c>
      <c r="H4" t="s">
        <v>250</v>
      </c>
      <c r="J4">
        <v>2015</v>
      </c>
      <c r="K4">
        <v>2016</v>
      </c>
      <c r="L4">
        <v>2017</v>
      </c>
      <c r="M4">
        <v>2018</v>
      </c>
      <c r="N4">
        <v>2019</v>
      </c>
      <c r="O4">
        <v>2020</v>
      </c>
      <c r="P4">
        <v>2021</v>
      </c>
      <c r="Q4">
        <v>2022</v>
      </c>
      <c r="R4">
        <v>2023</v>
      </c>
      <c r="S4">
        <v>2024</v>
      </c>
      <c r="T4">
        <v>2025</v>
      </c>
      <c r="U4">
        <v>2026</v>
      </c>
      <c r="V4">
        <v>2027</v>
      </c>
      <c r="W4">
        <v>2028</v>
      </c>
      <c r="X4">
        <v>2029</v>
      </c>
      <c r="Y4">
        <v>2030</v>
      </c>
      <c r="Z4">
        <v>2015</v>
      </c>
      <c r="AA4">
        <v>2016</v>
      </c>
      <c r="AB4">
        <v>2017</v>
      </c>
      <c r="AC4">
        <v>2018</v>
      </c>
      <c r="AD4">
        <v>2019</v>
      </c>
      <c r="AE4">
        <v>2020</v>
      </c>
      <c r="AF4">
        <v>2021</v>
      </c>
      <c r="AG4">
        <v>2022</v>
      </c>
      <c r="AH4">
        <v>2023</v>
      </c>
      <c r="AI4">
        <v>2024</v>
      </c>
      <c r="AJ4">
        <v>2025</v>
      </c>
      <c r="AK4">
        <v>2026</v>
      </c>
      <c r="AL4">
        <v>2027</v>
      </c>
      <c r="AM4">
        <v>2028</v>
      </c>
      <c r="AN4">
        <v>2029</v>
      </c>
      <c r="AO4">
        <v>2030</v>
      </c>
    </row>
    <row r="5" spans="2:41" x14ac:dyDescent="0.3">
      <c r="B5" t="s">
        <v>267</v>
      </c>
      <c r="C5" s="11"/>
      <c r="D5" s="11">
        <v>2000</v>
      </c>
      <c r="E5" s="47">
        <v>0.06</v>
      </c>
      <c r="F5" s="47">
        <v>0.16</v>
      </c>
      <c r="G5" s="72">
        <f>E5*'arch 2018 PGT BRO'!C3*D5/1000000</f>
        <v>0.75551999999999997</v>
      </c>
      <c r="H5" s="76">
        <f>F5*'arch 2018 PGT BRO'!C4*'Res P4P'!D5/1000000</f>
        <v>0.11328000000000001</v>
      </c>
      <c r="J5" s="77">
        <f>G5</f>
        <v>0.75551999999999997</v>
      </c>
      <c r="K5" s="77">
        <f>J5*105%</f>
        <v>0.793296</v>
      </c>
      <c r="L5" s="77">
        <f t="shared" ref="L5:Y5" si="1">K5*105%</f>
        <v>0.83296080000000006</v>
      </c>
      <c r="M5" s="77">
        <f t="shared" si="1"/>
        <v>0.87460884000000005</v>
      </c>
      <c r="N5" s="77">
        <f t="shared" si="1"/>
        <v>0.91833928200000015</v>
      </c>
      <c r="O5" s="77">
        <f t="shared" si="1"/>
        <v>0.96425624610000016</v>
      </c>
      <c r="P5" s="77">
        <f t="shared" si="1"/>
        <v>1.0124690584050002</v>
      </c>
      <c r="Q5" s="77">
        <f t="shared" si="1"/>
        <v>1.0630925113252503</v>
      </c>
      <c r="R5" s="77">
        <f t="shared" si="1"/>
        <v>1.1162471368915128</v>
      </c>
      <c r="S5" s="77">
        <f t="shared" si="1"/>
        <v>1.1720594937360884</v>
      </c>
      <c r="T5" s="77">
        <f t="shared" si="1"/>
        <v>1.2306624684228928</v>
      </c>
      <c r="U5" s="77">
        <f t="shared" si="1"/>
        <v>1.2921955918440375</v>
      </c>
      <c r="V5" s="77">
        <f t="shared" si="1"/>
        <v>1.3568053714362396</v>
      </c>
      <c r="W5" s="77">
        <f t="shared" si="1"/>
        <v>1.4246456400080516</v>
      </c>
      <c r="X5" s="77">
        <f t="shared" si="1"/>
        <v>1.4958779220084542</v>
      </c>
      <c r="Y5" s="77">
        <f t="shared" si="1"/>
        <v>1.570671818108877</v>
      </c>
      <c r="Z5" s="77">
        <f>H5</f>
        <v>0.11328000000000001</v>
      </c>
      <c r="AA5" s="77">
        <f>Z5*105%</f>
        <v>0.11894400000000001</v>
      </c>
      <c r="AB5" s="77">
        <f t="shared" ref="AB5:AO5" si="2">AA5*105%</f>
        <v>0.12489120000000001</v>
      </c>
      <c r="AC5" s="77">
        <f t="shared" si="2"/>
        <v>0.13113576000000002</v>
      </c>
      <c r="AD5" s="77">
        <f t="shared" si="2"/>
        <v>0.13769254800000003</v>
      </c>
      <c r="AE5" s="77">
        <f t="shared" si="2"/>
        <v>0.14457717540000004</v>
      </c>
      <c r="AF5" s="77">
        <f t="shared" si="2"/>
        <v>0.15180603417000005</v>
      </c>
      <c r="AG5" s="77">
        <f t="shared" si="2"/>
        <v>0.15939633587850005</v>
      </c>
      <c r="AH5" s="77">
        <f t="shared" si="2"/>
        <v>0.16736615267242505</v>
      </c>
      <c r="AI5" s="77">
        <f t="shared" si="2"/>
        <v>0.17573446030604631</v>
      </c>
      <c r="AJ5" s="77">
        <f t="shared" si="2"/>
        <v>0.18452118332134862</v>
      </c>
      <c r="AK5" s="77">
        <f t="shared" si="2"/>
        <v>0.19374724248741607</v>
      </c>
      <c r="AL5" s="77">
        <f t="shared" si="2"/>
        <v>0.20343460461178689</v>
      </c>
      <c r="AM5" s="77">
        <f t="shared" si="2"/>
        <v>0.21360633484237623</v>
      </c>
      <c r="AN5" s="77">
        <f t="shared" si="2"/>
        <v>0.22428665158449507</v>
      </c>
      <c r="AO5" s="77">
        <f t="shared" si="2"/>
        <v>0.23550098416371984</v>
      </c>
    </row>
    <row r="6" spans="2:41" x14ac:dyDescent="0.3">
      <c r="B6" t="s">
        <v>313</v>
      </c>
      <c r="C6" s="11"/>
      <c r="D6" s="11"/>
      <c r="J6" s="111">
        <f>J5*0.5</f>
        <v>0.37775999999999998</v>
      </c>
      <c r="K6" s="111">
        <f t="shared" ref="K6:AO6" si="3">K5*0.5</f>
        <v>0.396648</v>
      </c>
      <c r="L6" s="111">
        <f t="shared" si="3"/>
        <v>0.41648040000000003</v>
      </c>
      <c r="M6" s="111">
        <f t="shared" si="3"/>
        <v>0.43730442000000003</v>
      </c>
      <c r="N6" s="111">
        <f t="shared" si="3"/>
        <v>0.45916964100000007</v>
      </c>
      <c r="O6" s="111">
        <f t="shared" si="3"/>
        <v>0.48212812305000008</v>
      </c>
      <c r="P6" s="111">
        <f t="shared" si="3"/>
        <v>0.50623452920250012</v>
      </c>
      <c r="Q6" s="111">
        <f t="shared" si="3"/>
        <v>0.53154625566262514</v>
      </c>
      <c r="R6" s="111">
        <f t="shared" si="3"/>
        <v>0.55812356844575639</v>
      </c>
      <c r="S6" s="111">
        <f t="shared" si="3"/>
        <v>0.58602974686804421</v>
      </c>
      <c r="T6" s="111">
        <f t="shared" si="3"/>
        <v>0.61533123421144642</v>
      </c>
      <c r="U6" s="111">
        <f t="shared" si="3"/>
        <v>0.64609779592201877</v>
      </c>
      <c r="V6" s="111">
        <f t="shared" si="3"/>
        <v>0.67840268571811979</v>
      </c>
      <c r="W6" s="111">
        <f t="shared" si="3"/>
        <v>0.7123228200040258</v>
      </c>
      <c r="X6" s="111">
        <f t="shared" si="3"/>
        <v>0.74793896100422708</v>
      </c>
      <c r="Y6" s="111">
        <f t="shared" si="3"/>
        <v>0.78533590905443851</v>
      </c>
      <c r="Z6" s="111">
        <f t="shared" si="3"/>
        <v>5.6640000000000003E-2</v>
      </c>
      <c r="AA6" s="111">
        <f t="shared" si="3"/>
        <v>5.9472000000000004E-2</v>
      </c>
      <c r="AB6" s="111">
        <f t="shared" si="3"/>
        <v>6.2445600000000004E-2</v>
      </c>
      <c r="AC6" s="111">
        <f t="shared" si="3"/>
        <v>6.5567880000000009E-2</v>
      </c>
      <c r="AD6" s="111">
        <f t="shared" si="3"/>
        <v>6.8846274000000013E-2</v>
      </c>
      <c r="AE6" s="111">
        <f t="shared" si="3"/>
        <v>7.2288587700000018E-2</v>
      </c>
      <c r="AF6" s="111">
        <f t="shared" si="3"/>
        <v>7.5903017085000024E-2</v>
      </c>
      <c r="AG6" s="111">
        <f t="shared" si="3"/>
        <v>7.9698167939250025E-2</v>
      </c>
      <c r="AH6" s="111">
        <f t="shared" si="3"/>
        <v>8.3683076336212525E-2</v>
      </c>
      <c r="AI6" s="111">
        <f t="shared" si="3"/>
        <v>8.7867230153023154E-2</v>
      </c>
      <c r="AJ6" s="111">
        <f t="shared" si="3"/>
        <v>9.226059166067431E-2</v>
      </c>
      <c r="AK6" s="111">
        <f t="shared" si="3"/>
        <v>9.6873621243708033E-2</v>
      </c>
      <c r="AL6" s="111">
        <f t="shared" si="3"/>
        <v>0.10171730230589345</v>
      </c>
      <c r="AM6" s="111">
        <f t="shared" si="3"/>
        <v>0.10680316742118812</v>
      </c>
      <c r="AN6" s="111">
        <f t="shared" si="3"/>
        <v>0.11214332579224753</v>
      </c>
      <c r="AO6" s="111">
        <f t="shared" si="3"/>
        <v>0.11775049208185992</v>
      </c>
    </row>
    <row r="7" spans="2:41" x14ac:dyDescent="0.3">
      <c r="C7" s="11"/>
      <c r="D7" s="11"/>
      <c r="J7" t="s">
        <v>414</v>
      </c>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row>
    <row r="8" spans="2:41" x14ac:dyDescent="0.3">
      <c r="C8" s="11" t="s">
        <v>413</v>
      </c>
      <c r="D8" s="144">
        <f>'HER eval vs Nav'!K6*(1-'POU BRO savings'!E5)</f>
        <v>0.29612393711891799</v>
      </c>
      <c r="J8" s="145">
        <f>J6</f>
        <v>0.37775999999999998</v>
      </c>
      <c r="K8" s="145">
        <f>K6</f>
        <v>0.396648</v>
      </c>
      <c r="L8" s="145">
        <f>L6</f>
        <v>0.41648040000000003</v>
      </c>
      <c r="M8" s="145">
        <f>M6</f>
        <v>0.43730442000000003</v>
      </c>
      <c r="N8" s="145">
        <f>N6/$D8/2</f>
        <v>0.77529977054101828</v>
      </c>
      <c r="O8" s="145">
        <f>O6/$D8</f>
        <v>1.6281295181361384</v>
      </c>
      <c r="P8" s="145">
        <f t="shared" ref="P8:Y8" si="4">P6/$D8</f>
        <v>1.7095359940429453</v>
      </c>
      <c r="Q8" s="145">
        <f t="shared" si="4"/>
        <v>1.7950127937450928</v>
      </c>
      <c r="R8" s="145">
        <f t="shared" si="4"/>
        <v>1.8847634334323473</v>
      </c>
      <c r="S8" s="145">
        <f t="shared" si="4"/>
        <v>1.9790016051039647</v>
      </c>
      <c r="T8" s="145">
        <f>T6/$D8</f>
        <v>2.0779516853591629</v>
      </c>
      <c r="U8" s="145">
        <f t="shared" si="4"/>
        <v>2.1818492696271212</v>
      </c>
      <c r="V8" s="145">
        <f t="shared" si="4"/>
        <v>2.2909417331084776</v>
      </c>
      <c r="W8" s="145">
        <f t="shared" si="4"/>
        <v>2.4054888197639013</v>
      </c>
      <c r="X8" s="145">
        <f t="shared" si="4"/>
        <v>2.5257632607520963</v>
      </c>
      <c r="Y8" s="145">
        <f t="shared" si="4"/>
        <v>2.6520514237897017</v>
      </c>
      <c r="Z8" s="145">
        <f>Z6</f>
        <v>5.6640000000000003E-2</v>
      </c>
      <c r="AA8" s="145">
        <f>AA6</f>
        <v>5.9472000000000004E-2</v>
      </c>
      <c r="AB8" s="145">
        <f>AB6</f>
        <v>6.2445600000000004E-2</v>
      </c>
      <c r="AC8" s="145">
        <f>AC6</f>
        <v>6.5567880000000009E-2</v>
      </c>
      <c r="AD8" s="145">
        <f>AD6/$D8/2</f>
        <v>0.11624570892482866</v>
      </c>
      <c r="AE8" s="145">
        <f>AE6/$D8</f>
        <v>0.24411598874214022</v>
      </c>
      <c r="AF8" s="145">
        <f t="shared" ref="AF8:AO8" si="5">AF6/$D8</f>
        <v>0.25632178817924722</v>
      </c>
      <c r="AG8" s="145">
        <f t="shared" si="5"/>
        <v>0.26913787758820962</v>
      </c>
      <c r="AH8" s="145">
        <f t="shared" si="5"/>
        <v>0.28259477146762008</v>
      </c>
      <c r="AI8" s="145">
        <f t="shared" si="5"/>
        <v>0.29672451004100109</v>
      </c>
      <c r="AJ8" s="145">
        <f t="shared" si="5"/>
        <v>0.31156073554305114</v>
      </c>
      <c r="AK8" s="145">
        <f t="shared" si="5"/>
        <v>0.32713877232020372</v>
      </c>
      <c r="AL8" s="145">
        <f t="shared" si="5"/>
        <v>0.34349571093621395</v>
      </c>
      <c r="AM8" s="145">
        <f t="shared" si="5"/>
        <v>0.36067049648302463</v>
      </c>
      <c r="AN8" s="145">
        <f t="shared" si="5"/>
        <v>0.3787040213071759</v>
      </c>
      <c r="AO8" s="145">
        <f t="shared" si="5"/>
        <v>0.39763922237253474</v>
      </c>
    </row>
    <row r="9" spans="2:41" x14ac:dyDescent="0.3">
      <c r="C9" s="11"/>
      <c r="D9" s="11"/>
      <c r="I9" t="s">
        <v>425</v>
      </c>
      <c r="J9" s="57">
        <f>D5</f>
        <v>2000</v>
      </c>
      <c r="K9" s="57">
        <f>J9*105%</f>
        <v>2100</v>
      </c>
      <c r="L9" s="57">
        <f>K9*105%</f>
        <v>2205</v>
      </c>
      <c r="M9" s="57">
        <f>L9*105%</f>
        <v>2315.25</v>
      </c>
      <c r="N9" s="57">
        <f>M9*105%/D8</f>
        <v>8209.4427206799901</v>
      </c>
      <c r="O9" s="57">
        <f>N9*105%/D8</f>
        <v>29109.145787334266</v>
      </c>
      <c r="P9" s="57">
        <f>O9*105%</f>
        <v>30564.60307670098</v>
      </c>
      <c r="Q9" s="57">
        <f t="shared" ref="Q9:Z9" si="6">P9*105%</f>
        <v>32092.833230536031</v>
      </c>
      <c r="R9" s="57">
        <f t="shared" si="6"/>
        <v>33697.474892062834</v>
      </c>
      <c r="S9" s="57">
        <f t="shared" si="6"/>
        <v>35382.348636665978</v>
      </c>
      <c r="T9" s="57">
        <f t="shared" si="6"/>
        <v>37151.466068499278</v>
      </c>
      <c r="U9" s="57">
        <f t="shared" si="6"/>
        <v>39009.039371924242</v>
      </c>
      <c r="V9" s="57">
        <f t="shared" si="6"/>
        <v>40959.491340520457</v>
      </c>
      <c r="W9" s="57">
        <f t="shared" si="6"/>
        <v>43007.465907546481</v>
      </c>
      <c r="X9" s="57">
        <f t="shared" si="6"/>
        <v>45157.839202923809</v>
      </c>
      <c r="Y9" s="57">
        <f t="shared" si="6"/>
        <v>47415.731163069999</v>
      </c>
      <c r="Z9" s="57">
        <f t="shared" si="6"/>
        <v>49786.517721223499</v>
      </c>
      <c r="AA9" s="77"/>
      <c r="AB9" s="77"/>
      <c r="AC9" s="77"/>
      <c r="AD9" s="77"/>
      <c r="AE9" s="77"/>
      <c r="AF9" s="77"/>
      <c r="AG9" s="77"/>
      <c r="AH9" s="77"/>
      <c r="AI9" s="77"/>
      <c r="AJ9" s="77"/>
      <c r="AK9" s="77"/>
      <c r="AL9" s="77"/>
      <c r="AM9" s="77"/>
      <c r="AN9" s="77"/>
      <c r="AO9" s="77"/>
    </row>
    <row r="10" spans="2:41" x14ac:dyDescent="0.3">
      <c r="C10" s="39" t="s">
        <v>62</v>
      </c>
      <c r="D10" s="39"/>
      <c r="E10" t="s">
        <v>64</v>
      </c>
      <c r="N10" s="36">
        <f>N9/14000000</f>
        <v>5.8638876576285642E-4</v>
      </c>
      <c r="O10" s="35">
        <f>O9/14000000</f>
        <v>2.0792246990953048E-3</v>
      </c>
    </row>
    <row r="11" spans="2:41" x14ac:dyDescent="0.3">
      <c r="E11" t="s">
        <v>74</v>
      </c>
      <c r="F11" t="s">
        <v>40</v>
      </c>
    </row>
    <row r="12" spans="2:41" x14ac:dyDescent="0.3">
      <c r="B12" t="s">
        <v>80</v>
      </c>
      <c r="C12">
        <v>2825000</v>
      </c>
      <c r="E12" t="s">
        <v>81</v>
      </c>
    </row>
    <row r="13" spans="2:41" x14ac:dyDescent="0.3">
      <c r="B13" t="s">
        <v>79</v>
      </c>
      <c r="C13">
        <f>2100*2</f>
        <v>4200</v>
      </c>
      <c r="E13" t="s">
        <v>82</v>
      </c>
      <c r="F13" t="s">
        <v>78</v>
      </c>
    </row>
    <row r="14" spans="2:41" x14ac:dyDescent="0.3">
      <c r="C14" t="s">
        <v>72</v>
      </c>
      <c r="D14" t="s">
        <v>73</v>
      </c>
    </row>
    <row r="15" spans="2:41" x14ac:dyDescent="0.3">
      <c r="B15" t="s">
        <v>67</v>
      </c>
      <c r="C15" s="38">
        <v>10000000</v>
      </c>
      <c r="D15" s="38">
        <v>5757927</v>
      </c>
      <c r="E15" t="s">
        <v>83</v>
      </c>
      <c r="F15" t="s">
        <v>86</v>
      </c>
    </row>
    <row r="16" spans="2:41" x14ac:dyDescent="0.3">
      <c r="B16" t="s">
        <v>68</v>
      </c>
      <c r="C16">
        <v>2000</v>
      </c>
      <c r="D16" s="38">
        <v>1152</v>
      </c>
      <c r="E16" t="s">
        <v>83</v>
      </c>
      <c r="F16" t="s">
        <v>86</v>
      </c>
    </row>
    <row r="17" spans="2:6" x14ac:dyDescent="0.3">
      <c r="B17" t="s">
        <v>69</v>
      </c>
      <c r="C17" s="37">
        <v>1500000</v>
      </c>
      <c r="D17" s="38">
        <v>863689</v>
      </c>
      <c r="E17" t="s">
        <v>83</v>
      </c>
      <c r="F17" t="s">
        <v>86</v>
      </c>
    </row>
    <row r="18" spans="2:6" x14ac:dyDescent="0.3">
      <c r="B18" t="s">
        <v>70</v>
      </c>
      <c r="C18" t="s">
        <v>65</v>
      </c>
      <c r="E18" t="s">
        <v>82</v>
      </c>
    </row>
    <row r="19" spans="2:6" x14ac:dyDescent="0.3">
      <c r="B19" t="s">
        <v>71</v>
      </c>
    </row>
    <row r="20" spans="2:6" x14ac:dyDescent="0.3">
      <c r="C20" s="34">
        <f>C15/C$13</f>
        <v>2380.9523809523807</v>
      </c>
      <c r="D20" s="34"/>
      <c r="E20" t="s">
        <v>60</v>
      </c>
      <c r="F20" t="s">
        <v>66</v>
      </c>
    </row>
    <row r="21" spans="2:6" x14ac:dyDescent="0.3">
      <c r="C21" s="33">
        <f>D16/C$13</f>
        <v>0.2742857142857143</v>
      </c>
      <c r="D21" s="33"/>
      <c r="E21" t="s">
        <v>61</v>
      </c>
    </row>
    <row r="22" spans="2:6" x14ac:dyDescent="0.3">
      <c r="C22" s="34">
        <f>D17/C$13</f>
        <v>205.64023809523809</v>
      </c>
      <c r="D22" s="34"/>
      <c r="E22" t="s">
        <v>63</v>
      </c>
      <c r="F22" s="59" t="s">
        <v>312</v>
      </c>
    </row>
    <row r="23" spans="2:6" x14ac:dyDescent="0.3">
      <c r="B23" t="s">
        <v>85</v>
      </c>
      <c r="C23" s="11" t="s">
        <v>84</v>
      </c>
      <c r="D23" s="82" t="s">
        <v>251</v>
      </c>
      <c r="E23" s="36"/>
    </row>
    <row r="26" spans="2:6" x14ac:dyDescent="0.3">
      <c r="B26" t="s">
        <v>75</v>
      </c>
    </row>
    <row r="27" spans="2:6" x14ac:dyDescent="0.3">
      <c r="B27" t="s">
        <v>77</v>
      </c>
      <c r="C27" t="s">
        <v>64</v>
      </c>
    </row>
    <row r="28" spans="2:6" x14ac:dyDescent="0.3">
      <c r="B28" t="s">
        <v>76</v>
      </c>
      <c r="C28" s="39" t="s">
        <v>62</v>
      </c>
    </row>
  </sheetData>
  <hyperlinks>
    <hyperlink ref="C10" r:id="rId1"/>
    <hyperlink ref="C28" r:id="rId2"/>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I12"/>
  <sheetViews>
    <sheetView workbookViewId="0">
      <selection activeCell="X1" sqref="X1"/>
    </sheetView>
  </sheetViews>
  <sheetFormatPr defaultRowHeight="14.4" x14ac:dyDescent="0.3"/>
  <cols>
    <col min="2" max="2" width="19.6640625" customWidth="1"/>
    <col min="3" max="3" width="21.44140625" customWidth="1"/>
    <col min="7" max="7" width="11.6640625" customWidth="1"/>
    <col min="8" max="8" width="12.44140625" customWidth="1"/>
  </cols>
  <sheetData>
    <row r="1" spans="2:9" x14ac:dyDescent="0.3">
      <c r="B1" t="s">
        <v>326</v>
      </c>
    </row>
    <row r="2" spans="2:9" x14ac:dyDescent="0.3">
      <c r="B2" s="39" t="s">
        <v>324</v>
      </c>
    </row>
    <row r="4" spans="2:9" x14ac:dyDescent="0.3">
      <c r="B4" s="1" t="s">
        <v>123</v>
      </c>
      <c r="C4" t="s">
        <v>314</v>
      </c>
      <c r="D4" t="s">
        <v>315</v>
      </c>
      <c r="E4" t="s">
        <v>93</v>
      </c>
      <c r="F4" t="s">
        <v>94</v>
      </c>
      <c r="G4" t="s">
        <v>316</v>
      </c>
      <c r="H4" t="s">
        <v>317</v>
      </c>
      <c r="I4" t="s">
        <v>356</v>
      </c>
    </row>
    <row r="5" spans="2:9" x14ac:dyDescent="0.3">
      <c r="B5" t="s">
        <v>318</v>
      </c>
      <c r="C5" s="112">
        <v>40725</v>
      </c>
      <c r="D5" s="50">
        <v>19977</v>
      </c>
      <c r="E5" s="46">
        <v>2.1999999999999999E-2</v>
      </c>
      <c r="F5" s="46">
        <v>1.7999999999999999E-2</v>
      </c>
    </row>
    <row r="6" spans="2:9" x14ac:dyDescent="0.3">
      <c r="B6" t="s">
        <v>319</v>
      </c>
      <c r="C6" s="112">
        <v>41944</v>
      </c>
      <c r="D6" s="50">
        <v>95002</v>
      </c>
      <c r="E6" s="46">
        <v>7.0000000000000001E-3</v>
      </c>
      <c r="F6" s="46">
        <v>1E-3</v>
      </c>
    </row>
    <row r="7" spans="2:9" x14ac:dyDescent="0.3">
      <c r="B7" t="s">
        <v>320</v>
      </c>
      <c r="C7" s="112">
        <v>41456</v>
      </c>
      <c r="D7" s="50">
        <v>85003</v>
      </c>
      <c r="E7" s="46">
        <v>4.0000000000000001E-3</v>
      </c>
      <c r="F7" s="46">
        <v>5.0000000000000001E-3</v>
      </c>
      <c r="G7" s="77">
        <f>2069893/1000000</f>
        <v>2.069893</v>
      </c>
      <c r="H7" s="77">
        <f>143611/1000000</f>
        <v>0.14361099999999999</v>
      </c>
    </row>
    <row r="8" spans="2:9" x14ac:dyDescent="0.3">
      <c r="B8" t="s">
        <v>321</v>
      </c>
      <c r="C8" s="112">
        <v>41913</v>
      </c>
      <c r="D8" s="50">
        <v>115004</v>
      </c>
      <c r="E8" s="46">
        <v>8.0000000000000002E-3</v>
      </c>
      <c r="F8" s="46">
        <v>6.0000000000000001E-3</v>
      </c>
      <c r="G8" s="77">
        <f>3461140/1000000</f>
        <v>3.4611399999999999</v>
      </c>
      <c r="H8" s="77">
        <f>127788/1000000</f>
        <v>0.12778800000000001</v>
      </c>
    </row>
    <row r="10" spans="2:9" x14ac:dyDescent="0.3">
      <c r="B10" t="s">
        <v>322</v>
      </c>
      <c r="E10" s="35">
        <f>(D5*E5+D6*E6)/(D5+D6)</f>
        <v>9.6061715617634536E-3</v>
      </c>
      <c r="F10" s="35">
        <f>(D5*F5+D6*F6)/(D5+D6)</f>
        <v>3.9536611033319123E-3</v>
      </c>
      <c r="I10" t="s">
        <v>327</v>
      </c>
    </row>
    <row r="11" spans="2:9" x14ac:dyDescent="0.3">
      <c r="B11" t="s">
        <v>323</v>
      </c>
      <c r="G11" s="57">
        <f>G7+G8</f>
        <v>5.5310329999999999</v>
      </c>
      <c r="H11" s="77">
        <f>H7+H8</f>
        <v>0.271399</v>
      </c>
      <c r="I11" t="s">
        <v>355</v>
      </c>
    </row>
    <row r="12" spans="2:9" x14ac:dyDescent="0.3">
      <c r="B12" t="s">
        <v>325</v>
      </c>
      <c r="G12" s="77">
        <f>G11*0.5</f>
        <v>2.7655164999999999</v>
      </c>
      <c r="H12" s="77">
        <f>H11*0.5</f>
        <v>0.1356995</v>
      </c>
    </row>
  </sheetData>
  <hyperlinks>
    <hyperlink ref="B2" r:id="rId1"/>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W10"/>
  <sheetViews>
    <sheetView workbookViewId="0">
      <selection activeCell="X1" sqref="X1"/>
    </sheetView>
  </sheetViews>
  <sheetFormatPr defaultRowHeight="14.4" x14ac:dyDescent="0.3"/>
  <sheetData>
    <row r="1" spans="2:23" x14ac:dyDescent="0.3">
      <c r="B1" t="s">
        <v>268</v>
      </c>
    </row>
    <row r="2" spans="2:23" x14ac:dyDescent="0.3">
      <c r="B2" t="s">
        <v>259</v>
      </c>
    </row>
    <row r="3" spans="2:23" x14ac:dyDescent="0.3">
      <c r="B3" s="85" t="s">
        <v>258</v>
      </c>
    </row>
    <row r="4" spans="2:23" x14ac:dyDescent="0.3">
      <c r="B4" t="s">
        <v>260</v>
      </c>
    </row>
    <row r="5" spans="2:23" x14ac:dyDescent="0.3">
      <c r="B5" t="s">
        <v>261</v>
      </c>
    </row>
    <row r="6" spans="2:23" x14ac:dyDescent="0.3">
      <c r="B6" t="s">
        <v>263</v>
      </c>
    </row>
    <row r="7" spans="2:23" x14ac:dyDescent="0.3">
      <c r="B7" t="s">
        <v>267</v>
      </c>
      <c r="H7" t="s">
        <v>262</v>
      </c>
    </row>
    <row r="8" spans="2:23" x14ac:dyDescent="0.3">
      <c r="B8" t="s">
        <v>257</v>
      </c>
      <c r="C8" t="s">
        <v>182</v>
      </c>
      <c r="D8" t="s">
        <v>247</v>
      </c>
      <c r="H8">
        <v>2015</v>
      </c>
      <c r="I8">
        <v>2016</v>
      </c>
      <c r="J8">
        <v>2017</v>
      </c>
      <c r="K8">
        <v>2018</v>
      </c>
      <c r="L8">
        <v>2019</v>
      </c>
      <c r="M8">
        <v>2020</v>
      </c>
      <c r="N8">
        <v>2021</v>
      </c>
      <c r="O8">
        <v>2022</v>
      </c>
      <c r="P8">
        <v>2023</v>
      </c>
      <c r="Q8">
        <v>2024</v>
      </c>
      <c r="R8">
        <v>2025</v>
      </c>
      <c r="S8">
        <v>2026</v>
      </c>
      <c r="T8">
        <v>2027</v>
      </c>
      <c r="U8">
        <v>2028</v>
      </c>
      <c r="V8">
        <v>2029</v>
      </c>
      <c r="W8">
        <v>2030</v>
      </c>
    </row>
    <row r="9" spans="2:23" x14ac:dyDescent="0.3">
      <c r="B9" s="47">
        <v>0.01</v>
      </c>
      <c r="C9" s="47">
        <v>0</v>
      </c>
      <c r="D9" s="47">
        <v>0.03</v>
      </c>
      <c r="H9" s="77">
        <v>0</v>
      </c>
      <c r="I9" s="77">
        <v>0</v>
      </c>
      <c r="J9" s="77">
        <v>0</v>
      </c>
      <c r="K9" s="77">
        <v>0</v>
      </c>
      <c r="L9" s="77">
        <f>($B9*'arch 2018 PGT BRO'!BC26*$D9*'arch 2018 PGT BRO'!$C4/1000000)/2</f>
        <v>0.70130746119027942</v>
      </c>
      <c r="M9" s="77">
        <f>$B9*'arch 2018 PGT BRO'!BD26*$D9*'arch 2018 PGT BRO'!$C4/1000000</f>
        <v>1.4204298654641487</v>
      </c>
      <c r="N9" s="77">
        <f>$B9*'arch 2018 PGT BRO'!BE26*$D9*'arch 2018 PGT BRO'!$C4/1000000</f>
        <v>1.4365684645727914</v>
      </c>
      <c r="O9" s="77">
        <f>$B9*'arch 2018 PGT BRO'!BF26*$D9*'arch 2018 PGT BRO'!$C4/1000000</f>
        <v>1.4526422258922136</v>
      </c>
      <c r="P9" s="77">
        <f>$B9*'arch 2018 PGT BRO'!BG26*$D9*'arch 2018 PGT BRO'!$C4/1000000</f>
        <v>1.4686236901947114</v>
      </c>
      <c r="Q9" s="77">
        <f>$B9*'arch 2018 PGT BRO'!BH26*$D9*'arch 2018 PGT BRO'!$C4/1000000</f>
        <v>1.4832604973328418</v>
      </c>
      <c r="R9" s="77">
        <f>$B9*'arch 2018 PGT BRO'!BI26*$D9*'arch 2018 PGT BRO'!$C4/1000000</f>
        <v>1.4985196184536271</v>
      </c>
      <c r="S9" s="77">
        <f>$B9*'arch 2018 PGT BRO'!BJ26*$D9*'arch 2018 PGT BRO'!$C4/1000000</f>
        <v>1.5121752844866625</v>
      </c>
      <c r="T9" s="77">
        <f>$B9*'arch 2018 PGT BRO'!BK26*$D9*'arch 2018 PGT BRO'!$C4/1000000</f>
        <v>1.5256317882819903</v>
      </c>
      <c r="U9" s="77">
        <f>$B9*'arch 2018 PGT BRO'!BL26*$D9*'arch 2018 PGT BRO'!$C4/1000000</f>
        <v>1.5395973201851949</v>
      </c>
      <c r="V9" s="77">
        <f>$B9*'arch 2018 PGT BRO'!BM26*$D9*'arch 2018 PGT BRO'!$C4/1000000</f>
        <v>1.5535201029317889</v>
      </c>
      <c r="W9" s="77">
        <f>$B9*'arch 2018 PGT BRO'!BN26*$D9*'arch 2018 PGT BRO'!$C4/1000000</f>
        <v>1.5674489488127554</v>
      </c>
    </row>
    <row r="10" spans="2:23" x14ac:dyDescent="0.3">
      <c r="B10" t="s">
        <v>410</v>
      </c>
      <c r="H10" s="77">
        <f>H9*0.5</f>
        <v>0</v>
      </c>
      <c r="I10" s="77">
        <f t="shared" ref="I10:W10" si="0">I9*0.5</f>
        <v>0</v>
      </c>
      <c r="J10" s="77">
        <f t="shared" si="0"/>
        <v>0</v>
      </c>
      <c r="K10" s="77">
        <f t="shared" si="0"/>
        <v>0</v>
      </c>
      <c r="L10" s="77">
        <f t="shared" si="0"/>
        <v>0.35065373059513971</v>
      </c>
      <c r="M10" s="77">
        <f t="shared" si="0"/>
        <v>0.71021493273207437</v>
      </c>
      <c r="N10" s="77">
        <f t="shared" si="0"/>
        <v>0.71828423228639571</v>
      </c>
      <c r="O10" s="77">
        <f t="shared" si="0"/>
        <v>0.72632111294610679</v>
      </c>
      <c r="P10" s="77">
        <f t="shared" si="0"/>
        <v>0.7343118450973557</v>
      </c>
      <c r="Q10" s="77">
        <f t="shared" si="0"/>
        <v>0.74163024866642091</v>
      </c>
      <c r="R10" s="77">
        <f t="shared" si="0"/>
        <v>0.74925980922681357</v>
      </c>
      <c r="S10" s="77">
        <f t="shared" si="0"/>
        <v>0.75608764224333125</v>
      </c>
      <c r="T10" s="77">
        <f t="shared" si="0"/>
        <v>0.76281589414099515</v>
      </c>
      <c r="U10" s="77">
        <f t="shared" si="0"/>
        <v>0.76979866009259745</v>
      </c>
      <c r="V10" s="77">
        <f t="shared" si="0"/>
        <v>0.77676005146589444</v>
      </c>
      <c r="W10" s="77">
        <f t="shared" si="0"/>
        <v>0.78372447440637771</v>
      </c>
    </row>
  </sheetData>
  <hyperlinks>
    <hyperlink ref="B3" r:id="rId1"/>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20"/>
  <sheetViews>
    <sheetView workbookViewId="0">
      <selection activeCell="X1" sqref="X1"/>
    </sheetView>
  </sheetViews>
  <sheetFormatPr defaultRowHeight="14.4" x14ac:dyDescent="0.3"/>
  <cols>
    <col min="2" max="2" width="27.5546875" customWidth="1"/>
    <col min="3" max="3" width="14.5546875" customWidth="1"/>
    <col min="4" max="4" width="14.109375" customWidth="1"/>
    <col min="5" max="5" width="11.6640625" customWidth="1"/>
    <col min="7" max="7" width="26.5546875" customWidth="1"/>
    <col min="8" max="9" width="11.6640625" customWidth="1"/>
    <col min="10" max="10" width="14.44140625" customWidth="1"/>
    <col min="11" max="11" width="11.5546875" customWidth="1"/>
    <col min="12" max="12" width="13.33203125" bestFit="1" customWidth="1"/>
    <col min="13" max="14" width="10.5546875" bestFit="1" customWidth="1"/>
  </cols>
  <sheetData>
    <row r="1" spans="1:15" ht="18" x14ac:dyDescent="0.35">
      <c r="A1" s="9" t="s">
        <v>328</v>
      </c>
    </row>
    <row r="2" spans="1:15" x14ac:dyDescent="0.3">
      <c r="A2" t="s">
        <v>352</v>
      </c>
    </row>
    <row r="3" spans="1:15" x14ac:dyDescent="0.3">
      <c r="A3" s="7" t="s">
        <v>350</v>
      </c>
      <c r="J3" s="36">
        <f>2000/J6</f>
        <v>4.2621554669470011E-4</v>
      </c>
    </row>
    <row r="4" spans="1:15" x14ac:dyDescent="0.3">
      <c r="A4" s="113" t="s">
        <v>351</v>
      </c>
    </row>
    <row r="5" spans="1:15" ht="43.2" x14ac:dyDescent="0.3">
      <c r="A5" s="71" t="s">
        <v>204</v>
      </c>
      <c r="B5" s="61" t="s">
        <v>74</v>
      </c>
      <c r="C5" s="114" t="s">
        <v>329</v>
      </c>
      <c r="D5" s="114" t="s">
        <v>330</v>
      </c>
      <c r="E5" s="114" t="s">
        <v>331</v>
      </c>
      <c r="H5" s="115" t="s">
        <v>332</v>
      </c>
      <c r="I5" s="115" t="s">
        <v>333</v>
      </c>
      <c r="J5" s="116" t="s">
        <v>334</v>
      </c>
      <c r="K5" s="116" t="s">
        <v>335</v>
      </c>
      <c r="L5" s="116" t="s">
        <v>336</v>
      </c>
      <c r="M5" s="116" t="s">
        <v>337</v>
      </c>
      <c r="N5" s="116" t="s">
        <v>338</v>
      </c>
    </row>
    <row r="6" spans="1:15" x14ac:dyDescent="0.3">
      <c r="A6" s="117" t="s">
        <v>121</v>
      </c>
      <c r="B6" s="61" t="s">
        <v>339</v>
      </c>
      <c r="C6" s="118">
        <v>1.5080287597363691E-2</v>
      </c>
      <c r="D6" s="118">
        <v>8.4811264230077888E-3</v>
      </c>
      <c r="E6" s="119">
        <v>0.38594971587593735</v>
      </c>
      <c r="G6" t="s">
        <v>340</v>
      </c>
      <c r="H6" s="120">
        <f>C6*E6</f>
        <v>5.8202327135299381E-3</v>
      </c>
      <c r="I6" s="120">
        <f>D6*E6</f>
        <v>3.2732883332677611E-3</v>
      </c>
      <c r="J6" s="121">
        <v>4692461.3977833334</v>
      </c>
      <c r="K6" s="26">
        <f>J6/SUM(J6:J10)</f>
        <v>0.4441859056783769</v>
      </c>
      <c r="L6" s="54">
        <f>E6*J6</f>
        <v>1811054.1432332813</v>
      </c>
      <c r="M6" s="54">
        <f>C6*K6</f>
        <v>6.6984512043253858E-3</v>
      </c>
      <c r="N6" s="54">
        <f>D6*K6</f>
        <v>3.7671968213765276E-3</v>
      </c>
    </row>
    <row r="7" spans="1:15" x14ac:dyDescent="0.3">
      <c r="A7" s="122"/>
      <c r="B7" s="61" t="s">
        <v>341</v>
      </c>
      <c r="C7" s="123">
        <v>1.0999999999999999E-2</v>
      </c>
      <c r="D7" s="123">
        <v>6.0000000000000001E-3</v>
      </c>
      <c r="E7" s="124">
        <v>0.27210000000000001</v>
      </c>
      <c r="H7" s="120">
        <f t="shared" ref="H7:H11" si="0">C7*E7</f>
        <v>2.9930999999999998E-3</v>
      </c>
      <c r="I7" s="120">
        <f t="shared" ref="I7:I11" si="1">D7*E7</f>
        <v>1.6326000000000001E-3</v>
      </c>
      <c r="J7" s="121"/>
    </row>
    <row r="8" spans="1:15" x14ac:dyDescent="0.3">
      <c r="A8" s="117" t="s">
        <v>122</v>
      </c>
      <c r="B8" s="61" t="s">
        <v>339</v>
      </c>
      <c r="C8" s="125">
        <v>0.01</v>
      </c>
      <c r="D8" s="125">
        <f>D9</f>
        <v>1.3899999999999999E-2</v>
      </c>
      <c r="E8" s="62">
        <v>1.5441384595204728E-2</v>
      </c>
      <c r="G8" t="s">
        <v>342</v>
      </c>
      <c r="H8" s="126">
        <f t="shared" si="0"/>
        <v>1.5441384595204729E-4</v>
      </c>
      <c r="I8" s="120">
        <f>I9</f>
        <v>1.3899999999999999E-2</v>
      </c>
      <c r="J8" s="121">
        <v>4652023.1344930558</v>
      </c>
      <c r="K8" s="26">
        <f>J8/SUM(J6:J10)</f>
        <v>0.44035804113544474</v>
      </c>
    </row>
    <row r="9" spans="1:15" x14ac:dyDescent="0.3">
      <c r="A9" s="122"/>
      <c r="B9" s="61" t="s">
        <v>341</v>
      </c>
      <c r="C9" s="125">
        <v>0.01</v>
      </c>
      <c r="D9" s="125">
        <f>I9</f>
        <v>1.3899999999999999E-2</v>
      </c>
      <c r="E9" s="127">
        <v>0.17</v>
      </c>
      <c r="G9" t="s">
        <v>343</v>
      </c>
      <c r="H9" s="120">
        <f t="shared" si="0"/>
        <v>1.7000000000000001E-3</v>
      </c>
      <c r="I9" s="120">
        <v>1.3899999999999999E-2</v>
      </c>
      <c r="K9" s="26"/>
      <c r="O9" t="s">
        <v>368</v>
      </c>
    </row>
    <row r="10" spans="1:15" x14ac:dyDescent="0.3">
      <c r="A10" s="117" t="s">
        <v>123</v>
      </c>
      <c r="B10" s="61" t="s">
        <v>339</v>
      </c>
      <c r="C10" s="125">
        <v>9.6061715617634536E-3</v>
      </c>
      <c r="D10" s="125">
        <v>3.9536611033319123E-3</v>
      </c>
      <c r="E10" s="62">
        <v>9.2975057917867809E-2</v>
      </c>
      <c r="G10" t="s">
        <v>324</v>
      </c>
      <c r="H10" s="120">
        <f t="shared" si="0"/>
        <v>8.931343573239318E-4</v>
      </c>
      <c r="I10" s="126">
        <f t="shared" si="1"/>
        <v>3.6759187006990567E-4</v>
      </c>
      <c r="J10" s="121">
        <v>1219698.9273874999</v>
      </c>
      <c r="K10" s="26">
        <f>J10/SUM(J6:J10)</f>
        <v>0.1154560531861784</v>
      </c>
    </row>
    <row r="11" spans="1:15" x14ac:dyDescent="0.3">
      <c r="A11" s="122"/>
      <c r="B11" s="61" t="s">
        <v>341</v>
      </c>
      <c r="C11" s="128">
        <v>2.3E-2</v>
      </c>
      <c r="D11" s="128">
        <v>1.9E-2</v>
      </c>
      <c r="E11" s="129">
        <v>0.04</v>
      </c>
      <c r="H11" s="120">
        <f t="shared" si="0"/>
        <v>9.2000000000000003E-4</v>
      </c>
      <c r="I11" s="120">
        <f t="shared" si="1"/>
        <v>7.6000000000000004E-4</v>
      </c>
    </row>
    <row r="12" spans="1:15" x14ac:dyDescent="0.3">
      <c r="A12" s="3" t="s">
        <v>344</v>
      </c>
      <c r="B12" s="3"/>
      <c r="C12" s="130">
        <f>(C6*K$6+C8*K$8+C10*K$10)/SUM(K$6:K$10)</f>
        <v>1.221112227043035E-2</v>
      </c>
      <c r="D12" s="130">
        <f>(D6*K$6+D8*K$8+D10*K$10)/SUM(K$6:K$10)</f>
        <v>1.0344647699785624E-2</v>
      </c>
      <c r="E12" s="131"/>
      <c r="H12" s="132">
        <f>(H6*K6+H8*K8+H10*K10)/SUM(K6:K10)</f>
        <v>2.7563804857074423E-3</v>
      </c>
      <c r="I12" s="132">
        <f>(I6*K6+I8*K8+I10*K10)/SUM(K6:K10)</f>
        <v>7.6173660211432846E-3</v>
      </c>
      <c r="J12" s="1" t="s">
        <v>353</v>
      </c>
    </row>
    <row r="13" spans="1:15" x14ac:dyDescent="0.3">
      <c r="A13" s="3" t="s">
        <v>345</v>
      </c>
      <c r="C13" s="130">
        <f>(C7*K$6+C9*K$8+C11*K$10)/SUM(K$6:K$10)</f>
        <v>1.1945114597098697E-2</v>
      </c>
      <c r="D13" s="130">
        <f>(D7*K$6+D9*K$8+D11*K$10)/SUM(K$6:K$10)</f>
        <v>1.0979757216390332E-2</v>
      </c>
      <c r="H13" s="133">
        <f>(H7*K6+H9*K8+H11*K10)/SUM(K6:K10)</f>
        <v>2.1843210731474902E-3</v>
      </c>
      <c r="I13" s="36">
        <f>(I7*K6+I9*K8+I11*K10)/SUM(K6:K10)</f>
        <v>6.933901281814695E-3</v>
      </c>
    </row>
    <row r="14" spans="1:15" x14ac:dyDescent="0.3">
      <c r="A14" s="137" t="s">
        <v>369</v>
      </c>
      <c r="H14" s="133"/>
      <c r="I14" s="36"/>
      <c r="J14" s="54"/>
    </row>
    <row r="15" spans="1:15" x14ac:dyDescent="0.3">
      <c r="A15" s="3"/>
      <c r="C15" s="35">
        <f>C12*0.5</f>
        <v>6.1055611352151748E-3</v>
      </c>
      <c r="D15" s="35">
        <f>D12*0.5</f>
        <v>5.1723238498928119E-3</v>
      </c>
      <c r="E15" s="26">
        <f>37.5%</f>
        <v>0.375</v>
      </c>
      <c r="H15" s="133">
        <f>C15*E15</f>
        <v>2.2895854257056905E-3</v>
      </c>
      <c r="I15" s="36">
        <f>D15*E15</f>
        <v>1.9396214437098045E-3</v>
      </c>
    </row>
    <row r="16" spans="1:15" x14ac:dyDescent="0.3">
      <c r="A16" s="3"/>
      <c r="E16" s="26"/>
      <c r="H16" s="133"/>
      <c r="I16" s="36"/>
    </row>
    <row r="17" spans="1:10" x14ac:dyDescent="0.3">
      <c r="A17" s="1" t="s">
        <v>346</v>
      </c>
      <c r="H17" s="134">
        <f>H12/H13</f>
        <v>1.2618934641030795</v>
      </c>
      <c r="I17" s="134">
        <f>I12/I13</f>
        <v>1.0985685707872839</v>
      </c>
      <c r="J17" s="1" t="s">
        <v>354</v>
      </c>
    </row>
    <row r="18" spans="1:10" x14ac:dyDescent="0.3">
      <c r="A18" t="s">
        <v>347</v>
      </c>
    </row>
    <row r="19" spans="1:10" x14ac:dyDescent="0.3">
      <c r="A19" t="s">
        <v>348</v>
      </c>
    </row>
    <row r="20" spans="1:10" x14ac:dyDescent="0.3">
      <c r="A20" t="s">
        <v>349</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B568"/>
  <sheetViews>
    <sheetView topLeftCell="A527" workbookViewId="0">
      <selection activeCell="X1" sqref="X1"/>
    </sheetView>
  </sheetViews>
  <sheetFormatPr defaultRowHeight="14.4" x14ac:dyDescent="0.3"/>
  <cols>
    <col min="2" max="2" width="32.88671875" bestFit="1" customWidth="1"/>
    <col min="3" max="3" width="6.5546875" bestFit="1" customWidth="1"/>
    <col min="4" max="4" width="7" bestFit="1" customWidth="1"/>
    <col min="5" max="5" width="23.44140625" bestFit="1" customWidth="1"/>
    <col min="6" max="6" width="12.33203125" bestFit="1" customWidth="1"/>
    <col min="7" max="7" width="18.33203125" bestFit="1" customWidth="1"/>
    <col min="8" max="8" width="12" bestFit="1" customWidth="1"/>
    <col min="9" max="9" width="44.44140625" bestFit="1" customWidth="1"/>
    <col min="10" max="10" width="19.5546875" bestFit="1" customWidth="1"/>
    <col min="11" max="25" width="10.109375" bestFit="1" customWidth="1"/>
    <col min="26" max="26" width="20.5546875" bestFit="1" customWidth="1"/>
    <col min="27" max="27" width="12" bestFit="1" customWidth="1"/>
    <col min="28" max="28" width="21.5546875" bestFit="1" customWidth="1"/>
    <col min="29" max="29" width="12" bestFit="1" customWidth="1"/>
  </cols>
  <sheetData>
    <row r="1" spans="1:28" x14ac:dyDescent="0.3">
      <c r="A1" s="1" t="s">
        <v>201</v>
      </c>
    </row>
    <row r="3" spans="1:28" s="1" customFormat="1" x14ac:dyDescent="0.3">
      <c r="K3" s="338" t="s">
        <v>202</v>
      </c>
      <c r="L3" s="338"/>
      <c r="M3" s="338"/>
      <c r="N3" s="338"/>
      <c r="O3" s="338"/>
      <c r="P3" s="338"/>
      <c r="Q3" s="338"/>
      <c r="R3" s="338"/>
      <c r="S3" s="338"/>
      <c r="T3" s="338"/>
      <c r="U3" s="338"/>
      <c r="V3" s="338"/>
      <c r="W3" s="338"/>
      <c r="X3" s="338"/>
      <c r="Y3" s="338"/>
    </row>
    <row r="4" spans="1:28" s="65" customFormat="1" x14ac:dyDescent="0.3">
      <c r="B4" s="66" t="s">
        <v>203</v>
      </c>
      <c r="C4" s="66" t="s">
        <v>91</v>
      </c>
      <c r="D4" s="66" t="s">
        <v>204</v>
      </c>
      <c r="E4" s="66" t="s">
        <v>30</v>
      </c>
      <c r="F4" s="66" t="s">
        <v>205</v>
      </c>
      <c r="G4" s="66" t="s">
        <v>206</v>
      </c>
      <c r="H4" s="66" t="s">
        <v>207</v>
      </c>
      <c r="I4" s="66" t="s">
        <v>208</v>
      </c>
      <c r="J4" s="66" t="s">
        <v>209</v>
      </c>
      <c r="K4" s="66">
        <v>2016</v>
      </c>
      <c r="L4" s="66">
        <v>2017</v>
      </c>
      <c r="M4" s="66">
        <v>2018</v>
      </c>
      <c r="N4" s="66">
        <v>2019</v>
      </c>
      <c r="O4" s="66">
        <v>2020</v>
      </c>
      <c r="P4" s="66">
        <v>2021</v>
      </c>
      <c r="Q4" s="66">
        <v>2022</v>
      </c>
      <c r="R4" s="66">
        <v>2023</v>
      </c>
      <c r="S4" s="66">
        <v>2024</v>
      </c>
      <c r="T4" s="66">
        <v>2025</v>
      </c>
      <c r="U4" s="66">
        <v>2026</v>
      </c>
      <c r="V4" s="66">
        <v>2027</v>
      </c>
      <c r="W4" s="66">
        <v>2028</v>
      </c>
      <c r="X4" s="66">
        <v>2029</v>
      </c>
      <c r="Y4" s="66">
        <v>2030</v>
      </c>
      <c r="Z4" s="66" t="s">
        <v>210</v>
      </c>
      <c r="AA4" s="66" t="s">
        <v>96</v>
      </c>
      <c r="AB4" s="66" t="s">
        <v>211</v>
      </c>
    </row>
    <row r="5" spans="1:28" x14ac:dyDescent="0.3">
      <c r="B5" s="61" t="s">
        <v>212</v>
      </c>
      <c r="C5" s="61" t="s">
        <v>89</v>
      </c>
      <c r="D5" s="61" t="s">
        <v>121</v>
      </c>
      <c r="E5" s="61" t="s">
        <v>213</v>
      </c>
      <c r="F5" s="61" t="s">
        <v>93</v>
      </c>
      <c r="G5" s="62">
        <v>0.98</v>
      </c>
      <c r="H5" s="61">
        <v>1</v>
      </c>
      <c r="I5" s="61" t="s">
        <v>214</v>
      </c>
      <c r="J5" s="61" t="s">
        <v>215</v>
      </c>
      <c r="K5" s="67">
        <v>1.1239162897965052E-2</v>
      </c>
      <c r="L5" s="67">
        <v>1.1239162897965052E-2</v>
      </c>
      <c r="M5" s="67">
        <v>1.1239162897965052E-2</v>
      </c>
      <c r="N5" s="67">
        <v>1.1239162897965052E-2</v>
      </c>
      <c r="O5" s="67">
        <v>1.1239162897965052E-2</v>
      </c>
      <c r="P5" s="67">
        <v>1.1239162897965052E-2</v>
      </c>
      <c r="Q5" s="67">
        <v>1.1239162897965052E-2</v>
      </c>
      <c r="R5" s="67">
        <v>1.1239162897965052E-2</v>
      </c>
      <c r="S5" s="67">
        <v>1.1239162897965052E-2</v>
      </c>
      <c r="T5" s="67">
        <v>1.1239162897965052E-2</v>
      </c>
      <c r="U5" s="67">
        <v>1.1239162897965052E-2</v>
      </c>
      <c r="V5" s="67">
        <v>1.1239162897965052E-2</v>
      </c>
      <c r="W5" s="67">
        <v>1.1239162897965052E-2</v>
      </c>
      <c r="X5" s="67">
        <v>1.1239162897965052E-2</v>
      </c>
      <c r="Y5" s="67">
        <v>1.1239162897965052E-2</v>
      </c>
      <c r="Z5" s="61" t="s">
        <v>216</v>
      </c>
      <c r="AA5" s="68">
        <v>8.8168640974757531E-2</v>
      </c>
      <c r="AB5" s="69">
        <v>1.9057916741777945E-4</v>
      </c>
    </row>
    <row r="6" spans="1:28" x14ac:dyDescent="0.3">
      <c r="B6" s="61" t="s">
        <v>212</v>
      </c>
      <c r="C6" s="61" t="s">
        <v>89</v>
      </c>
      <c r="D6" s="61" t="s">
        <v>121</v>
      </c>
      <c r="E6" s="61" t="s">
        <v>217</v>
      </c>
      <c r="F6" s="61" t="s">
        <v>93</v>
      </c>
      <c r="G6" s="62">
        <v>0.88</v>
      </c>
      <c r="H6" s="61">
        <v>1</v>
      </c>
      <c r="I6" s="61" t="s">
        <v>214</v>
      </c>
      <c r="J6" s="61" t="s">
        <v>215</v>
      </c>
      <c r="K6" s="67">
        <v>1.1239162897965052E-2</v>
      </c>
      <c r="L6" s="67">
        <v>1.1239162897965052E-2</v>
      </c>
      <c r="M6" s="67">
        <v>1.1239162897965052E-2</v>
      </c>
      <c r="N6" s="67">
        <v>1.1239162897965052E-2</v>
      </c>
      <c r="O6" s="67">
        <v>1.1239162897965052E-2</v>
      </c>
      <c r="P6" s="67">
        <v>1.1239162897965052E-2</v>
      </c>
      <c r="Q6" s="67">
        <v>1.1239162897965052E-2</v>
      </c>
      <c r="R6" s="67">
        <v>1.1239162897965052E-2</v>
      </c>
      <c r="S6" s="67">
        <v>1.1239162897965052E-2</v>
      </c>
      <c r="T6" s="67">
        <v>1.1239162897965052E-2</v>
      </c>
      <c r="U6" s="67">
        <v>1.1239162897965052E-2</v>
      </c>
      <c r="V6" s="67">
        <v>1.1239162897965052E-2</v>
      </c>
      <c r="W6" s="67">
        <v>1.1239162897965052E-2</v>
      </c>
      <c r="X6" s="67">
        <v>1.1239162897965052E-2</v>
      </c>
      <c r="Y6" s="67">
        <v>1.1239162897965052E-2</v>
      </c>
      <c r="Z6" s="61" t="s">
        <v>216</v>
      </c>
      <c r="AA6" s="68">
        <v>8.8168640974757531E-2</v>
      </c>
      <c r="AB6" s="69">
        <v>1.9057916741777945E-4</v>
      </c>
    </row>
    <row r="7" spans="1:28" x14ac:dyDescent="0.3">
      <c r="B7" s="61" t="s">
        <v>212</v>
      </c>
      <c r="C7" s="61" t="s">
        <v>89</v>
      </c>
      <c r="D7" s="61" t="s">
        <v>121</v>
      </c>
      <c r="E7" s="61" t="s">
        <v>213</v>
      </c>
      <c r="F7" s="61" t="s">
        <v>94</v>
      </c>
      <c r="G7" s="62">
        <v>0.98</v>
      </c>
      <c r="H7" s="61">
        <v>1</v>
      </c>
      <c r="I7" s="61" t="s">
        <v>218</v>
      </c>
      <c r="J7" s="61" t="s">
        <v>215</v>
      </c>
      <c r="K7" s="67">
        <v>5.9441229025999085E-3</v>
      </c>
      <c r="L7" s="67">
        <v>5.9441229025999085E-3</v>
      </c>
      <c r="M7" s="67">
        <v>5.9441229025999085E-3</v>
      </c>
      <c r="N7" s="67">
        <v>5.9441229025999085E-3</v>
      </c>
      <c r="O7" s="67">
        <v>5.9441229025999085E-3</v>
      </c>
      <c r="P7" s="67">
        <v>5.9441229025999085E-3</v>
      </c>
      <c r="Q7" s="67">
        <v>5.9441229025999085E-3</v>
      </c>
      <c r="R7" s="67">
        <v>5.9441229025999085E-3</v>
      </c>
      <c r="S7" s="67">
        <v>5.9441229025999085E-3</v>
      </c>
      <c r="T7" s="67">
        <v>5.9441229025999085E-3</v>
      </c>
      <c r="U7" s="67">
        <v>5.9441229025999085E-3</v>
      </c>
      <c r="V7" s="67">
        <v>5.9441229025999085E-3</v>
      </c>
      <c r="W7" s="67">
        <v>5.9441229025999085E-3</v>
      </c>
      <c r="X7" s="67">
        <v>5.9441229025999085E-3</v>
      </c>
      <c r="Y7" s="67">
        <v>5.9441229025999085E-3</v>
      </c>
      <c r="Z7" s="61" t="s">
        <v>216</v>
      </c>
      <c r="AA7" s="68">
        <v>0</v>
      </c>
      <c r="AB7" s="69">
        <v>0</v>
      </c>
    </row>
    <row r="8" spans="1:28" x14ac:dyDescent="0.3">
      <c r="B8" s="61" t="s">
        <v>212</v>
      </c>
      <c r="C8" s="61" t="s">
        <v>89</v>
      </c>
      <c r="D8" s="61" t="s">
        <v>121</v>
      </c>
      <c r="E8" s="61" t="s">
        <v>217</v>
      </c>
      <c r="F8" s="61" t="s">
        <v>94</v>
      </c>
      <c r="G8" s="62">
        <v>0.88</v>
      </c>
      <c r="H8" s="61">
        <v>1</v>
      </c>
      <c r="I8" s="61" t="s">
        <v>218</v>
      </c>
      <c r="J8" s="61" t="s">
        <v>215</v>
      </c>
      <c r="K8" s="67">
        <v>5.9441229025999085E-3</v>
      </c>
      <c r="L8" s="67">
        <v>5.9441229025999085E-3</v>
      </c>
      <c r="M8" s="67">
        <v>5.9441229025999085E-3</v>
      </c>
      <c r="N8" s="67">
        <v>5.9441229025999085E-3</v>
      </c>
      <c r="O8" s="67">
        <v>5.9441229025999085E-3</v>
      </c>
      <c r="P8" s="67">
        <v>5.9441229025999085E-3</v>
      </c>
      <c r="Q8" s="67">
        <v>5.9441229025999085E-3</v>
      </c>
      <c r="R8" s="67">
        <v>5.9441229025999085E-3</v>
      </c>
      <c r="S8" s="67">
        <v>5.9441229025999085E-3</v>
      </c>
      <c r="T8" s="67">
        <v>5.9441229025999085E-3</v>
      </c>
      <c r="U8" s="67">
        <v>5.9441229025999085E-3</v>
      </c>
      <c r="V8" s="67">
        <v>5.9441229025999085E-3</v>
      </c>
      <c r="W8" s="67">
        <v>5.9441229025999085E-3</v>
      </c>
      <c r="X8" s="67">
        <v>5.9441229025999085E-3</v>
      </c>
      <c r="Y8" s="67">
        <v>5.9441229025999085E-3</v>
      </c>
      <c r="Z8" s="61" t="s">
        <v>216</v>
      </c>
      <c r="AA8" s="68">
        <v>0</v>
      </c>
      <c r="AB8" s="69">
        <v>0</v>
      </c>
    </row>
    <row r="9" spans="1:28" x14ac:dyDescent="0.3">
      <c r="B9" s="61" t="s">
        <v>212</v>
      </c>
      <c r="C9" s="61" t="s">
        <v>89</v>
      </c>
      <c r="D9" s="61" t="s">
        <v>122</v>
      </c>
      <c r="E9" s="61" t="s">
        <v>213</v>
      </c>
      <c r="F9" s="61" t="s">
        <v>93</v>
      </c>
      <c r="G9" s="62">
        <v>0.98</v>
      </c>
      <c r="H9" s="61">
        <v>1</v>
      </c>
      <c r="I9" s="61" t="s">
        <v>214</v>
      </c>
      <c r="J9" s="61" t="s">
        <v>215</v>
      </c>
      <c r="K9" s="67">
        <v>9.9216688076608668E-3</v>
      </c>
      <c r="L9" s="67">
        <v>9.9216688076608668E-3</v>
      </c>
      <c r="M9" s="67">
        <v>9.9216688076608668E-3</v>
      </c>
      <c r="N9" s="67">
        <v>9.9216688076608668E-3</v>
      </c>
      <c r="O9" s="67">
        <v>9.9216688076608668E-3</v>
      </c>
      <c r="P9" s="67">
        <v>9.9216688076608668E-3</v>
      </c>
      <c r="Q9" s="67">
        <v>9.9216688076608668E-3</v>
      </c>
      <c r="R9" s="67">
        <v>9.9216688076608668E-3</v>
      </c>
      <c r="S9" s="67">
        <v>9.9216688076608668E-3</v>
      </c>
      <c r="T9" s="67">
        <v>9.9216688076608668E-3</v>
      </c>
      <c r="U9" s="67">
        <v>9.9216688076608668E-3</v>
      </c>
      <c r="V9" s="67">
        <v>9.9216688076608668E-3</v>
      </c>
      <c r="W9" s="67">
        <v>9.9216688076608668E-3</v>
      </c>
      <c r="X9" s="67">
        <v>9.9216688076608668E-3</v>
      </c>
      <c r="Y9" s="67">
        <v>9.9216688076608668E-3</v>
      </c>
      <c r="Z9" s="61" t="s">
        <v>216</v>
      </c>
      <c r="AA9" s="68">
        <v>8.6921621042536049E-2</v>
      </c>
      <c r="AB9" s="69">
        <v>1.9057916741777945E-4</v>
      </c>
    </row>
    <row r="10" spans="1:28" x14ac:dyDescent="0.3">
      <c r="B10" s="61" t="s">
        <v>212</v>
      </c>
      <c r="C10" s="61" t="s">
        <v>89</v>
      </c>
      <c r="D10" s="61" t="s">
        <v>122</v>
      </c>
      <c r="E10" s="61" t="s">
        <v>217</v>
      </c>
      <c r="F10" s="61" t="s">
        <v>93</v>
      </c>
      <c r="G10" s="62">
        <v>0.88</v>
      </c>
      <c r="H10" s="61">
        <v>1</v>
      </c>
      <c r="I10" s="61" t="s">
        <v>214</v>
      </c>
      <c r="J10" s="61" t="s">
        <v>215</v>
      </c>
      <c r="K10" s="67">
        <v>9.9216688076608668E-3</v>
      </c>
      <c r="L10" s="67">
        <v>9.9216688076608668E-3</v>
      </c>
      <c r="M10" s="67">
        <v>9.9216688076608668E-3</v>
      </c>
      <c r="N10" s="67">
        <v>9.9216688076608668E-3</v>
      </c>
      <c r="O10" s="67">
        <v>9.9216688076608668E-3</v>
      </c>
      <c r="P10" s="67">
        <v>9.9216688076608668E-3</v>
      </c>
      <c r="Q10" s="67">
        <v>9.9216688076608668E-3</v>
      </c>
      <c r="R10" s="67">
        <v>9.9216688076608668E-3</v>
      </c>
      <c r="S10" s="67">
        <v>9.9216688076608668E-3</v>
      </c>
      <c r="T10" s="67">
        <v>9.9216688076608668E-3</v>
      </c>
      <c r="U10" s="67">
        <v>9.9216688076608668E-3</v>
      </c>
      <c r="V10" s="67">
        <v>9.9216688076608668E-3</v>
      </c>
      <c r="W10" s="67">
        <v>9.9216688076608668E-3</v>
      </c>
      <c r="X10" s="67">
        <v>9.9216688076608668E-3</v>
      </c>
      <c r="Y10" s="67">
        <v>9.9216688076608668E-3</v>
      </c>
      <c r="Z10" s="61" t="s">
        <v>216</v>
      </c>
      <c r="AA10" s="68">
        <v>8.6921621042536049E-2</v>
      </c>
      <c r="AB10" s="69">
        <v>1.9057916741777945E-4</v>
      </c>
    </row>
    <row r="11" spans="1:28" x14ac:dyDescent="0.3">
      <c r="B11" s="61" t="s">
        <v>212</v>
      </c>
      <c r="C11" s="61" t="s">
        <v>89</v>
      </c>
      <c r="D11" s="61" t="s">
        <v>200</v>
      </c>
      <c r="E11" s="61" t="s">
        <v>213</v>
      </c>
      <c r="F11" s="61" t="s">
        <v>94</v>
      </c>
      <c r="G11" s="62">
        <v>0.98</v>
      </c>
      <c r="H11" s="61">
        <v>1</v>
      </c>
      <c r="I11" s="61" t="s">
        <v>218</v>
      </c>
      <c r="J11" s="61" t="s">
        <v>215</v>
      </c>
      <c r="K11" s="67">
        <v>1.3897187145853146E-2</v>
      </c>
      <c r="L11" s="67">
        <v>1.3897187145853146E-2</v>
      </c>
      <c r="M11" s="67">
        <v>1.3897187145853146E-2</v>
      </c>
      <c r="N11" s="67">
        <v>1.3897187145853146E-2</v>
      </c>
      <c r="O11" s="67">
        <v>1.3897187145853146E-2</v>
      </c>
      <c r="P11" s="67">
        <v>1.3897187145853146E-2</v>
      </c>
      <c r="Q11" s="67">
        <v>1.3897187145853146E-2</v>
      </c>
      <c r="R11" s="67">
        <v>1.3897187145853146E-2</v>
      </c>
      <c r="S11" s="67">
        <v>1.3897187145853146E-2</v>
      </c>
      <c r="T11" s="67">
        <v>1.3897187145853146E-2</v>
      </c>
      <c r="U11" s="67">
        <v>1.3897187145853146E-2</v>
      </c>
      <c r="V11" s="67">
        <v>1.3897187145853146E-2</v>
      </c>
      <c r="W11" s="67">
        <v>1.3897187145853146E-2</v>
      </c>
      <c r="X11" s="67">
        <v>1.3897187145853146E-2</v>
      </c>
      <c r="Y11" s="67">
        <v>1.3897187145853146E-2</v>
      </c>
      <c r="Z11" s="61" t="s">
        <v>216</v>
      </c>
      <c r="AA11" s="68">
        <v>3.0597453774484689</v>
      </c>
      <c r="AB11" s="69">
        <v>0</v>
      </c>
    </row>
    <row r="12" spans="1:28" x14ac:dyDescent="0.3">
      <c r="B12" s="61" t="s">
        <v>212</v>
      </c>
      <c r="C12" s="61" t="s">
        <v>89</v>
      </c>
      <c r="D12" s="61" t="s">
        <v>200</v>
      </c>
      <c r="E12" s="61" t="s">
        <v>217</v>
      </c>
      <c r="F12" s="61" t="s">
        <v>94</v>
      </c>
      <c r="G12" s="62">
        <v>0.88</v>
      </c>
      <c r="H12" s="61">
        <v>1</v>
      </c>
      <c r="I12" s="61" t="s">
        <v>218</v>
      </c>
      <c r="J12" s="61" t="s">
        <v>215</v>
      </c>
      <c r="K12" s="67">
        <v>1.3897187145853146E-2</v>
      </c>
      <c r="L12" s="67">
        <v>1.3897187145853146E-2</v>
      </c>
      <c r="M12" s="67">
        <v>1.3897187145853146E-2</v>
      </c>
      <c r="N12" s="67">
        <v>1.3897187145853146E-2</v>
      </c>
      <c r="O12" s="67">
        <v>1.3897187145853146E-2</v>
      </c>
      <c r="P12" s="67">
        <v>1.3897187145853146E-2</v>
      </c>
      <c r="Q12" s="67">
        <v>1.3897187145853146E-2</v>
      </c>
      <c r="R12" s="67">
        <v>1.3897187145853146E-2</v>
      </c>
      <c r="S12" s="67">
        <v>1.3897187145853146E-2</v>
      </c>
      <c r="T12" s="67">
        <v>1.3897187145853146E-2</v>
      </c>
      <c r="U12" s="67">
        <v>1.3897187145853146E-2</v>
      </c>
      <c r="V12" s="67">
        <v>1.3897187145853146E-2</v>
      </c>
      <c r="W12" s="67">
        <v>1.3897187145853146E-2</v>
      </c>
      <c r="X12" s="67">
        <v>1.3897187145853146E-2</v>
      </c>
      <c r="Y12" s="67">
        <v>1.3897187145853146E-2</v>
      </c>
      <c r="Z12" s="61" t="s">
        <v>216</v>
      </c>
      <c r="AA12" s="68">
        <v>3.0597453774484689</v>
      </c>
      <c r="AB12" s="69">
        <v>0</v>
      </c>
    </row>
    <row r="13" spans="1:28" x14ac:dyDescent="0.3">
      <c r="B13" s="61" t="s">
        <v>212</v>
      </c>
      <c r="C13" s="61" t="s">
        <v>89</v>
      </c>
      <c r="D13" s="61" t="s">
        <v>123</v>
      </c>
      <c r="E13" s="61" t="s">
        <v>213</v>
      </c>
      <c r="F13" s="61" t="s">
        <v>93</v>
      </c>
      <c r="G13" s="62">
        <v>0.98</v>
      </c>
      <c r="H13" s="61">
        <v>1</v>
      </c>
      <c r="I13" s="61" t="s">
        <v>214</v>
      </c>
      <c r="J13" s="61" t="s">
        <v>215</v>
      </c>
      <c r="K13" s="67">
        <v>2.2675903343975758E-2</v>
      </c>
      <c r="L13" s="67">
        <v>2.2675903343975758E-2</v>
      </c>
      <c r="M13" s="67">
        <v>2.2675903343975758E-2</v>
      </c>
      <c r="N13" s="67">
        <v>2.2675903343975758E-2</v>
      </c>
      <c r="O13" s="67">
        <v>2.2675903343975758E-2</v>
      </c>
      <c r="P13" s="67">
        <v>2.2675903343975758E-2</v>
      </c>
      <c r="Q13" s="67">
        <v>2.2675903343975758E-2</v>
      </c>
      <c r="R13" s="67">
        <v>2.2675903343975758E-2</v>
      </c>
      <c r="S13" s="67">
        <v>2.2675903343975758E-2</v>
      </c>
      <c r="T13" s="67">
        <v>2.2675903343975758E-2</v>
      </c>
      <c r="U13" s="67">
        <v>2.2675903343975758E-2</v>
      </c>
      <c r="V13" s="67">
        <v>2.2675903343975758E-2</v>
      </c>
      <c r="W13" s="67">
        <v>2.2675903343975758E-2</v>
      </c>
      <c r="X13" s="67">
        <v>2.2675903343975758E-2</v>
      </c>
      <c r="Y13" s="67">
        <v>2.2675903343975758E-2</v>
      </c>
      <c r="Z13" s="61" t="s">
        <v>216</v>
      </c>
      <c r="AA13" s="68">
        <v>0.28630884765546555</v>
      </c>
      <c r="AB13" s="69">
        <v>1.9057916741777945E-4</v>
      </c>
    </row>
    <row r="14" spans="1:28" x14ac:dyDescent="0.3">
      <c r="B14" s="61" t="s">
        <v>212</v>
      </c>
      <c r="C14" s="61" t="s">
        <v>89</v>
      </c>
      <c r="D14" s="61" t="s">
        <v>123</v>
      </c>
      <c r="E14" s="61" t="s">
        <v>217</v>
      </c>
      <c r="F14" s="61" t="s">
        <v>93</v>
      </c>
      <c r="G14" s="62">
        <v>0.88</v>
      </c>
      <c r="H14" s="61">
        <v>1</v>
      </c>
      <c r="I14" s="61" t="s">
        <v>214</v>
      </c>
      <c r="J14" s="61" t="s">
        <v>215</v>
      </c>
      <c r="K14" s="67">
        <v>2.2675903343975758E-2</v>
      </c>
      <c r="L14" s="67">
        <v>2.2675903343975758E-2</v>
      </c>
      <c r="M14" s="67">
        <v>2.2675903343975758E-2</v>
      </c>
      <c r="N14" s="67">
        <v>2.2675903343975758E-2</v>
      </c>
      <c r="O14" s="67">
        <v>2.2675903343975758E-2</v>
      </c>
      <c r="P14" s="67">
        <v>2.2675903343975758E-2</v>
      </c>
      <c r="Q14" s="67">
        <v>2.2675903343975758E-2</v>
      </c>
      <c r="R14" s="67">
        <v>2.2675903343975758E-2</v>
      </c>
      <c r="S14" s="67">
        <v>2.2675903343975758E-2</v>
      </c>
      <c r="T14" s="67">
        <v>2.2675903343975758E-2</v>
      </c>
      <c r="U14" s="67">
        <v>2.2675903343975758E-2</v>
      </c>
      <c r="V14" s="67">
        <v>2.2675903343975758E-2</v>
      </c>
      <c r="W14" s="67">
        <v>2.2675903343975758E-2</v>
      </c>
      <c r="X14" s="67">
        <v>2.2675903343975758E-2</v>
      </c>
      <c r="Y14" s="67">
        <v>2.2675903343975758E-2</v>
      </c>
      <c r="Z14" s="61" t="s">
        <v>216</v>
      </c>
      <c r="AA14" s="68">
        <v>0.28630884765546555</v>
      </c>
      <c r="AB14" s="69">
        <v>1.9057916741777945E-4</v>
      </c>
    </row>
    <row r="15" spans="1:28" x14ac:dyDescent="0.3">
      <c r="B15" s="61" t="s">
        <v>212</v>
      </c>
      <c r="C15" s="61" t="s">
        <v>89</v>
      </c>
      <c r="D15" s="61" t="s">
        <v>123</v>
      </c>
      <c r="E15" s="61" t="s">
        <v>213</v>
      </c>
      <c r="F15" s="61" t="s">
        <v>94</v>
      </c>
      <c r="G15" s="62">
        <v>0.98</v>
      </c>
      <c r="H15" s="61">
        <v>1</v>
      </c>
      <c r="I15" s="61" t="s">
        <v>218</v>
      </c>
      <c r="J15" s="61" t="s">
        <v>215</v>
      </c>
      <c r="K15" s="67">
        <v>1.9186276619329833E-2</v>
      </c>
      <c r="L15" s="67">
        <v>1.9186276619329833E-2</v>
      </c>
      <c r="M15" s="67">
        <v>1.9186276619329833E-2</v>
      </c>
      <c r="N15" s="67">
        <v>1.9186276619329833E-2</v>
      </c>
      <c r="O15" s="67">
        <v>1.9186276619329833E-2</v>
      </c>
      <c r="P15" s="67">
        <v>1.9186276619329833E-2</v>
      </c>
      <c r="Q15" s="67">
        <v>1.9186276619329833E-2</v>
      </c>
      <c r="R15" s="67">
        <v>1.9186276619329833E-2</v>
      </c>
      <c r="S15" s="67">
        <v>1.9186276619329833E-2</v>
      </c>
      <c r="T15" s="67">
        <v>1.9186276619329833E-2</v>
      </c>
      <c r="U15" s="67">
        <v>1.9186276619329833E-2</v>
      </c>
      <c r="V15" s="67">
        <v>1.9186276619329833E-2</v>
      </c>
      <c r="W15" s="67">
        <v>1.9186276619329833E-2</v>
      </c>
      <c r="X15" s="67">
        <v>1.9186276619329833E-2</v>
      </c>
      <c r="Y15" s="67">
        <v>1.9186276619329833E-2</v>
      </c>
      <c r="Z15" s="61" t="s">
        <v>216</v>
      </c>
      <c r="AA15" s="68">
        <v>0</v>
      </c>
      <c r="AB15" s="69">
        <v>0</v>
      </c>
    </row>
    <row r="16" spans="1:28" x14ac:dyDescent="0.3">
      <c r="B16" s="61" t="s">
        <v>212</v>
      </c>
      <c r="C16" s="61" t="s">
        <v>89</v>
      </c>
      <c r="D16" s="61" t="s">
        <v>123</v>
      </c>
      <c r="E16" s="61" t="s">
        <v>217</v>
      </c>
      <c r="F16" s="61" t="s">
        <v>94</v>
      </c>
      <c r="G16" s="62">
        <v>0.88</v>
      </c>
      <c r="H16" s="61">
        <v>1</v>
      </c>
      <c r="I16" s="61" t="s">
        <v>218</v>
      </c>
      <c r="J16" s="61" t="s">
        <v>215</v>
      </c>
      <c r="K16" s="67">
        <v>1.9186276619329833E-2</v>
      </c>
      <c r="L16" s="67">
        <v>1.9186276619329833E-2</v>
      </c>
      <c r="M16" s="67">
        <v>1.9186276619329833E-2</v>
      </c>
      <c r="N16" s="67">
        <v>1.9186276619329833E-2</v>
      </c>
      <c r="O16" s="67">
        <v>1.9186276619329833E-2</v>
      </c>
      <c r="P16" s="67">
        <v>1.9186276619329833E-2</v>
      </c>
      <c r="Q16" s="67">
        <v>1.9186276619329833E-2</v>
      </c>
      <c r="R16" s="67">
        <v>1.9186276619329833E-2</v>
      </c>
      <c r="S16" s="67">
        <v>1.9186276619329833E-2</v>
      </c>
      <c r="T16" s="67">
        <v>1.9186276619329833E-2</v>
      </c>
      <c r="U16" s="67">
        <v>1.9186276619329833E-2</v>
      </c>
      <c r="V16" s="67">
        <v>1.9186276619329833E-2</v>
      </c>
      <c r="W16" s="67">
        <v>1.9186276619329833E-2</v>
      </c>
      <c r="X16" s="67">
        <v>1.9186276619329833E-2</v>
      </c>
      <c r="Y16" s="67">
        <v>1.9186276619329833E-2</v>
      </c>
      <c r="Z16" s="61" t="s">
        <v>216</v>
      </c>
      <c r="AA16" s="68">
        <v>0</v>
      </c>
      <c r="AB16" s="69">
        <v>0</v>
      </c>
    </row>
    <row r="17" spans="2:28" x14ac:dyDescent="0.3">
      <c r="B17" s="61" t="s">
        <v>219</v>
      </c>
      <c r="C17" s="61" t="s">
        <v>89</v>
      </c>
      <c r="D17" s="61" t="s">
        <v>121</v>
      </c>
      <c r="E17" s="61" t="s">
        <v>213</v>
      </c>
      <c r="F17" s="61" t="s">
        <v>93</v>
      </c>
      <c r="G17" s="62">
        <v>0.8</v>
      </c>
      <c r="H17" s="61">
        <v>1</v>
      </c>
      <c r="I17" s="61" t="s">
        <v>214</v>
      </c>
      <c r="J17" s="61" t="s">
        <v>215</v>
      </c>
      <c r="K17" s="67">
        <v>2.1999999999999999E-2</v>
      </c>
      <c r="L17" s="67">
        <v>2.1999999999999999E-2</v>
      </c>
      <c r="M17" s="67">
        <v>2.1999999999999999E-2</v>
      </c>
      <c r="N17" s="67">
        <v>2.1999999999999999E-2</v>
      </c>
      <c r="O17" s="67">
        <v>2.1999999999999999E-2</v>
      </c>
      <c r="P17" s="67">
        <v>2.1999999999999999E-2</v>
      </c>
      <c r="Q17" s="67">
        <v>2.1999999999999999E-2</v>
      </c>
      <c r="R17" s="67">
        <v>2.1999999999999999E-2</v>
      </c>
      <c r="S17" s="67">
        <v>2.1999999999999999E-2</v>
      </c>
      <c r="T17" s="67">
        <v>2.1999999999999999E-2</v>
      </c>
      <c r="U17" s="67">
        <v>2.1999999999999999E-2</v>
      </c>
      <c r="V17" s="67">
        <v>2.1999999999999999E-2</v>
      </c>
      <c r="W17" s="67">
        <v>2.1999999999999999E-2</v>
      </c>
      <c r="X17" s="67">
        <v>2.1999999999999999E-2</v>
      </c>
      <c r="Y17" s="67">
        <v>2.1999999999999999E-2</v>
      </c>
      <c r="Z17" s="61" t="s">
        <v>216</v>
      </c>
      <c r="AA17" s="68">
        <v>7.0000000000000007E-2</v>
      </c>
      <c r="AB17" s="69">
        <v>1.9057916741777945E-4</v>
      </c>
    </row>
    <row r="18" spans="2:28" x14ac:dyDescent="0.3">
      <c r="B18" s="61" t="s">
        <v>219</v>
      </c>
      <c r="C18" s="61" t="s">
        <v>89</v>
      </c>
      <c r="D18" s="61" t="s">
        <v>121</v>
      </c>
      <c r="E18" s="61" t="s">
        <v>217</v>
      </c>
      <c r="F18" s="61" t="s">
        <v>93</v>
      </c>
      <c r="G18" s="62">
        <v>0.8</v>
      </c>
      <c r="H18" s="61">
        <v>1</v>
      </c>
      <c r="I18" s="61" t="s">
        <v>214</v>
      </c>
      <c r="J18" s="61" t="s">
        <v>215</v>
      </c>
      <c r="K18" s="67">
        <v>2.1999999999999999E-2</v>
      </c>
      <c r="L18" s="67">
        <v>2.1999999999999999E-2</v>
      </c>
      <c r="M18" s="67">
        <v>2.1999999999999999E-2</v>
      </c>
      <c r="N18" s="67">
        <v>2.1999999999999999E-2</v>
      </c>
      <c r="O18" s="67">
        <v>2.1999999999999999E-2</v>
      </c>
      <c r="P18" s="67">
        <v>2.1999999999999999E-2</v>
      </c>
      <c r="Q18" s="67">
        <v>2.1999999999999999E-2</v>
      </c>
      <c r="R18" s="67">
        <v>2.1999999999999999E-2</v>
      </c>
      <c r="S18" s="67">
        <v>2.1999999999999999E-2</v>
      </c>
      <c r="T18" s="67">
        <v>2.1999999999999999E-2</v>
      </c>
      <c r="U18" s="67">
        <v>2.1999999999999999E-2</v>
      </c>
      <c r="V18" s="67">
        <v>2.1999999999999999E-2</v>
      </c>
      <c r="W18" s="67">
        <v>2.1999999999999999E-2</v>
      </c>
      <c r="X18" s="67">
        <v>2.1999999999999999E-2</v>
      </c>
      <c r="Y18" s="67">
        <v>2.1999999999999999E-2</v>
      </c>
      <c r="Z18" s="61" t="s">
        <v>216</v>
      </c>
      <c r="AA18" s="68">
        <v>7.0000000000000007E-2</v>
      </c>
      <c r="AB18" s="69">
        <v>1.9057916741777945E-4</v>
      </c>
    </row>
    <row r="19" spans="2:28" x14ac:dyDescent="0.3">
      <c r="B19" s="61" t="s">
        <v>219</v>
      </c>
      <c r="C19" s="61" t="s">
        <v>89</v>
      </c>
      <c r="D19" s="61" t="s">
        <v>121</v>
      </c>
      <c r="E19" s="61" t="s">
        <v>213</v>
      </c>
      <c r="F19" s="61" t="s">
        <v>94</v>
      </c>
      <c r="G19" s="62">
        <v>0.59</v>
      </c>
      <c r="H19" s="61">
        <v>1</v>
      </c>
      <c r="I19" s="61" t="s">
        <v>218</v>
      </c>
      <c r="J19" s="61" t="s">
        <v>215</v>
      </c>
      <c r="K19" s="67">
        <v>1.2500000000000001E-2</v>
      </c>
      <c r="L19" s="67">
        <v>1.2500000000000001E-2</v>
      </c>
      <c r="M19" s="67">
        <v>1.2500000000000001E-2</v>
      </c>
      <c r="N19" s="67">
        <v>1.2500000000000001E-2</v>
      </c>
      <c r="O19" s="67">
        <v>1.2500000000000001E-2</v>
      </c>
      <c r="P19" s="67">
        <v>1.2500000000000001E-2</v>
      </c>
      <c r="Q19" s="67">
        <v>1.2500000000000001E-2</v>
      </c>
      <c r="R19" s="67">
        <v>1.2500000000000001E-2</v>
      </c>
      <c r="S19" s="67">
        <v>1.2500000000000001E-2</v>
      </c>
      <c r="T19" s="67">
        <v>1.2500000000000001E-2</v>
      </c>
      <c r="U19" s="67">
        <v>1.2500000000000001E-2</v>
      </c>
      <c r="V19" s="67">
        <v>1.2500000000000001E-2</v>
      </c>
      <c r="W19" s="67">
        <v>1.2500000000000001E-2</v>
      </c>
      <c r="X19" s="67">
        <v>1.2500000000000001E-2</v>
      </c>
      <c r="Y19" s="67">
        <v>1.2500000000000001E-2</v>
      </c>
      <c r="Z19" s="61" t="s">
        <v>216</v>
      </c>
      <c r="AA19" s="68">
        <v>0</v>
      </c>
      <c r="AB19" s="69">
        <v>0</v>
      </c>
    </row>
    <row r="20" spans="2:28" x14ac:dyDescent="0.3">
      <c r="B20" s="61" t="s">
        <v>219</v>
      </c>
      <c r="C20" s="61" t="s">
        <v>89</v>
      </c>
      <c r="D20" s="61" t="s">
        <v>121</v>
      </c>
      <c r="E20" s="61" t="s">
        <v>217</v>
      </c>
      <c r="F20" s="61" t="s">
        <v>94</v>
      </c>
      <c r="G20" s="62">
        <v>0.59</v>
      </c>
      <c r="H20" s="61">
        <v>1</v>
      </c>
      <c r="I20" s="61" t="s">
        <v>218</v>
      </c>
      <c r="J20" s="61" t="s">
        <v>215</v>
      </c>
      <c r="K20" s="67">
        <v>1.2500000000000001E-2</v>
      </c>
      <c r="L20" s="67">
        <v>1.2500000000000001E-2</v>
      </c>
      <c r="M20" s="67">
        <v>1.2500000000000001E-2</v>
      </c>
      <c r="N20" s="67">
        <v>1.2500000000000001E-2</v>
      </c>
      <c r="O20" s="67">
        <v>1.2500000000000001E-2</v>
      </c>
      <c r="P20" s="67">
        <v>1.2500000000000001E-2</v>
      </c>
      <c r="Q20" s="67">
        <v>1.2500000000000001E-2</v>
      </c>
      <c r="R20" s="67">
        <v>1.2500000000000001E-2</v>
      </c>
      <c r="S20" s="67">
        <v>1.2500000000000001E-2</v>
      </c>
      <c r="T20" s="67">
        <v>1.2500000000000001E-2</v>
      </c>
      <c r="U20" s="67">
        <v>1.2500000000000001E-2</v>
      </c>
      <c r="V20" s="67">
        <v>1.2500000000000001E-2</v>
      </c>
      <c r="W20" s="67">
        <v>1.2500000000000001E-2</v>
      </c>
      <c r="X20" s="67">
        <v>1.2500000000000001E-2</v>
      </c>
      <c r="Y20" s="67">
        <v>1.2500000000000001E-2</v>
      </c>
      <c r="Z20" s="61" t="s">
        <v>216</v>
      </c>
      <c r="AA20" s="68">
        <v>0</v>
      </c>
      <c r="AB20" s="69">
        <v>0</v>
      </c>
    </row>
    <row r="21" spans="2:28" x14ac:dyDescent="0.3">
      <c r="B21" s="61" t="s">
        <v>219</v>
      </c>
      <c r="C21" s="61" t="s">
        <v>89</v>
      </c>
      <c r="D21" s="61" t="s">
        <v>122</v>
      </c>
      <c r="E21" s="61" t="s">
        <v>213</v>
      </c>
      <c r="F21" s="61" t="s">
        <v>93</v>
      </c>
      <c r="G21" s="62">
        <v>0.8</v>
      </c>
      <c r="H21" s="61">
        <v>1</v>
      </c>
      <c r="I21" s="61" t="s">
        <v>214</v>
      </c>
      <c r="J21" s="61" t="s">
        <v>215</v>
      </c>
      <c r="K21" s="67">
        <v>2.1999999999999999E-2</v>
      </c>
      <c r="L21" s="67">
        <v>2.1999999999999999E-2</v>
      </c>
      <c r="M21" s="67">
        <v>2.1999999999999999E-2</v>
      </c>
      <c r="N21" s="67">
        <v>2.1999999999999999E-2</v>
      </c>
      <c r="O21" s="67">
        <v>2.1999999999999999E-2</v>
      </c>
      <c r="P21" s="67">
        <v>2.1999999999999999E-2</v>
      </c>
      <c r="Q21" s="67">
        <v>2.1999999999999999E-2</v>
      </c>
      <c r="R21" s="67">
        <v>2.1999999999999999E-2</v>
      </c>
      <c r="S21" s="67">
        <v>2.1999999999999999E-2</v>
      </c>
      <c r="T21" s="67">
        <v>2.1999999999999999E-2</v>
      </c>
      <c r="U21" s="67">
        <v>2.1999999999999999E-2</v>
      </c>
      <c r="V21" s="67">
        <v>2.1999999999999999E-2</v>
      </c>
      <c r="W21" s="67">
        <v>2.1999999999999999E-2</v>
      </c>
      <c r="X21" s="67">
        <v>2.1999999999999999E-2</v>
      </c>
      <c r="Y21" s="67">
        <v>2.1999999999999999E-2</v>
      </c>
      <c r="Z21" s="61" t="s">
        <v>216</v>
      </c>
      <c r="AA21" s="68">
        <v>7.0000000000000007E-2</v>
      </c>
      <c r="AB21" s="69">
        <v>1.9057916741777945E-4</v>
      </c>
    </row>
    <row r="22" spans="2:28" x14ac:dyDescent="0.3">
      <c r="B22" s="61" t="s">
        <v>219</v>
      </c>
      <c r="C22" s="61" t="s">
        <v>89</v>
      </c>
      <c r="D22" s="61" t="s">
        <v>122</v>
      </c>
      <c r="E22" s="61" t="s">
        <v>217</v>
      </c>
      <c r="F22" s="61" t="s">
        <v>93</v>
      </c>
      <c r="G22" s="62">
        <v>0.8</v>
      </c>
      <c r="H22" s="61">
        <v>1</v>
      </c>
      <c r="I22" s="61" t="s">
        <v>214</v>
      </c>
      <c r="J22" s="61" t="s">
        <v>215</v>
      </c>
      <c r="K22" s="67">
        <v>2.1999999999999999E-2</v>
      </c>
      <c r="L22" s="67">
        <v>2.1999999999999999E-2</v>
      </c>
      <c r="M22" s="67">
        <v>2.1999999999999999E-2</v>
      </c>
      <c r="N22" s="67">
        <v>2.1999999999999999E-2</v>
      </c>
      <c r="O22" s="67">
        <v>2.1999999999999999E-2</v>
      </c>
      <c r="P22" s="67">
        <v>2.1999999999999999E-2</v>
      </c>
      <c r="Q22" s="67">
        <v>2.1999999999999999E-2</v>
      </c>
      <c r="R22" s="67">
        <v>2.1999999999999999E-2</v>
      </c>
      <c r="S22" s="67">
        <v>2.1999999999999999E-2</v>
      </c>
      <c r="T22" s="67">
        <v>2.1999999999999999E-2</v>
      </c>
      <c r="U22" s="67">
        <v>2.1999999999999999E-2</v>
      </c>
      <c r="V22" s="67">
        <v>2.1999999999999999E-2</v>
      </c>
      <c r="W22" s="67">
        <v>2.1999999999999999E-2</v>
      </c>
      <c r="X22" s="67">
        <v>2.1999999999999999E-2</v>
      </c>
      <c r="Y22" s="67">
        <v>2.1999999999999999E-2</v>
      </c>
      <c r="Z22" s="61" t="s">
        <v>216</v>
      </c>
      <c r="AA22" s="68">
        <v>7.0000000000000007E-2</v>
      </c>
      <c r="AB22" s="69">
        <v>1.9057916741777945E-4</v>
      </c>
    </row>
    <row r="23" spans="2:28" x14ac:dyDescent="0.3">
      <c r="B23" s="61" t="s">
        <v>219</v>
      </c>
      <c r="C23" s="61" t="s">
        <v>89</v>
      </c>
      <c r="D23" s="61" t="s">
        <v>200</v>
      </c>
      <c r="E23" s="61" t="s">
        <v>213</v>
      </c>
      <c r="F23" s="61" t="s">
        <v>94</v>
      </c>
      <c r="G23" s="62">
        <v>0</v>
      </c>
      <c r="H23" s="61">
        <v>1</v>
      </c>
      <c r="I23" s="61" t="s">
        <v>218</v>
      </c>
      <c r="J23" s="61" t="s">
        <v>215</v>
      </c>
      <c r="K23" s="67">
        <v>0</v>
      </c>
      <c r="L23" s="67">
        <v>0</v>
      </c>
      <c r="M23" s="67">
        <v>0</v>
      </c>
      <c r="N23" s="67">
        <v>0</v>
      </c>
      <c r="O23" s="67">
        <v>0</v>
      </c>
      <c r="P23" s="67">
        <v>0</v>
      </c>
      <c r="Q23" s="67">
        <v>0</v>
      </c>
      <c r="R23" s="67">
        <v>0</v>
      </c>
      <c r="S23" s="67">
        <v>0</v>
      </c>
      <c r="T23" s="67">
        <v>0</v>
      </c>
      <c r="U23" s="67">
        <v>0</v>
      </c>
      <c r="V23" s="67">
        <v>0</v>
      </c>
      <c r="W23" s="67">
        <v>0</v>
      </c>
      <c r="X23" s="67">
        <v>0</v>
      </c>
      <c r="Y23" s="67">
        <v>0</v>
      </c>
      <c r="Z23" s="61" t="s">
        <v>216</v>
      </c>
      <c r="AA23" s="68">
        <v>0</v>
      </c>
      <c r="AB23" s="69">
        <v>0</v>
      </c>
    </row>
    <row r="24" spans="2:28" x14ac:dyDescent="0.3">
      <c r="B24" s="61" t="s">
        <v>219</v>
      </c>
      <c r="C24" s="61" t="s">
        <v>89</v>
      </c>
      <c r="D24" s="61" t="s">
        <v>200</v>
      </c>
      <c r="E24" s="61" t="s">
        <v>217</v>
      </c>
      <c r="F24" s="61" t="s">
        <v>94</v>
      </c>
      <c r="G24" s="62">
        <v>0</v>
      </c>
      <c r="H24" s="61">
        <v>1</v>
      </c>
      <c r="I24" s="61" t="s">
        <v>218</v>
      </c>
      <c r="J24" s="61" t="s">
        <v>215</v>
      </c>
      <c r="K24" s="67">
        <v>0</v>
      </c>
      <c r="L24" s="67">
        <v>0</v>
      </c>
      <c r="M24" s="67">
        <v>0</v>
      </c>
      <c r="N24" s="67">
        <v>0</v>
      </c>
      <c r="O24" s="67">
        <v>0</v>
      </c>
      <c r="P24" s="67">
        <v>0</v>
      </c>
      <c r="Q24" s="67">
        <v>0</v>
      </c>
      <c r="R24" s="67">
        <v>0</v>
      </c>
      <c r="S24" s="67">
        <v>0</v>
      </c>
      <c r="T24" s="67">
        <v>0</v>
      </c>
      <c r="U24" s="67">
        <v>0</v>
      </c>
      <c r="V24" s="67">
        <v>0</v>
      </c>
      <c r="W24" s="67">
        <v>0</v>
      </c>
      <c r="X24" s="67">
        <v>0</v>
      </c>
      <c r="Y24" s="67">
        <v>0</v>
      </c>
      <c r="Z24" s="61" t="s">
        <v>216</v>
      </c>
      <c r="AA24" s="68">
        <v>0</v>
      </c>
      <c r="AB24" s="69">
        <v>0</v>
      </c>
    </row>
    <row r="25" spans="2:28" x14ac:dyDescent="0.3">
      <c r="B25" s="61" t="s">
        <v>219</v>
      </c>
      <c r="C25" s="61" t="s">
        <v>89</v>
      </c>
      <c r="D25" s="61" t="s">
        <v>123</v>
      </c>
      <c r="E25" s="61" t="s">
        <v>213</v>
      </c>
      <c r="F25" s="61" t="s">
        <v>93</v>
      </c>
      <c r="G25" s="62">
        <v>0.8</v>
      </c>
      <c r="H25" s="61">
        <v>1</v>
      </c>
      <c r="I25" s="61" t="s">
        <v>214</v>
      </c>
      <c r="J25" s="61" t="s">
        <v>215</v>
      </c>
      <c r="K25" s="67">
        <v>2.1999999999999999E-2</v>
      </c>
      <c r="L25" s="67">
        <v>2.1999999999999999E-2</v>
      </c>
      <c r="M25" s="67">
        <v>2.1999999999999999E-2</v>
      </c>
      <c r="N25" s="67">
        <v>2.1999999999999999E-2</v>
      </c>
      <c r="O25" s="67">
        <v>2.1999999999999999E-2</v>
      </c>
      <c r="P25" s="67">
        <v>2.1999999999999999E-2</v>
      </c>
      <c r="Q25" s="67">
        <v>2.1999999999999999E-2</v>
      </c>
      <c r="R25" s="67">
        <v>2.1999999999999999E-2</v>
      </c>
      <c r="S25" s="67">
        <v>2.1999999999999999E-2</v>
      </c>
      <c r="T25" s="67">
        <v>2.1999999999999999E-2</v>
      </c>
      <c r="U25" s="67">
        <v>2.1999999999999999E-2</v>
      </c>
      <c r="V25" s="67">
        <v>2.1999999999999999E-2</v>
      </c>
      <c r="W25" s="67">
        <v>2.1999999999999999E-2</v>
      </c>
      <c r="X25" s="67">
        <v>2.1999999999999999E-2</v>
      </c>
      <c r="Y25" s="67">
        <v>2.1999999999999999E-2</v>
      </c>
      <c r="Z25" s="61" t="s">
        <v>216</v>
      </c>
      <c r="AA25" s="68">
        <v>7.0000000000000007E-2</v>
      </c>
      <c r="AB25" s="69">
        <v>1.9057916741777945E-4</v>
      </c>
    </row>
    <row r="26" spans="2:28" x14ac:dyDescent="0.3">
      <c r="B26" s="61" t="s">
        <v>219</v>
      </c>
      <c r="C26" s="61" t="s">
        <v>89</v>
      </c>
      <c r="D26" s="61" t="s">
        <v>123</v>
      </c>
      <c r="E26" s="61" t="s">
        <v>217</v>
      </c>
      <c r="F26" s="61" t="s">
        <v>93</v>
      </c>
      <c r="G26" s="62">
        <v>0.8</v>
      </c>
      <c r="H26" s="61">
        <v>1</v>
      </c>
      <c r="I26" s="61" t="s">
        <v>214</v>
      </c>
      <c r="J26" s="61" t="s">
        <v>215</v>
      </c>
      <c r="K26" s="67">
        <v>2.1999999999999999E-2</v>
      </c>
      <c r="L26" s="67">
        <v>2.1999999999999999E-2</v>
      </c>
      <c r="M26" s="67">
        <v>2.1999999999999999E-2</v>
      </c>
      <c r="N26" s="67">
        <v>2.1999999999999999E-2</v>
      </c>
      <c r="O26" s="67">
        <v>2.1999999999999999E-2</v>
      </c>
      <c r="P26" s="67">
        <v>2.1999999999999999E-2</v>
      </c>
      <c r="Q26" s="67">
        <v>2.1999999999999999E-2</v>
      </c>
      <c r="R26" s="67">
        <v>2.1999999999999999E-2</v>
      </c>
      <c r="S26" s="67">
        <v>2.1999999999999999E-2</v>
      </c>
      <c r="T26" s="67">
        <v>2.1999999999999999E-2</v>
      </c>
      <c r="U26" s="67">
        <v>2.1999999999999999E-2</v>
      </c>
      <c r="V26" s="67">
        <v>2.1999999999999999E-2</v>
      </c>
      <c r="W26" s="67">
        <v>2.1999999999999999E-2</v>
      </c>
      <c r="X26" s="67">
        <v>2.1999999999999999E-2</v>
      </c>
      <c r="Y26" s="67">
        <v>2.1999999999999999E-2</v>
      </c>
      <c r="Z26" s="61" t="s">
        <v>216</v>
      </c>
      <c r="AA26" s="68">
        <v>7.0000000000000007E-2</v>
      </c>
      <c r="AB26" s="69">
        <v>1.9057916741777945E-4</v>
      </c>
    </row>
    <row r="27" spans="2:28" x14ac:dyDescent="0.3">
      <c r="B27" s="61" t="s">
        <v>219</v>
      </c>
      <c r="C27" s="61" t="s">
        <v>89</v>
      </c>
      <c r="D27" s="61" t="s">
        <v>123</v>
      </c>
      <c r="E27" s="61" t="s">
        <v>213</v>
      </c>
      <c r="F27" s="61" t="s">
        <v>94</v>
      </c>
      <c r="G27" s="62">
        <v>0.59</v>
      </c>
      <c r="H27" s="61">
        <v>1</v>
      </c>
      <c r="I27" s="61" t="s">
        <v>218</v>
      </c>
      <c r="J27" s="61" t="s">
        <v>215</v>
      </c>
      <c r="K27" s="67">
        <v>1.2500000000000001E-2</v>
      </c>
      <c r="L27" s="67">
        <v>1.2500000000000001E-2</v>
      </c>
      <c r="M27" s="67">
        <v>1.2500000000000001E-2</v>
      </c>
      <c r="N27" s="67">
        <v>1.2500000000000001E-2</v>
      </c>
      <c r="O27" s="67">
        <v>1.2500000000000001E-2</v>
      </c>
      <c r="P27" s="67">
        <v>1.2500000000000001E-2</v>
      </c>
      <c r="Q27" s="67">
        <v>1.2500000000000001E-2</v>
      </c>
      <c r="R27" s="67">
        <v>1.2500000000000001E-2</v>
      </c>
      <c r="S27" s="67">
        <v>1.2500000000000001E-2</v>
      </c>
      <c r="T27" s="67">
        <v>1.2500000000000001E-2</v>
      </c>
      <c r="U27" s="67">
        <v>1.2500000000000001E-2</v>
      </c>
      <c r="V27" s="67">
        <v>1.2500000000000001E-2</v>
      </c>
      <c r="W27" s="67">
        <v>1.2500000000000001E-2</v>
      </c>
      <c r="X27" s="67">
        <v>1.2500000000000001E-2</v>
      </c>
      <c r="Y27" s="67">
        <v>1.2500000000000001E-2</v>
      </c>
      <c r="Z27" s="61" t="s">
        <v>216</v>
      </c>
      <c r="AA27" s="68">
        <v>0</v>
      </c>
      <c r="AB27" s="69">
        <v>0</v>
      </c>
    </row>
    <row r="28" spans="2:28" x14ac:dyDescent="0.3">
      <c r="B28" s="61" t="s">
        <v>219</v>
      </c>
      <c r="C28" s="61" t="s">
        <v>89</v>
      </c>
      <c r="D28" s="61" t="s">
        <v>123</v>
      </c>
      <c r="E28" s="61" t="s">
        <v>217</v>
      </c>
      <c r="F28" s="61" t="s">
        <v>94</v>
      </c>
      <c r="G28" s="62">
        <v>0.59</v>
      </c>
      <c r="H28" s="61">
        <v>1</v>
      </c>
      <c r="I28" s="61" t="s">
        <v>218</v>
      </c>
      <c r="J28" s="61" t="s">
        <v>215</v>
      </c>
      <c r="K28" s="67">
        <v>1.2500000000000001E-2</v>
      </c>
      <c r="L28" s="67">
        <v>1.2500000000000001E-2</v>
      </c>
      <c r="M28" s="67">
        <v>1.2500000000000001E-2</v>
      </c>
      <c r="N28" s="67">
        <v>1.2500000000000001E-2</v>
      </c>
      <c r="O28" s="67">
        <v>1.2500000000000001E-2</v>
      </c>
      <c r="P28" s="67">
        <v>1.2500000000000001E-2</v>
      </c>
      <c r="Q28" s="67">
        <v>1.2500000000000001E-2</v>
      </c>
      <c r="R28" s="67">
        <v>1.2500000000000001E-2</v>
      </c>
      <c r="S28" s="67">
        <v>1.2500000000000001E-2</v>
      </c>
      <c r="T28" s="67">
        <v>1.2500000000000001E-2</v>
      </c>
      <c r="U28" s="67">
        <v>1.2500000000000001E-2</v>
      </c>
      <c r="V28" s="67">
        <v>1.2500000000000001E-2</v>
      </c>
      <c r="W28" s="67">
        <v>1.2500000000000001E-2</v>
      </c>
      <c r="X28" s="67">
        <v>1.2500000000000001E-2</v>
      </c>
      <c r="Y28" s="67">
        <v>1.2500000000000001E-2</v>
      </c>
      <c r="Z28" s="61" t="s">
        <v>216</v>
      </c>
      <c r="AA28" s="68">
        <v>0</v>
      </c>
      <c r="AB28" s="69">
        <v>0</v>
      </c>
    </row>
    <row r="29" spans="2:28" x14ac:dyDescent="0.3">
      <c r="B29" s="61" t="s">
        <v>220</v>
      </c>
      <c r="C29" s="61" t="s">
        <v>89</v>
      </c>
      <c r="D29" s="61" t="s">
        <v>121</v>
      </c>
      <c r="E29" s="61" t="s">
        <v>213</v>
      </c>
      <c r="F29" s="61" t="s">
        <v>93</v>
      </c>
      <c r="G29" s="62">
        <v>1</v>
      </c>
      <c r="H29" s="61">
        <v>1</v>
      </c>
      <c r="I29" s="61" t="s">
        <v>214</v>
      </c>
      <c r="J29" s="61" t="s">
        <v>215</v>
      </c>
      <c r="K29" s="67">
        <v>2.3E-2</v>
      </c>
      <c r="L29" s="67">
        <v>2.3E-2</v>
      </c>
      <c r="M29" s="67">
        <v>2.3E-2</v>
      </c>
      <c r="N29" s="67">
        <v>2.3E-2</v>
      </c>
      <c r="O29" s="67">
        <v>2.3E-2</v>
      </c>
      <c r="P29" s="67">
        <v>2.3E-2</v>
      </c>
      <c r="Q29" s="67">
        <v>2.3E-2</v>
      </c>
      <c r="R29" s="67">
        <v>2.3E-2</v>
      </c>
      <c r="S29" s="67">
        <v>2.3E-2</v>
      </c>
      <c r="T29" s="67">
        <v>2.3E-2</v>
      </c>
      <c r="U29" s="67">
        <v>2.3E-2</v>
      </c>
      <c r="V29" s="67">
        <v>2.3E-2</v>
      </c>
      <c r="W29" s="67">
        <v>2.3E-2</v>
      </c>
      <c r="X29" s="67">
        <v>2.3E-2</v>
      </c>
      <c r="Y29" s="67">
        <v>2.3E-2</v>
      </c>
      <c r="Z29" s="61" t="s">
        <v>216</v>
      </c>
      <c r="AA29" s="68">
        <v>0.25510204081632654</v>
      </c>
      <c r="AB29" s="69">
        <v>1.9057916741777945E-4</v>
      </c>
    </row>
    <row r="30" spans="2:28" x14ac:dyDescent="0.3">
      <c r="B30" s="61" t="s">
        <v>220</v>
      </c>
      <c r="C30" s="61" t="s">
        <v>89</v>
      </c>
      <c r="D30" s="61" t="s">
        <v>121</v>
      </c>
      <c r="E30" s="61" t="s">
        <v>217</v>
      </c>
      <c r="F30" s="61" t="s">
        <v>93</v>
      </c>
      <c r="G30" s="62">
        <v>1</v>
      </c>
      <c r="H30" s="61">
        <v>1</v>
      </c>
      <c r="I30" s="61" t="s">
        <v>214</v>
      </c>
      <c r="J30" s="61" t="s">
        <v>215</v>
      </c>
      <c r="K30" s="67">
        <v>2.3E-2</v>
      </c>
      <c r="L30" s="67">
        <v>2.3E-2</v>
      </c>
      <c r="M30" s="67">
        <v>2.3E-2</v>
      </c>
      <c r="N30" s="67">
        <v>2.3E-2</v>
      </c>
      <c r="O30" s="67">
        <v>2.3E-2</v>
      </c>
      <c r="P30" s="67">
        <v>2.3E-2</v>
      </c>
      <c r="Q30" s="67">
        <v>2.3E-2</v>
      </c>
      <c r="R30" s="67">
        <v>2.3E-2</v>
      </c>
      <c r="S30" s="67">
        <v>2.3E-2</v>
      </c>
      <c r="T30" s="67">
        <v>2.3E-2</v>
      </c>
      <c r="U30" s="67">
        <v>2.3E-2</v>
      </c>
      <c r="V30" s="67">
        <v>2.3E-2</v>
      </c>
      <c r="W30" s="67">
        <v>2.3E-2</v>
      </c>
      <c r="X30" s="67">
        <v>2.3E-2</v>
      </c>
      <c r="Y30" s="67">
        <v>2.3E-2</v>
      </c>
      <c r="Z30" s="61" t="s">
        <v>216</v>
      </c>
      <c r="AA30" s="68">
        <v>0.25510204081632654</v>
      </c>
      <c r="AB30" s="69">
        <v>1.9057916741777945E-4</v>
      </c>
    </row>
    <row r="31" spans="2:28" x14ac:dyDescent="0.3">
      <c r="B31" s="61" t="s">
        <v>220</v>
      </c>
      <c r="C31" s="61" t="s">
        <v>89</v>
      </c>
      <c r="D31" s="61" t="s">
        <v>121</v>
      </c>
      <c r="E31" s="61" t="s">
        <v>213</v>
      </c>
      <c r="F31" s="61" t="s">
        <v>94</v>
      </c>
      <c r="G31" s="62">
        <v>0.59</v>
      </c>
      <c r="H31" s="61">
        <v>1</v>
      </c>
      <c r="I31" s="61" t="s">
        <v>218</v>
      </c>
      <c r="J31" s="61" t="s">
        <v>215</v>
      </c>
      <c r="K31" s="67">
        <v>0</v>
      </c>
      <c r="L31" s="67">
        <v>0</v>
      </c>
      <c r="M31" s="67">
        <v>0</v>
      </c>
      <c r="N31" s="67">
        <v>0</v>
      </c>
      <c r="O31" s="67">
        <v>0</v>
      </c>
      <c r="P31" s="67">
        <v>0</v>
      </c>
      <c r="Q31" s="67">
        <v>0</v>
      </c>
      <c r="R31" s="67">
        <v>0</v>
      </c>
      <c r="S31" s="67">
        <v>0</v>
      </c>
      <c r="T31" s="67">
        <v>0</v>
      </c>
      <c r="U31" s="67">
        <v>0</v>
      </c>
      <c r="V31" s="67">
        <v>0</v>
      </c>
      <c r="W31" s="67">
        <v>0</v>
      </c>
      <c r="X31" s="67">
        <v>0</v>
      </c>
      <c r="Y31" s="67">
        <v>0</v>
      </c>
      <c r="Z31" s="61" t="s">
        <v>216</v>
      </c>
      <c r="AA31" s="68">
        <v>0</v>
      </c>
      <c r="AB31" s="69">
        <v>0</v>
      </c>
    </row>
    <row r="32" spans="2:28" x14ac:dyDescent="0.3">
      <c r="B32" s="61" t="s">
        <v>220</v>
      </c>
      <c r="C32" s="61" t="s">
        <v>89</v>
      </c>
      <c r="D32" s="61" t="s">
        <v>121</v>
      </c>
      <c r="E32" s="61" t="s">
        <v>217</v>
      </c>
      <c r="F32" s="61" t="s">
        <v>94</v>
      </c>
      <c r="G32" s="62">
        <v>0.59</v>
      </c>
      <c r="H32" s="61">
        <v>1</v>
      </c>
      <c r="I32" s="61" t="s">
        <v>218</v>
      </c>
      <c r="J32" s="61" t="s">
        <v>215</v>
      </c>
      <c r="K32" s="67">
        <v>0</v>
      </c>
      <c r="L32" s="67">
        <v>0</v>
      </c>
      <c r="M32" s="67">
        <v>0</v>
      </c>
      <c r="N32" s="67">
        <v>0</v>
      </c>
      <c r="O32" s="67">
        <v>0</v>
      </c>
      <c r="P32" s="67">
        <v>0</v>
      </c>
      <c r="Q32" s="67">
        <v>0</v>
      </c>
      <c r="R32" s="67">
        <v>0</v>
      </c>
      <c r="S32" s="67">
        <v>0</v>
      </c>
      <c r="T32" s="67">
        <v>0</v>
      </c>
      <c r="U32" s="67">
        <v>0</v>
      </c>
      <c r="V32" s="67">
        <v>0</v>
      </c>
      <c r="W32" s="67">
        <v>0</v>
      </c>
      <c r="X32" s="67">
        <v>0</v>
      </c>
      <c r="Y32" s="67">
        <v>0</v>
      </c>
      <c r="Z32" s="61" t="s">
        <v>216</v>
      </c>
      <c r="AA32" s="68">
        <v>0</v>
      </c>
      <c r="AB32" s="69">
        <v>0</v>
      </c>
    </row>
    <row r="33" spans="2:28" x14ac:dyDescent="0.3">
      <c r="B33" s="61" t="s">
        <v>220</v>
      </c>
      <c r="C33" s="61" t="s">
        <v>89</v>
      </c>
      <c r="D33" s="61" t="s">
        <v>122</v>
      </c>
      <c r="E33" s="61" t="s">
        <v>213</v>
      </c>
      <c r="F33" s="61" t="s">
        <v>93</v>
      </c>
      <c r="G33" s="62">
        <v>1</v>
      </c>
      <c r="H33" s="61">
        <v>1</v>
      </c>
      <c r="I33" s="61" t="s">
        <v>214</v>
      </c>
      <c r="J33" s="61" t="s">
        <v>215</v>
      </c>
      <c r="K33" s="67">
        <v>2.3E-2</v>
      </c>
      <c r="L33" s="67">
        <v>2.3E-2</v>
      </c>
      <c r="M33" s="67">
        <v>2.3E-2</v>
      </c>
      <c r="N33" s="67">
        <v>2.3E-2</v>
      </c>
      <c r="O33" s="67">
        <v>2.3E-2</v>
      </c>
      <c r="P33" s="67">
        <v>2.3E-2</v>
      </c>
      <c r="Q33" s="67">
        <v>2.3E-2</v>
      </c>
      <c r="R33" s="67">
        <v>2.3E-2</v>
      </c>
      <c r="S33" s="67">
        <v>2.3E-2</v>
      </c>
      <c r="T33" s="67">
        <v>2.3E-2</v>
      </c>
      <c r="U33" s="67">
        <v>2.3E-2</v>
      </c>
      <c r="V33" s="67">
        <v>2.3E-2</v>
      </c>
      <c r="W33" s="67">
        <v>2.3E-2</v>
      </c>
      <c r="X33" s="67">
        <v>2.3E-2</v>
      </c>
      <c r="Y33" s="67">
        <v>2.3E-2</v>
      </c>
      <c r="Z33" s="61" t="s">
        <v>216</v>
      </c>
      <c r="AA33" s="68">
        <v>0.25510204081632654</v>
      </c>
      <c r="AB33" s="69">
        <v>1.9057916741777945E-4</v>
      </c>
    </row>
    <row r="34" spans="2:28" x14ac:dyDescent="0.3">
      <c r="B34" s="61" t="s">
        <v>220</v>
      </c>
      <c r="C34" s="61" t="s">
        <v>89</v>
      </c>
      <c r="D34" s="61" t="s">
        <v>122</v>
      </c>
      <c r="E34" s="61" t="s">
        <v>217</v>
      </c>
      <c r="F34" s="61" t="s">
        <v>93</v>
      </c>
      <c r="G34" s="62">
        <v>1</v>
      </c>
      <c r="H34" s="61">
        <v>1</v>
      </c>
      <c r="I34" s="61" t="s">
        <v>214</v>
      </c>
      <c r="J34" s="61" t="s">
        <v>215</v>
      </c>
      <c r="K34" s="67">
        <v>2.3E-2</v>
      </c>
      <c r="L34" s="67">
        <v>2.3E-2</v>
      </c>
      <c r="M34" s="67">
        <v>2.3E-2</v>
      </c>
      <c r="N34" s="67">
        <v>2.3E-2</v>
      </c>
      <c r="O34" s="67">
        <v>2.3E-2</v>
      </c>
      <c r="P34" s="67">
        <v>2.3E-2</v>
      </c>
      <c r="Q34" s="67">
        <v>2.3E-2</v>
      </c>
      <c r="R34" s="67">
        <v>2.3E-2</v>
      </c>
      <c r="S34" s="67">
        <v>2.3E-2</v>
      </c>
      <c r="T34" s="67">
        <v>2.3E-2</v>
      </c>
      <c r="U34" s="67">
        <v>2.3E-2</v>
      </c>
      <c r="V34" s="67">
        <v>2.3E-2</v>
      </c>
      <c r="W34" s="67">
        <v>2.3E-2</v>
      </c>
      <c r="X34" s="67">
        <v>2.3E-2</v>
      </c>
      <c r="Y34" s="67">
        <v>2.3E-2</v>
      </c>
      <c r="Z34" s="61" t="s">
        <v>216</v>
      </c>
      <c r="AA34" s="68">
        <v>0.25510204081632654</v>
      </c>
      <c r="AB34" s="69">
        <v>1.9057916741777945E-4</v>
      </c>
    </row>
    <row r="35" spans="2:28" x14ac:dyDescent="0.3">
      <c r="B35" s="61" t="s">
        <v>220</v>
      </c>
      <c r="C35" s="61" t="s">
        <v>89</v>
      </c>
      <c r="D35" s="61" t="s">
        <v>200</v>
      </c>
      <c r="E35" s="61" t="s">
        <v>213</v>
      </c>
      <c r="F35" s="61" t="s">
        <v>94</v>
      </c>
      <c r="G35" s="62">
        <v>0</v>
      </c>
      <c r="H35" s="61">
        <v>1</v>
      </c>
      <c r="I35" s="61" t="s">
        <v>218</v>
      </c>
      <c r="J35" s="61" t="s">
        <v>215</v>
      </c>
      <c r="K35" s="67">
        <v>0</v>
      </c>
      <c r="L35" s="67">
        <v>0</v>
      </c>
      <c r="M35" s="67">
        <v>0</v>
      </c>
      <c r="N35" s="67">
        <v>0</v>
      </c>
      <c r="O35" s="67">
        <v>0</v>
      </c>
      <c r="P35" s="67">
        <v>0</v>
      </c>
      <c r="Q35" s="67">
        <v>0</v>
      </c>
      <c r="R35" s="67">
        <v>0</v>
      </c>
      <c r="S35" s="67">
        <v>0</v>
      </c>
      <c r="T35" s="67">
        <v>0</v>
      </c>
      <c r="U35" s="67">
        <v>0</v>
      </c>
      <c r="V35" s="67">
        <v>0</v>
      </c>
      <c r="W35" s="67">
        <v>0</v>
      </c>
      <c r="X35" s="67">
        <v>0</v>
      </c>
      <c r="Y35" s="67">
        <v>0</v>
      </c>
      <c r="Z35" s="61" t="s">
        <v>216</v>
      </c>
      <c r="AA35" s="68">
        <v>4.3983110485573542</v>
      </c>
      <c r="AB35" s="69">
        <v>0</v>
      </c>
    </row>
    <row r="36" spans="2:28" x14ac:dyDescent="0.3">
      <c r="B36" s="61" t="s">
        <v>220</v>
      </c>
      <c r="C36" s="61" t="s">
        <v>89</v>
      </c>
      <c r="D36" s="61" t="s">
        <v>200</v>
      </c>
      <c r="E36" s="61" t="s">
        <v>217</v>
      </c>
      <c r="F36" s="61" t="s">
        <v>94</v>
      </c>
      <c r="G36" s="62">
        <v>0</v>
      </c>
      <c r="H36" s="61">
        <v>1</v>
      </c>
      <c r="I36" s="61" t="s">
        <v>218</v>
      </c>
      <c r="J36" s="61" t="s">
        <v>215</v>
      </c>
      <c r="K36" s="67">
        <v>0</v>
      </c>
      <c r="L36" s="67">
        <v>0</v>
      </c>
      <c r="M36" s="67">
        <v>0</v>
      </c>
      <c r="N36" s="67">
        <v>0</v>
      </c>
      <c r="O36" s="67">
        <v>0</v>
      </c>
      <c r="P36" s="67">
        <v>0</v>
      </c>
      <c r="Q36" s="67">
        <v>0</v>
      </c>
      <c r="R36" s="67">
        <v>0</v>
      </c>
      <c r="S36" s="67">
        <v>0</v>
      </c>
      <c r="T36" s="67">
        <v>0</v>
      </c>
      <c r="U36" s="67">
        <v>0</v>
      </c>
      <c r="V36" s="67">
        <v>0</v>
      </c>
      <c r="W36" s="67">
        <v>0</v>
      </c>
      <c r="X36" s="67">
        <v>0</v>
      </c>
      <c r="Y36" s="67">
        <v>0</v>
      </c>
      <c r="Z36" s="61" t="s">
        <v>216</v>
      </c>
      <c r="AA36" s="68">
        <v>4.3983110485573542</v>
      </c>
      <c r="AB36" s="69">
        <v>0</v>
      </c>
    </row>
    <row r="37" spans="2:28" x14ac:dyDescent="0.3">
      <c r="B37" s="61" t="s">
        <v>220</v>
      </c>
      <c r="C37" s="61" t="s">
        <v>89</v>
      </c>
      <c r="D37" s="61" t="s">
        <v>123</v>
      </c>
      <c r="E37" s="61" t="s">
        <v>213</v>
      </c>
      <c r="F37" s="61" t="s">
        <v>93</v>
      </c>
      <c r="G37" s="62">
        <v>1</v>
      </c>
      <c r="H37" s="61">
        <v>1</v>
      </c>
      <c r="I37" s="61" t="s">
        <v>214</v>
      </c>
      <c r="J37" s="61" t="s">
        <v>215</v>
      </c>
      <c r="K37" s="67">
        <v>2.3E-2</v>
      </c>
      <c r="L37" s="67">
        <v>2.3E-2</v>
      </c>
      <c r="M37" s="67">
        <v>2.3E-2</v>
      </c>
      <c r="N37" s="67">
        <v>2.3E-2</v>
      </c>
      <c r="O37" s="67">
        <v>2.3E-2</v>
      </c>
      <c r="P37" s="67">
        <v>2.3E-2</v>
      </c>
      <c r="Q37" s="67">
        <v>2.3E-2</v>
      </c>
      <c r="R37" s="67">
        <v>2.3E-2</v>
      </c>
      <c r="S37" s="67">
        <v>2.3E-2</v>
      </c>
      <c r="T37" s="67">
        <v>2.3E-2</v>
      </c>
      <c r="U37" s="67">
        <v>2.3E-2</v>
      </c>
      <c r="V37" s="67">
        <v>2.3E-2</v>
      </c>
      <c r="W37" s="67">
        <v>2.3E-2</v>
      </c>
      <c r="X37" s="67">
        <v>2.3E-2</v>
      </c>
      <c r="Y37" s="67">
        <v>2.3E-2</v>
      </c>
      <c r="Z37" s="61" t="s">
        <v>216</v>
      </c>
      <c r="AA37" s="68">
        <v>0.25510204081632654</v>
      </c>
      <c r="AB37" s="69">
        <v>1.9057916741777945E-4</v>
      </c>
    </row>
    <row r="38" spans="2:28" x14ac:dyDescent="0.3">
      <c r="B38" s="61" t="s">
        <v>220</v>
      </c>
      <c r="C38" s="61" t="s">
        <v>89</v>
      </c>
      <c r="D38" s="61" t="s">
        <v>123</v>
      </c>
      <c r="E38" s="61" t="s">
        <v>217</v>
      </c>
      <c r="F38" s="61" t="s">
        <v>93</v>
      </c>
      <c r="G38" s="62">
        <v>1</v>
      </c>
      <c r="H38" s="61">
        <v>1</v>
      </c>
      <c r="I38" s="61" t="s">
        <v>214</v>
      </c>
      <c r="J38" s="61" t="s">
        <v>215</v>
      </c>
      <c r="K38" s="67">
        <v>2.3E-2</v>
      </c>
      <c r="L38" s="67">
        <v>2.3E-2</v>
      </c>
      <c r="M38" s="67">
        <v>2.3E-2</v>
      </c>
      <c r="N38" s="67">
        <v>2.3E-2</v>
      </c>
      <c r="O38" s="67">
        <v>2.3E-2</v>
      </c>
      <c r="P38" s="67">
        <v>2.3E-2</v>
      </c>
      <c r="Q38" s="67">
        <v>2.3E-2</v>
      </c>
      <c r="R38" s="67">
        <v>2.3E-2</v>
      </c>
      <c r="S38" s="67">
        <v>2.3E-2</v>
      </c>
      <c r="T38" s="67">
        <v>2.3E-2</v>
      </c>
      <c r="U38" s="67">
        <v>2.3E-2</v>
      </c>
      <c r="V38" s="67">
        <v>2.3E-2</v>
      </c>
      <c r="W38" s="67">
        <v>2.3E-2</v>
      </c>
      <c r="X38" s="67">
        <v>2.3E-2</v>
      </c>
      <c r="Y38" s="67">
        <v>2.3E-2</v>
      </c>
      <c r="Z38" s="61" t="s">
        <v>216</v>
      </c>
      <c r="AA38" s="68">
        <v>0.25510204081632654</v>
      </c>
      <c r="AB38" s="69">
        <v>1.9057916741777945E-4</v>
      </c>
    </row>
    <row r="39" spans="2:28" x14ac:dyDescent="0.3">
      <c r="B39" s="61" t="s">
        <v>220</v>
      </c>
      <c r="C39" s="61" t="s">
        <v>89</v>
      </c>
      <c r="D39" s="61" t="s">
        <v>123</v>
      </c>
      <c r="E39" s="61" t="s">
        <v>213</v>
      </c>
      <c r="F39" s="61" t="s">
        <v>94</v>
      </c>
      <c r="G39" s="62">
        <v>0.59</v>
      </c>
      <c r="H39" s="61">
        <v>1</v>
      </c>
      <c r="I39" s="61" t="s">
        <v>218</v>
      </c>
      <c r="J39" s="61" t="s">
        <v>215</v>
      </c>
      <c r="K39" s="67">
        <v>0</v>
      </c>
      <c r="L39" s="67">
        <v>0</v>
      </c>
      <c r="M39" s="67">
        <v>0</v>
      </c>
      <c r="N39" s="67">
        <v>0</v>
      </c>
      <c r="O39" s="67">
        <v>0</v>
      </c>
      <c r="P39" s="67">
        <v>0</v>
      </c>
      <c r="Q39" s="67">
        <v>0</v>
      </c>
      <c r="R39" s="67">
        <v>0</v>
      </c>
      <c r="S39" s="67">
        <v>0</v>
      </c>
      <c r="T39" s="67">
        <v>0</v>
      </c>
      <c r="U39" s="67">
        <v>0</v>
      </c>
      <c r="V39" s="67">
        <v>0</v>
      </c>
      <c r="W39" s="67">
        <v>0</v>
      </c>
      <c r="X39" s="67">
        <v>0</v>
      </c>
      <c r="Y39" s="67">
        <v>0</v>
      </c>
      <c r="Z39" s="61" t="s">
        <v>216</v>
      </c>
      <c r="AA39" s="68">
        <v>0</v>
      </c>
      <c r="AB39" s="69">
        <v>0</v>
      </c>
    </row>
    <row r="40" spans="2:28" x14ac:dyDescent="0.3">
      <c r="B40" s="61" t="s">
        <v>220</v>
      </c>
      <c r="C40" s="61" t="s">
        <v>89</v>
      </c>
      <c r="D40" s="61" t="s">
        <v>123</v>
      </c>
      <c r="E40" s="61" t="s">
        <v>217</v>
      </c>
      <c r="F40" s="61" t="s">
        <v>94</v>
      </c>
      <c r="G40" s="62">
        <v>0.59</v>
      </c>
      <c r="H40" s="61">
        <v>1</v>
      </c>
      <c r="I40" s="61" t="s">
        <v>218</v>
      </c>
      <c r="J40" s="61" t="s">
        <v>215</v>
      </c>
      <c r="K40" s="67">
        <v>0</v>
      </c>
      <c r="L40" s="67">
        <v>0</v>
      </c>
      <c r="M40" s="67">
        <v>0</v>
      </c>
      <c r="N40" s="67">
        <v>0</v>
      </c>
      <c r="O40" s="67">
        <v>0</v>
      </c>
      <c r="P40" s="67">
        <v>0</v>
      </c>
      <c r="Q40" s="67">
        <v>0</v>
      </c>
      <c r="R40" s="67">
        <v>0</v>
      </c>
      <c r="S40" s="67">
        <v>0</v>
      </c>
      <c r="T40" s="67">
        <v>0</v>
      </c>
      <c r="U40" s="67">
        <v>0</v>
      </c>
      <c r="V40" s="67">
        <v>0</v>
      </c>
      <c r="W40" s="67">
        <v>0</v>
      </c>
      <c r="X40" s="67">
        <v>0</v>
      </c>
      <c r="Y40" s="67">
        <v>0</v>
      </c>
      <c r="Z40" s="61" t="s">
        <v>216</v>
      </c>
      <c r="AA40" s="68">
        <v>0</v>
      </c>
      <c r="AB40" s="69">
        <v>0</v>
      </c>
    </row>
    <row r="41" spans="2:28" x14ac:dyDescent="0.3">
      <c r="B41" s="61" t="s">
        <v>221</v>
      </c>
      <c r="C41" s="61" t="s">
        <v>89</v>
      </c>
      <c r="D41" s="61" t="s">
        <v>121</v>
      </c>
      <c r="E41" s="61" t="s">
        <v>213</v>
      </c>
      <c r="F41" s="61" t="s">
        <v>93</v>
      </c>
      <c r="G41" s="62">
        <v>1</v>
      </c>
      <c r="H41" s="61">
        <v>1</v>
      </c>
      <c r="I41" s="61" t="s">
        <v>214</v>
      </c>
      <c r="J41" s="61" t="s">
        <v>215</v>
      </c>
      <c r="K41" s="67">
        <v>8.103030303030305E-2</v>
      </c>
      <c r="L41" s="67">
        <v>8.103030303030305E-2</v>
      </c>
      <c r="M41" s="67">
        <v>8.103030303030305E-2</v>
      </c>
      <c r="N41" s="67">
        <v>8.103030303030305E-2</v>
      </c>
      <c r="O41" s="67">
        <v>8.103030303030305E-2</v>
      </c>
      <c r="P41" s="67">
        <v>8.103030303030305E-2</v>
      </c>
      <c r="Q41" s="67">
        <v>8.103030303030305E-2</v>
      </c>
      <c r="R41" s="67">
        <v>8.103030303030305E-2</v>
      </c>
      <c r="S41" s="67">
        <v>8.103030303030305E-2</v>
      </c>
      <c r="T41" s="67">
        <v>8.103030303030305E-2</v>
      </c>
      <c r="U41" s="67">
        <v>8.103030303030305E-2</v>
      </c>
      <c r="V41" s="67">
        <v>8.103030303030305E-2</v>
      </c>
      <c r="W41" s="67">
        <v>8.103030303030305E-2</v>
      </c>
      <c r="X41" s="67">
        <v>8.103030303030305E-2</v>
      </c>
      <c r="Y41" s="67">
        <v>8.103030303030305E-2</v>
      </c>
      <c r="Z41" s="61" t="s">
        <v>216</v>
      </c>
      <c r="AA41" s="68">
        <v>2.1559065135783151E-2</v>
      </c>
      <c r="AB41" s="69">
        <v>1.9057916741777945E-4</v>
      </c>
    </row>
    <row r="42" spans="2:28" x14ac:dyDescent="0.3">
      <c r="B42" s="61" t="s">
        <v>221</v>
      </c>
      <c r="C42" s="61" t="s">
        <v>89</v>
      </c>
      <c r="D42" s="61" t="s">
        <v>121</v>
      </c>
      <c r="E42" s="61" t="s">
        <v>217</v>
      </c>
      <c r="F42" s="61" t="s">
        <v>93</v>
      </c>
      <c r="G42" s="62">
        <v>1</v>
      </c>
      <c r="H42" s="61">
        <v>1</v>
      </c>
      <c r="I42" s="61" t="s">
        <v>214</v>
      </c>
      <c r="J42" s="61" t="s">
        <v>215</v>
      </c>
      <c r="K42" s="67">
        <v>8.103030303030305E-2</v>
      </c>
      <c r="L42" s="67">
        <v>8.103030303030305E-2</v>
      </c>
      <c r="M42" s="67">
        <v>8.103030303030305E-2</v>
      </c>
      <c r="N42" s="67">
        <v>8.103030303030305E-2</v>
      </c>
      <c r="O42" s="67">
        <v>8.103030303030305E-2</v>
      </c>
      <c r="P42" s="67">
        <v>8.103030303030305E-2</v>
      </c>
      <c r="Q42" s="67">
        <v>8.103030303030305E-2</v>
      </c>
      <c r="R42" s="67">
        <v>8.103030303030305E-2</v>
      </c>
      <c r="S42" s="67">
        <v>8.103030303030305E-2</v>
      </c>
      <c r="T42" s="67">
        <v>8.103030303030305E-2</v>
      </c>
      <c r="U42" s="67">
        <v>8.103030303030305E-2</v>
      </c>
      <c r="V42" s="67">
        <v>8.103030303030305E-2</v>
      </c>
      <c r="W42" s="67">
        <v>8.103030303030305E-2</v>
      </c>
      <c r="X42" s="67">
        <v>8.103030303030305E-2</v>
      </c>
      <c r="Y42" s="67">
        <v>8.103030303030305E-2</v>
      </c>
      <c r="Z42" s="61" t="s">
        <v>216</v>
      </c>
      <c r="AA42" s="68">
        <v>2.1559065135783151E-2</v>
      </c>
      <c r="AB42" s="69">
        <v>1.9057916741777945E-4</v>
      </c>
    </row>
    <row r="43" spans="2:28" x14ac:dyDescent="0.3">
      <c r="B43" s="61" t="s">
        <v>221</v>
      </c>
      <c r="C43" s="61" t="s">
        <v>89</v>
      </c>
      <c r="D43" s="61" t="s">
        <v>121</v>
      </c>
      <c r="E43" s="61" t="s">
        <v>213</v>
      </c>
      <c r="F43" s="61" t="s">
        <v>94</v>
      </c>
      <c r="G43" s="62">
        <v>1</v>
      </c>
      <c r="H43" s="61">
        <v>1</v>
      </c>
      <c r="I43" s="61" t="s">
        <v>218</v>
      </c>
      <c r="J43" s="61" t="s">
        <v>215</v>
      </c>
      <c r="K43" s="67">
        <v>5.2000000000000005E-2</v>
      </c>
      <c r="L43" s="67">
        <v>5.2000000000000005E-2</v>
      </c>
      <c r="M43" s="67">
        <v>5.2000000000000005E-2</v>
      </c>
      <c r="N43" s="67">
        <v>5.2000000000000005E-2</v>
      </c>
      <c r="O43" s="67">
        <v>5.2000000000000005E-2</v>
      </c>
      <c r="P43" s="67">
        <v>5.2000000000000005E-2</v>
      </c>
      <c r="Q43" s="67">
        <v>5.2000000000000005E-2</v>
      </c>
      <c r="R43" s="67">
        <v>5.2000000000000005E-2</v>
      </c>
      <c r="S43" s="67">
        <v>5.2000000000000005E-2</v>
      </c>
      <c r="T43" s="67">
        <v>5.2000000000000005E-2</v>
      </c>
      <c r="U43" s="67">
        <v>5.2000000000000005E-2</v>
      </c>
      <c r="V43" s="67">
        <v>5.2000000000000005E-2</v>
      </c>
      <c r="W43" s="67">
        <v>5.2000000000000005E-2</v>
      </c>
      <c r="X43" s="67">
        <v>5.2000000000000005E-2</v>
      </c>
      <c r="Y43" s="67">
        <v>5.2000000000000005E-2</v>
      </c>
      <c r="Z43" s="61" t="s">
        <v>216</v>
      </c>
      <c r="AA43" s="68">
        <v>0</v>
      </c>
      <c r="AB43" s="69">
        <v>0</v>
      </c>
    </row>
    <row r="44" spans="2:28" x14ac:dyDescent="0.3">
      <c r="B44" s="61" t="s">
        <v>221</v>
      </c>
      <c r="C44" s="61" t="s">
        <v>89</v>
      </c>
      <c r="D44" s="61" t="s">
        <v>121</v>
      </c>
      <c r="E44" s="61" t="s">
        <v>217</v>
      </c>
      <c r="F44" s="61" t="s">
        <v>94</v>
      </c>
      <c r="G44" s="62">
        <v>1</v>
      </c>
      <c r="H44" s="61">
        <v>1</v>
      </c>
      <c r="I44" s="61" t="s">
        <v>218</v>
      </c>
      <c r="J44" s="61" t="s">
        <v>215</v>
      </c>
      <c r="K44" s="67">
        <v>5.2000000000000005E-2</v>
      </c>
      <c r="L44" s="67">
        <v>5.2000000000000005E-2</v>
      </c>
      <c r="M44" s="67">
        <v>5.2000000000000005E-2</v>
      </c>
      <c r="N44" s="67">
        <v>5.2000000000000005E-2</v>
      </c>
      <c r="O44" s="67">
        <v>5.2000000000000005E-2</v>
      </c>
      <c r="P44" s="67">
        <v>5.2000000000000005E-2</v>
      </c>
      <c r="Q44" s="67">
        <v>5.2000000000000005E-2</v>
      </c>
      <c r="R44" s="67">
        <v>5.2000000000000005E-2</v>
      </c>
      <c r="S44" s="67">
        <v>5.2000000000000005E-2</v>
      </c>
      <c r="T44" s="67">
        <v>5.2000000000000005E-2</v>
      </c>
      <c r="U44" s="67">
        <v>5.2000000000000005E-2</v>
      </c>
      <c r="V44" s="67">
        <v>5.2000000000000005E-2</v>
      </c>
      <c r="W44" s="67">
        <v>5.2000000000000005E-2</v>
      </c>
      <c r="X44" s="67">
        <v>5.2000000000000005E-2</v>
      </c>
      <c r="Y44" s="67">
        <v>5.2000000000000005E-2</v>
      </c>
      <c r="Z44" s="61" t="s">
        <v>216</v>
      </c>
      <c r="AA44" s="68">
        <v>0</v>
      </c>
      <c r="AB44" s="69">
        <v>0</v>
      </c>
    </row>
    <row r="45" spans="2:28" x14ac:dyDescent="0.3">
      <c r="B45" s="61" t="s">
        <v>221</v>
      </c>
      <c r="C45" s="61" t="s">
        <v>89</v>
      </c>
      <c r="D45" s="61" t="s">
        <v>122</v>
      </c>
      <c r="E45" s="61" t="s">
        <v>213</v>
      </c>
      <c r="F45" s="61" t="s">
        <v>93</v>
      </c>
      <c r="G45" s="62">
        <v>1</v>
      </c>
      <c r="H45" s="61">
        <v>1</v>
      </c>
      <c r="I45" s="61" t="s">
        <v>214</v>
      </c>
      <c r="J45" s="61" t="s">
        <v>215</v>
      </c>
      <c r="K45" s="67">
        <v>8.103030303030305E-2</v>
      </c>
      <c r="L45" s="67">
        <v>8.103030303030305E-2</v>
      </c>
      <c r="M45" s="67">
        <v>8.103030303030305E-2</v>
      </c>
      <c r="N45" s="67">
        <v>8.103030303030305E-2</v>
      </c>
      <c r="O45" s="67">
        <v>8.103030303030305E-2</v>
      </c>
      <c r="P45" s="67">
        <v>8.103030303030305E-2</v>
      </c>
      <c r="Q45" s="67">
        <v>8.103030303030305E-2</v>
      </c>
      <c r="R45" s="67">
        <v>8.103030303030305E-2</v>
      </c>
      <c r="S45" s="67">
        <v>8.103030303030305E-2</v>
      </c>
      <c r="T45" s="67">
        <v>8.103030303030305E-2</v>
      </c>
      <c r="U45" s="67">
        <v>8.103030303030305E-2</v>
      </c>
      <c r="V45" s="67">
        <v>8.103030303030305E-2</v>
      </c>
      <c r="W45" s="67">
        <v>8.103030303030305E-2</v>
      </c>
      <c r="X45" s="67">
        <v>8.103030303030305E-2</v>
      </c>
      <c r="Y45" s="67">
        <v>8.103030303030305E-2</v>
      </c>
      <c r="Z45" s="61" t="s">
        <v>216</v>
      </c>
      <c r="AA45" s="68">
        <v>2.1559065135783151E-2</v>
      </c>
      <c r="AB45" s="69">
        <v>1.9057916741777945E-4</v>
      </c>
    </row>
    <row r="46" spans="2:28" x14ac:dyDescent="0.3">
      <c r="B46" s="61" t="s">
        <v>221</v>
      </c>
      <c r="C46" s="61" t="s">
        <v>89</v>
      </c>
      <c r="D46" s="61" t="s">
        <v>122</v>
      </c>
      <c r="E46" s="61" t="s">
        <v>217</v>
      </c>
      <c r="F46" s="61" t="s">
        <v>93</v>
      </c>
      <c r="G46" s="62">
        <v>1</v>
      </c>
      <c r="H46" s="61">
        <v>1</v>
      </c>
      <c r="I46" s="61" t="s">
        <v>214</v>
      </c>
      <c r="J46" s="61" t="s">
        <v>215</v>
      </c>
      <c r="K46" s="67">
        <v>8.103030303030305E-2</v>
      </c>
      <c r="L46" s="67">
        <v>8.103030303030305E-2</v>
      </c>
      <c r="M46" s="67">
        <v>8.103030303030305E-2</v>
      </c>
      <c r="N46" s="67">
        <v>8.103030303030305E-2</v>
      </c>
      <c r="O46" s="67">
        <v>8.103030303030305E-2</v>
      </c>
      <c r="P46" s="67">
        <v>8.103030303030305E-2</v>
      </c>
      <c r="Q46" s="67">
        <v>8.103030303030305E-2</v>
      </c>
      <c r="R46" s="67">
        <v>8.103030303030305E-2</v>
      </c>
      <c r="S46" s="67">
        <v>8.103030303030305E-2</v>
      </c>
      <c r="T46" s="67">
        <v>8.103030303030305E-2</v>
      </c>
      <c r="U46" s="67">
        <v>8.103030303030305E-2</v>
      </c>
      <c r="V46" s="67">
        <v>8.103030303030305E-2</v>
      </c>
      <c r="W46" s="67">
        <v>8.103030303030305E-2</v>
      </c>
      <c r="X46" s="67">
        <v>8.103030303030305E-2</v>
      </c>
      <c r="Y46" s="67">
        <v>8.103030303030305E-2</v>
      </c>
      <c r="Z46" s="61" t="s">
        <v>216</v>
      </c>
      <c r="AA46" s="68">
        <v>2.1559065135783151E-2</v>
      </c>
      <c r="AB46" s="69">
        <v>1.9057916741777945E-4</v>
      </c>
    </row>
    <row r="47" spans="2:28" x14ac:dyDescent="0.3">
      <c r="B47" s="61" t="s">
        <v>221</v>
      </c>
      <c r="C47" s="61" t="s">
        <v>89</v>
      </c>
      <c r="D47" s="61" t="s">
        <v>200</v>
      </c>
      <c r="E47" s="61" t="s">
        <v>213</v>
      </c>
      <c r="F47" s="61" t="s">
        <v>94</v>
      </c>
      <c r="G47" s="62">
        <v>1</v>
      </c>
      <c r="H47" s="61">
        <v>1</v>
      </c>
      <c r="I47" s="61" t="s">
        <v>218</v>
      </c>
      <c r="J47" s="61" t="s">
        <v>215</v>
      </c>
      <c r="K47" s="67">
        <v>5.2000000000000005E-2</v>
      </c>
      <c r="L47" s="67">
        <v>5.2000000000000005E-2</v>
      </c>
      <c r="M47" s="67">
        <v>5.2000000000000005E-2</v>
      </c>
      <c r="N47" s="67">
        <v>5.2000000000000005E-2</v>
      </c>
      <c r="O47" s="67">
        <v>5.2000000000000005E-2</v>
      </c>
      <c r="P47" s="67">
        <v>5.2000000000000005E-2</v>
      </c>
      <c r="Q47" s="67">
        <v>5.2000000000000005E-2</v>
      </c>
      <c r="R47" s="67">
        <v>5.2000000000000005E-2</v>
      </c>
      <c r="S47" s="67">
        <v>5.2000000000000005E-2</v>
      </c>
      <c r="T47" s="67">
        <v>5.2000000000000005E-2</v>
      </c>
      <c r="U47" s="67">
        <v>5.2000000000000005E-2</v>
      </c>
      <c r="V47" s="67">
        <v>5.2000000000000005E-2</v>
      </c>
      <c r="W47" s="67">
        <v>5.2000000000000005E-2</v>
      </c>
      <c r="X47" s="67">
        <v>5.2000000000000005E-2</v>
      </c>
      <c r="Y47" s="67">
        <v>5.2000000000000005E-2</v>
      </c>
      <c r="Z47" s="61" t="s">
        <v>216</v>
      </c>
      <c r="AA47" s="68">
        <v>0.57922333587617703</v>
      </c>
      <c r="AB47" s="69">
        <v>0</v>
      </c>
    </row>
    <row r="48" spans="2:28" x14ac:dyDescent="0.3">
      <c r="B48" s="61" t="s">
        <v>221</v>
      </c>
      <c r="C48" s="61" t="s">
        <v>89</v>
      </c>
      <c r="D48" s="61" t="s">
        <v>200</v>
      </c>
      <c r="E48" s="61" t="s">
        <v>217</v>
      </c>
      <c r="F48" s="61" t="s">
        <v>94</v>
      </c>
      <c r="G48" s="62">
        <v>1</v>
      </c>
      <c r="H48" s="61">
        <v>1</v>
      </c>
      <c r="I48" s="61" t="s">
        <v>218</v>
      </c>
      <c r="J48" s="61" t="s">
        <v>215</v>
      </c>
      <c r="K48" s="67">
        <v>5.2000000000000005E-2</v>
      </c>
      <c r="L48" s="67">
        <v>5.2000000000000005E-2</v>
      </c>
      <c r="M48" s="67">
        <v>5.2000000000000005E-2</v>
      </c>
      <c r="N48" s="67">
        <v>5.2000000000000005E-2</v>
      </c>
      <c r="O48" s="67">
        <v>5.2000000000000005E-2</v>
      </c>
      <c r="P48" s="67">
        <v>5.2000000000000005E-2</v>
      </c>
      <c r="Q48" s="67">
        <v>5.2000000000000005E-2</v>
      </c>
      <c r="R48" s="67">
        <v>5.2000000000000005E-2</v>
      </c>
      <c r="S48" s="67">
        <v>5.2000000000000005E-2</v>
      </c>
      <c r="T48" s="67">
        <v>5.2000000000000005E-2</v>
      </c>
      <c r="U48" s="67">
        <v>5.2000000000000005E-2</v>
      </c>
      <c r="V48" s="67">
        <v>5.2000000000000005E-2</v>
      </c>
      <c r="W48" s="67">
        <v>5.2000000000000005E-2</v>
      </c>
      <c r="X48" s="67">
        <v>5.2000000000000005E-2</v>
      </c>
      <c r="Y48" s="67">
        <v>5.2000000000000005E-2</v>
      </c>
      <c r="Z48" s="61" t="s">
        <v>216</v>
      </c>
      <c r="AA48" s="68">
        <v>0.57922333587617703</v>
      </c>
      <c r="AB48" s="69">
        <v>0</v>
      </c>
    </row>
    <row r="49" spans="2:28" x14ac:dyDescent="0.3">
      <c r="B49" s="61" t="s">
        <v>221</v>
      </c>
      <c r="C49" s="61" t="s">
        <v>89</v>
      </c>
      <c r="D49" s="61" t="s">
        <v>123</v>
      </c>
      <c r="E49" s="61" t="s">
        <v>213</v>
      </c>
      <c r="F49" s="61" t="s">
        <v>93</v>
      </c>
      <c r="G49" s="62">
        <v>1</v>
      </c>
      <c r="H49" s="61">
        <v>1</v>
      </c>
      <c r="I49" s="61" t="s">
        <v>214</v>
      </c>
      <c r="J49" s="61" t="s">
        <v>215</v>
      </c>
      <c r="K49" s="67">
        <v>8.103030303030305E-2</v>
      </c>
      <c r="L49" s="67">
        <v>8.103030303030305E-2</v>
      </c>
      <c r="M49" s="67">
        <v>8.103030303030305E-2</v>
      </c>
      <c r="N49" s="67">
        <v>8.103030303030305E-2</v>
      </c>
      <c r="O49" s="67">
        <v>8.103030303030305E-2</v>
      </c>
      <c r="P49" s="67">
        <v>8.103030303030305E-2</v>
      </c>
      <c r="Q49" s="67">
        <v>8.103030303030305E-2</v>
      </c>
      <c r="R49" s="67">
        <v>8.103030303030305E-2</v>
      </c>
      <c r="S49" s="67">
        <v>8.103030303030305E-2</v>
      </c>
      <c r="T49" s="67">
        <v>8.103030303030305E-2</v>
      </c>
      <c r="U49" s="67">
        <v>8.103030303030305E-2</v>
      </c>
      <c r="V49" s="67">
        <v>8.103030303030305E-2</v>
      </c>
      <c r="W49" s="67">
        <v>8.103030303030305E-2</v>
      </c>
      <c r="X49" s="67">
        <v>8.103030303030305E-2</v>
      </c>
      <c r="Y49" s="67">
        <v>8.103030303030305E-2</v>
      </c>
      <c r="Z49" s="61" t="s">
        <v>216</v>
      </c>
      <c r="AA49" s="68">
        <v>2.1559065135783151E-2</v>
      </c>
      <c r="AB49" s="69">
        <v>1.9057916741777945E-4</v>
      </c>
    </row>
    <row r="50" spans="2:28" x14ac:dyDescent="0.3">
      <c r="B50" s="61" t="s">
        <v>221</v>
      </c>
      <c r="C50" s="61" t="s">
        <v>89</v>
      </c>
      <c r="D50" s="61" t="s">
        <v>123</v>
      </c>
      <c r="E50" s="61" t="s">
        <v>217</v>
      </c>
      <c r="F50" s="61" t="s">
        <v>93</v>
      </c>
      <c r="G50" s="62">
        <v>1</v>
      </c>
      <c r="H50" s="61">
        <v>1</v>
      </c>
      <c r="I50" s="61" t="s">
        <v>214</v>
      </c>
      <c r="J50" s="61" t="s">
        <v>215</v>
      </c>
      <c r="K50" s="67">
        <v>8.103030303030305E-2</v>
      </c>
      <c r="L50" s="67">
        <v>8.103030303030305E-2</v>
      </c>
      <c r="M50" s="67">
        <v>8.103030303030305E-2</v>
      </c>
      <c r="N50" s="67">
        <v>8.103030303030305E-2</v>
      </c>
      <c r="O50" s="67">
        <v>8.103030303030305E-2</v>
      </c>
      <c r="P50" s="67">
        <v>8.103030303030305E-2</v>
      </c>
      <c r="Q50" s="67">
        <v>8.103030303030305E-2</v>
      </c>
      <c r="R50" s="67">
        <v>8.103030303030305E-2</v>
      </c>
      <c r="S50" s="67">
        <v>8.103030303030305E-2</v>
      </c>
      <c r="T50" s="67">
        <v>8.103030303030305E-2</v>
      </c>
      <c r="U50" s="67">
        <v>8.103030303030305E-2</v>
      </c>
      <c r="V50" s="67">
        <v>8.103030303030305E-2</v>
      </c>
      <c r="W50" s="67">
        <v>8.103030303030305E-2</v>
      </c>
      <c r="X50" s="67">
        <v>8.103030303030305E-2</v>
      </c>
      <c r="Y50" s="67">
        <v>8.103030303030305E-2</v>
      </c>
      <c r="Z50" s="61" t="s">
        <v>216</v>
      </c>
      <c r="AA50" s="68">
        <v>2.1559065135783151E-2</v>
      </c>
      <c r="AB50" s="69">
        <v>1.9057916741777945E-4</v>
      </c>
    </row>
    <row r="51" spans="2:28" x14ac:dyDescent="0.3">
      <c r="B51" s="61" t="s">
        <v>221</v>
      </c>
      <c r="C51" s="61" t="s">
        <v>89</v>
      </c>
      <c r="D51" s="61" t="s">
        <v>123</v>
      </c>
      <c r="E51" s="61" t="s">
        <v>213</v>
      </c>
      <c r="F51" s="61" t="s">
        <v>94</v>
      </c>
      <c r="G51" s="62">
        <v>1</v>
      </c>
      <c r="H51" s="61">
        <v>1</v>
      </c>
      <c r="I51" s="61" t="s">
        <v>218</v>
      </c>
      <c r="J51" s="61" t="s">
        <v>215</v>
      </c>
      <c r="K51" s="67">
        <v>5.2000000000000005E-2</v>
      </c>
      <c r="L51" s="67">
        <v>5.2000000000000005E-2</v>
      </c>
      <c r="M51" s="67">
        <v>5.2000000000000005E-2</v>
      </c>
      <c r="N51" s="67">
        <v>5.2000000000000005E-2</v>
      </c>
      <c r="O51" s="67">
        <v>5.2000000000000005E-2</v>
      </c>
      <c r="P51" s="67">
        <v>5.2000000000000005E-2</v>
      </c>
      <c r="Q51" s="67">
        <v>5.2000000000000005E-2</v>
      </c>
      <c r="R51" s="67">
        <v>5.2000000000000005E-2</v>
      </c>
      <c r="S51" s="67">
        <v>5.2000000000000005E-2</v>
      </c>
      <c r="T51" s="67">
        <v>5.2000000000000005E-2</v>
      </c>
      <c r="U51" s="67">
        <v>5.2000000000000005E-2</v>
      </c>
      <c r="V51" s="67">
        <v>5.2000000000000005E-2</v>
      </c>
      <c r="W51" s="67">
        <v>5.2000000000000005E-2</v>
      </c>
      <c r="X51" s="67">
        <v>5.2000000000000005E-2</v>
      </c>
      <c r="Y51" s="67">
        <v>5.2000000000000005E-2</v>
      </c>
      <c r="Z51" s="61" t="s">
        <v>216</v>
      </c>
      <c r="AA51" s="68">
        <v>0</v>
      </c>
      <c r="AB51" s="69">
        <v>0</v>
      </c>
    </row>
    <row r="52" spans="2:28" x14ac:dyDescent="0.3">
      <c r="B52" s="61" t="s">
        <v>221</v>
      </c>
      <c r="C52" s="61" t="s">
        <v>89</v>
      </c>
      <c r="D52" s="61" t="s">
        <v>123</v>
      </c>
      <c r="E52" s="61" t="s">
        <v>217</v>
      </c>
      <c r="F52" s="61" t="s">
        <v>94</v>
      </c>
      <c r="G52" s="62">
        <v>1</v>
      </c>
      <c r="H52" s="61">
        <v>1</v>
      </c>
      <c r="I52" s="61" t="s">
        <v>218</v>
      </c>
      <c r="J52" s="61" t="s">
        <v>215</v>
      </c>
      <c r="K52" s="67">
        <v>5.2000000000000005E-2</v>
      </c>
      <c r="L52" s="67">
        <v>5.2000000000000005E-2</v>
      </c>
      <c r="M52" s="67">
        <v>5.2000000000000005E-2</v>
      </c>
      <c r="N52" s="67">
        <v>5.2000000000000005E-2</v>
      </c>
      <c r="O52" s="67">
        <v>5.2000000000000005E-2</v>
      </c>
      <c r="P52" s="67">
        <v>5.2000000000000005E-2</v>
      </c>
      <c r="Q52" s="67">
        <v>5.2000000000000005E-2</v>
      </c>
      <c r="R52" s="67">
        <v>5.2000000000000005E-2</v>
      </c>
      <c r="S52" s="67">
        <v>5.2000000000000005E-2</v>
      </c>
      <c r="T52" s="67">
        <v>5.2000000000000005E-2</v>
      </c>
      <c r="U52" s="67">
        <v>5.2000000000000005E-2</v>
      </c>
      <c r="V52" s="67">
        <v>5.2000000000000005E-2</v>
      </c>
      <c r="W52" s="67">
        <v>5.2000000000000005E-2</v>
      </c>
      <c r="X52" s="67">
        <v>5.2000000000000005E-2</v>
      </c>
      <c r="Y52" s="67">
        <v>5.2000000000000005E-2</v>
      </c>
      <c r="Z52" s="61" t="s">
        <v>216</v>
      </c>
      <c r="AA52" s="68">
        <v>0</v>
      </c>
      <c r="AB52" s="69">
        <v>0</v>
      </c>
    </row>
    <row r="53" spans="2:28" x14ac:dyDescent="0.3">
      <c r="B53" s="61" t="s">
        <v>222</v>
      </c>
      <c r="C53" s="61" t="s">
        <v>89</v>
      </c>
      <c r="D53" s="61" t="s">
        <v>121</v>
      </c>
      <c r="E53" s="61" t="s">
        <v>213</v>
      </c>
      <c r="F53" s="61" t="s">
        <v>93</v>
      </c>
      <c r="G53" s="62">
        <v>1</v>
      </c>
      <c r="H53" s="61">
        <v>1</v>
      </c>
      <c r="I53" s="61" t="s">
        <v>214</v>
      </c>
      <c r="J53" s="61" t="s">
        <v>215</v>
      </c>
      <c r="K53" s="67">
        <v>4.0833333333333333E-2</v>
      </c>
      <c r="L53" s="67">
        <v>4.0833333333333333E-2</v>
      </c>
      <c r="M53" s="67">
        <v>4.0833333333333333E-2</v>
      </c>
      <c r="N53" s="67">
        <v>4.0833333333333333E-2</v>
      </c>
      <c r="O53" s="67">
        <v>4.0833333333333333E-2</v>
      </c>
      <c r="P53" s="67">
        <v>4.0833333333333333E-2</v>
      </c>
      <c r="Q53" s="67">
        <v>4.0833333333333333E-2</v>
      </c>
      <c r="R53" s="67">
        <v>4.0833333333333333E-2</v>
      </c>
      <c r="S53" s="67">
        <v>4.0833333333333333E-2</v>
      </c>
      <c r="T53" s="67">
        <v>4.0833333333333333E-2</v>
      </c>
      <c r="U53" s="67">
        <v>4.0833333333333333E-2</v>
      </c>
      <c r="V53" s="67">
        <v>4.0833333333333333E-2</v>
      </c>
      <c r="W53" s="67">
        <v>4.0833333333333333E-2</v>
      </c>
      <c r="X53" s="67">
        <v>4.0833333333333333E-2</v>
      </c>
      <c r="Y53" s="67">
        <v>4.0833333333333333E-2</v>
      </c>
      <c r="Z53" s="61" t="s">
        <v>216</v>
      </c>
      <c r="AA53" s="68">
        <v>4.2315701790920464E-3</v>
      </c>
      <c r="AB53" s="69">
        <v>1.9057916741777945E-4</v>
      </c>
    </row>
    <row r="54" spans="2:28" x14ac:dyDescent="0.3">
      <c r="B54" s="61" t="s">
        <v>222</v>
      </c>
      <c r="C54" s="61" t="s">
        <v>89</v>
      </c>
      <c r="D54" s="61" t="s">
        <v>121</v>
      </c>
      <c r="E54" s="61" t="s">
        <v>217</v>
      </c>
      <c r="F54" s="61" t="s">
        <v>93</v>
      </c>
      <c r="G54" s="62">
        <v>1</v>
      </c>
      <c r="H54" s="61">
        <v>1</v>
      </c>
      <c r="I54" s="61" t="s">
        <v>214</v>
      </c>
      <c r="J54" s="61" t="s">
        <v>215</v>
      </c>
      <c r="K54" s="67">
        <v>4.0833333333333333E-2</v>
      </c>
      <c r="L54" s="67">
        <v>4.0833333333333333E-2</v>
      </c>
      <c r="M54" s="67">
        <v>4.0833333333333333E-2</v>
      </c>
      <c r="N54" s="67">
        <v>4.0833333333333333E-2</v>
      </c>
      <c r="O54" s="67">
        <v>4.0833333333333333E-2</v>
      </c>
      <c r="P54" s="67">
        <v>4.0833333333333333E-2</v>
      </c>
      <c r="Q54" s="67">
        <v>4.0833333333333333E-2</v>
      </c>
      <c r="R54" s="67">
        <v>4.0833333333333333E-2</v>
      </c>
      <c r="S54" s="67">
        <v>4.0833333333333333E-2</v>
      </c>
      <c r="T54" s="67">
        <v>4.0833333333333333E-2</v>
      </c>
      <c r="U54" s="67">
        <v>4.0833333333333333E-2</v>
      </c>
      <c r="V54" s="67">
        <v>4.0833333333333333E-2</v>
      </c>
      <c r="W54" s="67">
        <v>4.0833333333333333E-2</v>
      </c>
      <c r="X54" s="67">
        <v>4.0833333333333333E-2</v>
      </c>
      <c r="Y54" s="67">
        <v>4.0833333333333333E-2</v>
      </c>
      <c r="Z54" s="61" t="s">
        <v>216</v>
      </c>
      <c r="AA54" s="68">
        <v>4.2315701790920464E-3</v>
      </c>
      <c r="AB54" s="69">
        <v>1.9057916741777945E-4</v>
      </c>
    </row>
    <row r="55" spans="2:28" x14ac:dyDescent="0.3">
      <c r="B55" s="61" t="s">
        <v>222</v>
      </c>
      <c r="C55" s="61" t="s">
        <v>89</v>
      </c>
      <c r="D55" s="61" t="s">
        <v>121</v>
      </c>
      <c r="E55" s="61" t="s">
        <v>213</v>
      </c>
      <c r="F55" s="61" t="s">
        <v>94</v>
      </c>
      <c r="G55" s="62">
        <v>1</v>
      </c>
      <c r="H55" s="61">
        <v>1</v>
      </c>
      <c r="I55" s="61" t="s">
        <v>218</v>
      </c>
      <c r="J55" s="61" t="s">
        <v>215</v>
      </c>
      <c r="K55" s="67">
        <v>5.2000000000000005E-2</v>
      </c>
      <c r="L55" s="67">
        <v>5.2000000000000005E-2</v>
      </c>
      <c r="M55" s="67">
        <v>5.2000000000000005E-2</v>
      </c>
      <c r="N55" s="67">
        <v>5.2000000000000005E-2</v>
      </c>
      <c r="O55" s="67">
        <v>5.2000000000000005E-2</v>
      </c>
      <c r="P55" s="67">
        <v>5.2000000000000005E-2</v>
      </c>
      <c r="Q55" s="67">
        <v>5.2000000000000005E-2</v>
      </c>
      <c r="R55" s="67">
        <v>5.2000000000000005E-2</v>
      </c>
      <c r="S55" s="67">
        <v>5.2000000000000005E-2</v>
      </c>
      <c r="T55" s="67">
        <v>5.2000000000000005E-2</v>
      </c>
      <c r="U55" s="67">
        <v>5.2000000000000005E-2</v>
      </c>
      <c r="V55" s="67">
        <v>5.2000000000000005E-2</v>
      </c>
      <c r="W55" s="67">
        <v>5.2000000000000005E-2</v>
      </c>
      <c r="X55" s="67">
        <v>5.2000000000000005E-2</v>
      </c>
      <c r="Y55" s="67">
        <v>5.2000000000000005E-2</v>
      </c>
      <c r="Z55" s="61" t="s">
        <v>216</v>
      </c>
      <c r="AA55" s="68">
        <v>0</v>
      </c>
      <c r="AB55" s="69">
        <v>0</v>
      </c>
    </row>
    <row r="56" spans="2:28" x14ac:dyDescent="0.3">
      <c r="B56" s="61" t="s">
        <v>222</v>
      </c>
      <c r="C56" s="61" t="s">
        <v>89</v>
      </c>
      <c r="D56" s="61" t="s">
        <v>121</v>
      </c>
      <c r="E56" s="61" t="s">
        <v>217</v>
      </c>
      <c r="F56" s="61" t="s">
        <v>94</v>
      </c>
      <c r="G56" s="62">
        <v>1</v>
      </c>
      <c r="H56" s="61">
        <v>1</v>
      </c>
      <c r="I56" s="61" t="s">
        <v>218</v>
      </c>
      <c r="J56" s="61" t="s">
        <v>215</v>
      </c>
      <c r="K56" s="67">
        <v>5.2000000000000005E-2</v>
      </c>
      <c r="L56" s="67">
        <v>5.2000000000000005E-2</v>
      </c>
      <c r="M56" s="67">
        <v>5.2000000000000005E-2</v>
      </c>
      <c r="N56" s="67">
        <v>5.2000000000000005E-2</v>
      </c>
      <c r="O56" s="67">
        <v>5.2000000000000005E-2</v>
      </c>
      <c r="P56" s="67">
        <v>5.2000000000000005E-2</v>
      </c>
      <c r="Q56" s="67">
        <v>5.2000000000000005E-2</v>
      </c>
      <c r="R56" s="67">
        <v>5.2000000000000005E-2</v>
      </c>
      <c r="S56" s="67">
        <v>5.2000000000000005E-2</v>
      </c>
      <c r="T56" s="67">
        <v>5.2000000000000005E-2</v>
      </c>
      <c r="U56" s="67">
        <v>5.2000000000000005E-2</v>
      </c>
      <c r="V56" s="67">
        <v>5.2000000000000005E-2</v>
      </c>
      <c r="W56" s="67">
        <v>5.2000000000000005E-2</v>
      </c>
      <c r="X56" s="67">
        <v>5.2000000000000005E-2</v>
      </c>
      <c r="Y56" s="67">
        <v>5.2000000000000005E-2</v>
      </c>
      <c r="Z56" s="61" t="s">
        <v>216</v>
      </c>
      <c r="AA56" s="68">
        <v>0</v>
      </c>
      <c r="AB56" s="69">
        <v>0</v>
      </c>
    </row>
    <row r="57" spans="2:28" x14ac:dyDescent="0.3">
      <c r="B57" s="61" t="s">
        <v>222</v>
      </c>
      <c r="C57" s="61" t="s">
        <v>89</v>
      </c>
      <c r="D57" s="61" t="s">
        <v>122</v>
      </c>
      <c r="E57" s="61" t="s">
        <v>213</v>
      </c>
      <c r="F57" s="61" t="s">
        <v>93</v>
      </c>
      <c r="G57" s="62">
        <v>1</v>
      </c>
      <c r="H57" s="61">
        <v>1</v>
      </c>
      <c r="I57" s="61" t="s">
        <v>214</v>
      </c>
      <c r="J57" s="61" t="s">
        <v>215</v>
      </c>
      <c r="K57" s="67">
        <v>4.0833333333333333E-2</v>
      </c>
      <c r="L57" s="67">
        <v>4.0833333333333333E-2</v>
      </c>
      <c r="M57" s="67">
        <v>4.0833333333333333E-2</v>
      </c>
      <c r="N57" s="67">
        <v>4.0833333333333333E-2</v>
      </c>
      <c r="O57" s="67">
        <v>4.0833333333333333E-2</v>
      </c>
      <c r="P57" s="67">
        <v>4.0833333333333333E-2</v>
      </c>
      <c r="Q57" s="67">
        <v>4.0833333333333333E-2</v>
      </c>
      <c r="R57" s="67">
        <v>4.0833333333333333E-2</v>
      </c>
      <c r="S57" s="67">
        <v>4.0833333333333333E-2</v>
      </c>
      <c r="T57" s="67">
        <v>4.0833333333333333E-2</v>
      </c>
      <c r="U57" s="67">
        <v>4.0833333333333333E-2</v>
      </c>
      <c r="V57" s="67">
        <v>4.0833333333333333E-2</v>
      </c>
      <c r="W57" s="67">
        <v>4.0833333333333333E-2</v>
      </c>
      <c r="X57" s="67">
        <v>4.0833333333333333E-2</v>
      </c>
      <c r="Y57" s="67">
        <v>4.0833333333333333E-2</v>
      </c>
      <c r="Z57" s="61" t="s">
        <v>216</v>
      </c>
      <c r="AA57" s="68">
        <v>4.2315701790920464E-3</v>
      </c>
      <c r="AB57" s="69">
        <v>1.9057916741777945E-4</v>
      </c>
    </row>
    <row r="58" spans="2:28" x14ac:dyDescent="0.3">
      <c r="B58" s="61" t="s">
        <v>222</v>
      </c>
      <c r="C58" s="61" t="s">
        <v>89</v>
      </c>
      <c r="D58" s="61" t="s">
        <v>122</v>
      </c>
      <c r="E58" s="61" t="s">
        <v>217</v>
      </c>
      <c r="F58" s="61" t="s">
        <v>93</v>
      </c>
      <c r="G58" s="62">
        <v>1</v>
      </c>
      <c r="H58" s="61">
        <v>1</v>
      </c>
      <c r="I58" s="61" t="s">
        <v>214</v>
      </c>
      <c r="J58" s="61" t="s">
        <v>215</v>
      </c>
      <c r="K58" s="67">
        <v>4.0833333333333333E-2</v>
      </c>
      <c r="L58" s="67">
        <v>4.0833333333333333E-2</v>
      </c>
      <c r="M58" s="67">
        <v>4.0833333333333333E-2</v>
      </c>
      <c r="N58" s="67">
        <v>4.0833333333333333E-2</v>
      </c>
      <c r="O58" s="67">
        <v>4.0833333333333333E-2</v>
      </c>
      <c r="P58" s="67">
        <v>4.0833333333333333E-2</v>
      </c>
      <c r="Q58" s="67">
        <v>4.0833333333333333E-2</v>
      </c>
      <c r="R58" s="67">
        <v>4.0833333333333333E-2</v>
      </c>
      <c r="S58" s="67">
        <v>4.0833333333333333E-2</v>
      </c>
      <c r="T58" s="67">
        <v>4.0833333333333333E-2</v>
      </c>
      <c r="U58" s="67">
        <v>4.0833333333333333E-2</v>
      </c>
      <c r="V58" s="67">
        <v>4.0833333333333333E-2</v>
      </c>
      <c r="W58" s="67">
        <v>4.0833333333333333E-2</v>
      </c>
      <c r="X58" s="67">
        <v>4.0833333333333333E-2</v>
      </c>
      <c r="Y58" s="67">
        <v>4.0833333333333333E-2</v>
      </c>
      <c r="Z58" s="61" t="s">
        <v>216</v>
      </c>
      <c r="AA58" s="68">
        <v>4.2315701790920464E-3</v>
      </c>
      <c r="AB58" s="69">
        <v>1.9057916741777945E-4</v>
      </c>
    </row>
    <row r="59" spans="2:28" x14ac:dyDescent="0.3">
      <c r="B59" s="61" t="s">
        <v>222</v>
      </c>
      <c r="C59" s="61" t="s">
        <v>89</v>
      </c>
      <c r="D59" s="61" t="s">
        <v>200</v>
      </c>
      <c r="E59" s="61" t="s">
        <v>213</v>
      </c>
      <c r="F59" s="61" t="s">
        <v>94</v>
      </c>
      <c r="G59" s="62">
        <v>1</v>
      </c>
      <c r="H59" s="61">
        <v>1</v>
      </c>
      <c r="I59" s="61" t="s">
        <v>218</v>
      </c>
      <c r="J59" s="61" t="s">
        <v>215</v>
      </c>
      <c r="K59" s="67">
        <v>5.2000000000000005E-2</v>
      </c>
      <c r="L59" s="67">
        <v>5.2000000000000005E-2</v>
      </c>
      <c r="M59" s="67">
        <v>5.2000000000000005E-2</v>
      </c>
      <c r="N59" s="67">
        <v>5.2000000000000005E-2</v>
      </c>
      <c r="O59" s="67">
        <v>5.2000000000000005E-2</v>
      </c>
      <c r="P59" s="67">
        <v>5.2000000000000005E-2</v>
      </c>
      <c r="Q59" s="67">
        <v>5.2000000000000005E-2</v>
      </c>
      <c r="R59" s="67">
        <v>5.2000000000000005E-2</v>
      </c>
      <c r="S59" s="67">
        <v>5.2000000000000005E-2</v>
      </c>
      <c r="T59" s="67">
        <v>5.2000000000000005E-2</v>
      </c>
      <c r="U59" s="67">
        <v>5.2000000000000005E-2</v>
      </c>
      <c r="V59" s="67">
        <v>5.2000000000000005E-2</v>
      </c>
      <c r="W59" s="67">
        <v>5.2000000000000005E-2</v>
      </c>
      <c r="X59" s="67">
        <v>5.2000000000000005E-2</v>
      </c>
      <c r="Y59" s="67">
        <v>5.2000000000000005E-2</v>
      </c>
      <c r="Z59" s="61" t="s">
        <v>216</v>
      </c>
      <c r="AA59" s="68">
        <v>5.7290820837618869E-2</v>
      </c>
      <c r="AB59" s="69">
        <v>0</v>
      </c>
    </row>
    <row r="60" spans="2:28" x14ac:dyDescent="0.3">
      <c r="B60" s="61" t="s">
        <v>222</v>
      </c>
      <c r="C60" s="61" t="s">
        <v>89</v>
      </c>
      <c r="D60" s="61" t="s">
        <v>200</v>
      </c>
      <c r="E60" s="61" t="s">
        <v>217</v>
      </c>
      <c r="F60" s="61" t="s">
        <v>94</v>
      </c>
      <c r="G60" s="62">
        <v>1</v>
      </c>
      <c r="H60" s="61">
        <v>1</v>
      </c>
      <c r="I60" s="61" t="s">
        <v>218</v>
      </c>
      <c r="J60" s="61" t="s">
        <v>215</v>
      </c>
      <c r="K60" s="67">
        <v>5.2000000000000005E-2</v>
      </c>
      <c r="L60" s="67">
        <v>5.2000000000000005E-2</v>
      </c>
      <c r="M60" s="67">
        <v>5.2000000000000005E-2</v>
      </c>
      <c r="N60" s="67">
        <v>5.2000000000000005E-2</v>
      </c>
      <c r="O60" s="67">
        <v>5.2000000000000005E-2</v>
      </c>
      <c r="P60" s="67">
        <v>5.2000000000000005E-2</v>
      </c>
      <c r="Q60" s="67">
        <v>5.2000000000000005E-2</v>
      </c>
      <c r="R60" s="67">
        <v>5.2000000000000005E-2</v>
      </c>
      <c r="S60" s="67">
        <v>5.2000000000000005E-2</v>
      </c>
      <c r="T60" s="67">
        <v>5.2000000000000005E-2</v>
      </c>
      <c r="U60" s="67">
        <v>5.2000000000000005E-2</v>
      </c>
      <c r="V60" s="67">
        <v>5.2000000000000005E-2</v>
      </c>
      <c r="W60" s="67">
        <v>5.2000000000000005E-2</v>
      </c>
      <c r="X60" s="67">
        <v>5.2000000000000005E-2</v>
      </c>
      <c r="Y60" s="67">
        <v>5.2000000000000005E-2</v>
      </c>
      <c r="Z60" s="61" t="s">
        <v>216</v>
      </c>
      <c r="AA60" s="68">
        <v>5.7290820837618869E-2</v>
      </c>
      <c r="AB60" s="69">
        <v>0</v>
      </c>
    </row>
    <row r="61" spans="2:28" x14ac:dyDescent="0.3">
      <c r="B61" s="61" t="s">
        <v>222</v>
      </c>
      <c r="C61" s="61" t="s">
        <v>89</v>
      </c>
      <c r="D61" s="61" t="s">
        <v>123</v>
      </c>
      <c r="E61" s="61" t="s">
        <v>213</v>
      </c>
      <c r="F61" s="61" t="s">
        <v>93</v>
      </c>
      <c r="G61" s="62">
        <v>1</v>
      </c>
      <c r="H61" s="61">
        <v>1</v>
      </c>
      <c r="I61" s="61" t="s">
        <v>214</v>
      </c>
      <c r="J61" s="61" t="s">
        <v>215</v>
      </c>
      <c r="K61" s="67">
        <v>4.0833333333333333E-2</v>
      </c>
      <c r="L61" s="67">
        <v>4.0833333333333333E-2</v>
      </c>
      <c r="M61" s="67">
        <v>4.0833333333333333E-2</v>
      </c>
      <c r="N61" s="67">
        <v>4.0833333333333333E-2</v>
      </c>
      <c r="O61" s="67">
        <v>4.0833333333333333E-2</v>
      </c>
      <c r="P61" s="67">
        <v>4.0833333333333333E-2</v>
      </c>
      <c r="Q61" s="67">
        <v>4.0833333333333333E-2</v>
      </c>
      <c r="R61" s="67">
        <v>4.0833333333333333E-2</v>
      </c>
      <c r="S61" s="67">
        <v>4.0833333333333333E-2</v>
      </c>
      <c r="T61" s="67">
        <v>4.0833333333333333E-2</v>
      </c>
      <c r="U61" s="67">
        <v>4.0833333333333333E-2</v>
      </c>
      <c r="V61" s="67">
        <v>4.0833333333333333E-2</v>
      </c>
      <c r="W61" s="67">
        <v>4.0833333333333333E-2</v>
      </c>
      <c r="X61" s="67">
        <v>4.0833333333333333E-2</v>
      </c>
      <c r="Y61" s="67">
        <v>4.0833333333333333E-2</v>
      </c>
      <c r="Z61" s="61" t="s">
        <v>216</v>
      </c>
      <c r="AA61" s="68">
        <v>4.2315701790920464E-3</v>
      </c>
      <c r="AB61" s="69">
        <v>1.9057916741777945E-4</v>
      </c>
    </row>
    <row r="62" spans="2:28" x14ac:dyDescent="0.3">
      <c r="B62" s="61" t="s">
        <v>222</v>
      </c>
      <c r="C62" s="61" t="s">
        <v>89</v>
      </c>
      <c r="D62" s="61" t="s">
        <v>123</v>
      </c>
      <c r="E62" s="61" t="s">
        <v>217</v>
      </c>
      <c r="F62" s="61" t="s">
        <v>93</v>
      </c>
      <c r="G62" s="62">
        <v>1</v>
      </c>
      <c r="H62" s="61">
        <v>1</v>
      </c>
      <c r="I62" s="61" t="s">
        <v>214</v>
      </c>
      <c r="J62" s="61" t="s">
        <v>215</v>
      </c>
      <c r="K62" s="67">
        <v>4.0833333333333333E-2</v>
      </c>
      <c r="L62" s="67">
        <v>4.0833333333333333E-2</v>
      </c>
      <c r="M62" s="67">
        <v>4.0833333333333333E-2</v>
      </c>
      <c r="N62" s="67">
        <v>4.0833333333333333E-2</v>
      </c>
      <c r="O62" s="67">
        <v>4.0833333333333333E-2</v>
      </c>
      <c r="P62" s="67">
        <v>4.0833333333333333E-2</v>
      </c>
      <c r="Q62" s="67">
        <v>4.0833333333333333E-2</v>
      </c>
      <c r="R62" s="67">
        <v>4.0833333333333333E-2</v>
      </c>
      <c r="S62" s="67">
        <v>4.0833333333333333E-2</v>
      </c>
      <c r="T62" s="67">
        <v>4.0833333333333333E-2</v>
      </c>
      <c r="U62" s="67">
        <v>4.0833333333333333E-2</v>
      </c>
      <c r="V62" s="67">
        <v>4.0833333333333333E-2</v>
      </c>
      <c r="W62" s="67">
        <v>4.0833333333333333E-2</v>
      </c>
      <c r="X62" s="67">
        <v>4.0833333333333333E-2</v>
      </c>
      <c r="Y62" s="67">
        <v>4.0833333333333333E-2</v>
      </c>
      <c r="Z62" s="61" t="s">
        <v>216</v>
      </c>
      <c r="AA62" s="68">
        <v>4.2315701790920464E-3</v>
      </c>
      <c r="AB62" s="69">
        <v>1.9057916741777945E-4</v>
      </c>
    </row>
    <row r="63" spans="2:28" x14ac:dyDescent="0.3">
      <c r="B63" s="61" t="s">
        <v>222</v>
      </c>
      <c r="C63" s="61" t="s">
        <v>89</v>
      </c>
      <c r="D63" s="61" t="s">
        <v>123</v>
      </c>
      <c r="E63" s="61" t="s">
        <v>213</v>
      </c>
      <c r="F63" s="61" t="s">
        <v>94</v>
      </c>
      <c r="G63" s="62">
        <v>1</v>
      </c>
      <c r="H63" s="61">
        <v>1</v>
      </c>
      <c r="I63" s="61" t="s">
        <v>218</v>
      </c>
      <c r="J63" s="61" t="s">
        <v>215</v>
      </c>
      <c r="K63" s="67">
        <v>5.2000000000000005E-2</v>
      </c>
      <c r="L63" s="67">
        <v>5.2000000000000005E-2</v>
      </c>
      <c r="M63" s="67">
        <v>5.2000000000000005E-2</v>
      </c>
      <c r="N63" s="67">
        <v>5.2000000000000005E-2</v>
      </c>
      <c r="O63" s="67">
        <v>5.2000000000000005E-2</v>
      </c>
      <c r="P63" s="67">
        <v>5.2000000000000005E-2</v>
      </c>
      <c r="Q63" s="67">
        <v>5.2000000000000005E-2</v>
      </c>
      <c r="R63" s="67">
        <v>5.2000000000000005E-2</v>
      </c>
      <c r="S63" s="67">
        <v>5.2000000000000005E-2</v>
      </c>
      <c r="T63" s="67">
        <v>5.2000000000000005E-2</v>
      </c>
      <c r="U63" s="67">
        <v>5.2000000000000005E-2</v>
      </c>
      <c r="V63" s="67">
        <v>5.2000000000000005E-2</v>
      </c>
      <c r="W63" s="67">
        <v>5.2000000000000005E-2</v>
      </c>
      <c r="X63" s="67">
        <v>5.2000000000000005E-2</v>
      </c>
      <c r="Y63" s="67">
        <v>5.2000000000000005E-2</v>
      </c>
      <c r="Z63" s="61" t="s">
        <v>216</v>
      </c>
      <c r="AA63" s="68">
        <v>0</v>
      </c>
      <c r="AB63" s="69">
        <v>0</v>
      </c>
    </row>
    <row r="64" spans="2:28" x14ac:dyDescent="0.3">
      <c r="B64" s="61" t="s">
        <v>222</v>
      </c>
      <c r="C64" s="61" t="s">
        <v>89</v>
      </c>
      <c r="D64" s="61" t="s">
        <v>123</v>
      </c>
      <c r="E64" s="61" t="s">
        <v>217</v>
      </c>
      <c r="F64" s="61" t="s">
        <v>94</v>
      </c>
      <c r="G64" s="62">
        <v>1</v>
      </c>
      <c r="H64" s="61">
        <v>1</v>
      </c>
      <c r="I64" s="61" t="s">
        <v>218</v>
      </c>
      <c r="J64" s="61" t="s">
        <v>215</v>
      </c>
      <c r="K64" s="67">
        <v>5.2000000000000005E-2</v>
      </c>
      <c r="L64" s="67">
        <v>5.2000000000000005E-2</v>
      </c>
      <c r="M64" s="67">
        <v>5.2000000000000005E-2</v>
      </c>
      <c r="N64" s="67">
        <v>5.2000000000000005E-2</v>
      </c>
      <c r="O64" s="67">
        <v>5.2000000000000005E-2</v>
      </c>
      <c r="P64" s="67">
        <v>5.2000000000000005E-2</v>
      </c>
      <c r="Q64" s="67">
        <v>5.2000000000000005E-2</v>
      </c>
      <c r="R64" s="67">
        <v>5.2000000000000005E-2</v>
      </c>
      <c r="S64" s="67">
        <v>5.2000000000000005E-2</v>
      </c>
      <c r="T64" s="67">
        <v>5.2000000000000005E-2</v>
      </c>
      <c r="U64" s="67">
        <v>5.2000000000000005E-2</v>
      </c>
      <c r="V64" s="67">
        <v>5.2000000000000005E-2</v>
      </c>
      <c r="W64" s="67">
        <v>5.2000000000000005E-2</v>
      </c>
      <c r="X64" s="67">
        <v>5.2000000000000005E-2</v>
      </c>
      <c r="Y64" s="67">
        <v>5.2000000000000005E-2</v>
      </c>
      <c r="Z64" s="61" t="s">
        <v>216</v>
      </c>
      <c r="AA64" s="68">
        <v>0</v>
      </c>
      <c r="AB64" s="69">
        <v>0</v>
      </c>
    </row>
    <row r="65" spans="2:28" x14ac:dyDescent="0.3">
      <c r="B65" s="61" t="s">
        <v>223</v>
      </c>
      <c r="C65" s="61" t="s">
        <v>185</v>
      </c>
      <c r="D65" s="61" t="s">
        <v>121</v>
      </c>
      <c r="E65" s="61" t="s">
        <v>186</v>
      </c>
      <c r="F65" s="61" t="s">
        <v>93</v>
      </c>
      <c r="G65" s="62">
        <v>0</v>
      </c>
      <c r="H65" s="61">
        <v>1</v>
      </c>
      <c r="I65" s="61">
        <v>0</v>
      </c>
      <c r="J65" s="61" t="e">
        <v>#N/A</v>
      </c>
      <c r="K65" s="70">
        <v>0</v>
      </c>
      <c r="L65" s="70">
        <v>0</v>
      </c>
      <c r="M65" s="70">
        <v>0</v>
      </c>
      <c r="N65" s="70">
        <v>0</v>
      </c>
      <c r="O65" s="70">
        <v>0</v>
      </c>
      <c r="P65" s="70">
        <v>0</v>
      </c>
      <c r="Q65" s="70">
        <v>0</v>
      </c>
      <c r="R65" s="70">
        <v>0</v>
      </c>
      <c r="S65" s="70">
        <v>0</v>
      </c>
      <c r="T65" s="70">
        <v>0</v>
      </c>
      <c r="U65" s="70">
        <v>0</v>
      </c>
      <c r="V65" s="70">
        <v>0</v>
      </c>
      <c r="W65" s="70">
        <v>0</v>
      </c>
      <c r="X65" s="70">
        <v>0</v>
      </c>
      <c r="Y65" s="70">
        <v>0</v>
      </c>
      <c r="Z65" s="61">
        <v>0</v>
      </c>
      <c r="AA65" s="68">
        <v>0</v>
      </c>
      <c r="AB65" s="69">
        <v>0</v>
      </c>
    </row>
    <row r="66" spans="2:28" x14ac:dyDescent="0.3">
      <c r="B66" s="61" t="s">
        <v>223</v>
      </c>
      <c r="C66" s="61" t="s">
        <v>185</v>
      </c>
      <c r="D66" s="61" t="s">
        <v>121</v>
      </c>
      <c r="E66" s="61" t="s">
        <v>186</v>
      </c>
      <c r="F66" s="61" t="s">
        <v>94</v>
      </c>
      <c r="G66" s="62">
        <v>0</v>
      </c>
      <c r="H66" s="61">
        <v>1</v>
      </c>
      <c r="I66" s="61">
        <v>0</v>
      </c>
      <c r="J66" s="61" t="e">
        <v>#N/A</v>
      </c>
      <c r="K66" s="70">
        <v>0</v>
      </c>
      <c r="L66" s="70">
        <v>0</v>
      </c>
      <c r="M66" s="70">
        <v>0</v>
      </c>
      <c r="N66" s="70">
        <v>0</v>
      </c>
      <c r="O66" s="70">
        <v>0</v>
      </c>
      <c r="P66" s="70">
        <v>0</v>
      </c>
      <c r="Q66" s="70">
        <v>0</v>
      </c>
      <c r="R66" s="70">
        <v>0</v>
      </c>
      <c r="S66" s="70">
        <v>0</v>
      </c>
      <c r="T66" s="70">
        <v>0</v>
      </c>
      <c r="U66" s="70">
        <v>0</v>
      </c>
      <c r="V66" s="70">
        <v>0</v>
      </c>
      <c r="W66" s="70">
        <v>0</v>
      </c>
      <c r="X66" s="70">
        <v>0</v>
      </c>
      <c r="Y66" s="70">
        <v>0</v>
      </c>
      <c r="Z66" s="61">
        <v>0</v>
      </c>
      <c r="AA66" s="68">
        <v>0</v>
      </c>
      <c r="AB66" s="69">
        <v>0</v>
      </c>
    </row>
    <row r="67" spans="2:28" x14ac:dyDescent="0.3">
      <c r="B67" s="61" t="s">
        <v>223</v>
      </c>
      <c r="C67" s="61" t="s">
        <v>185</v>
      </c>
      <c r="D67" s="61" t="s">
        <v>121</v>
      </c>
      <c r="E67" s="61" t="s">
        <v>189</v>
      </c>
      <c r="F67" s="61" t="s">
        <v>93</v>
      </c>
      <c r="G67" s="62">
        <v>0</v>
      </c>
      <c r="H67" s="61">
        <v>1</v>
      </c>
      <c r="I67" s="61">
        <v>0</v>
      </c>
      <c r="J67" s="61" t="e">
        <v>#N/A</v>
      </c>
      <c r="K67" s="70">
        <v>0</v>
      </c>
      <c r="L67" s="70">
        <v>0</v>
      </c>
      <c r="M67" s="70">
        <v>0</v>
      </c>
      <c r="N67" s="70">
        <v>0</v>
      </c>
      <c r="O67" s="70">
        <v>0</v>
      </c>
      <c r="P67" s="70">
        <v>0</v>
      </c>
      <c r="Q67" s="70">
        <v>0</v>
      </c>
      <c r="R67" s="70">
        <v>0</v>
      </c>
      <c r="S67" s="70">
        <v>0</v>
      </c>
      <c r="T67" s="70">
        <v>0</v>
      </c>
      <c r="U67" s="70">
        <v>0</v>
      </c>
      <c r="V67" s="70">
        <v>0</v>
      </c>
      <c r="W67" s="70">
        <v>0</v>
      </c>
      <c r="X67" s="70">
        <v>0</v>
      </c>
      <c r="Y67" s="70">
        <v>0</v>
      </c>
      <c r="Z67" s="61">
        <v>0</v>
      </c>
      <c r="AA67" s="68">
        <v>0</v>
      </c>
      <c r="AB67" s="69">
        <v>0</v>
      </c>
    </row>
    <row r="68" spans="2:28" x14ac:dyDescent="0.3">
      <c r="B68" s="61" t="s">
        <v>223</v>
      </c>
      <c r="C68" s="61" t="s">
        <v>185</v>
      </c>
      <c r="D68" s="61" t="s">
        <v>121</v>
      </c>
      <c r="E68" s="61" t="s">
        <v>189</v>
      </c>
      <c r="F68" s="61" t="s">
        <v>94</v>
      </c>
      <c r="G68" s="62">
        <v>0</v>
      </c>
      <c r="H68" s="61">
        <v>1</v>
      </c>
      <c r="I68" s="61">
        <v>0</v>
      </c>
      <c r="J68" s="61" t="e">
        <v>#N/A</v>
      </c>
      <c r="K68" s="70">
        <v>0</v>
      </c>
      <c r="L68" s="70">
        <v>0</v>
      </c>
      <c r="M68" s="70">
        <v>0</v>
      </c>
      <c r="N68" s="70">
        <v>0</v>
      </c>
      <c r="O68" s="70">
        <v>0</v>
      </c>
      <c r="P68" s="70">
        <v>0</v>
      </c>
      <c r="Q68" s="70">
        <v>0</v>
      </c>
      <c r="R68" s="70">
        <v>0</v>
      </c>
      <c r="S68" s="70">
        <v>0</v>
      </c>
      <c r="T68" s="70">
        <v>0</v>
      </c>
      <c r="U68" s="70">
        <v>0</v>
      </c>
      <c r="V68" s="70">
        <v>0</v>
      </c>
      <c r="W68" s="70">
        <v>0</v>
      </c>
      <c r="X68" s="70">
        <v>0</v>
      </c>
      <c r="Y68" s="70">
        <v>0</v>
      </c>
      <c r="Z68" s="61">
        <v>0</v>
      </c>
      <c r="AA68" s="68">
        <v>0</v>
      </c>
      <c r="AB68" s="69">
        <v>0</v>
      </c>
    </row>
    <row r="69" spans="2:28" x14ac:dyDescent="0.3">
      <c r="B69" s="61" t="s">
        <v>223</v>
      </c>
      <c r="C69" s="61" t="s">
        <v>185</v>
      </c>
      <c r="D69" s="61" t="s">
        <v>121</v>
      </c>
      <c r="E69" s="61" t="s">
        <v>190</v>
      </c>
      <c r="F69" s="61" t="s">
        <v>93</v>
      </c>
      <c r="G69" s="62">
        <v>0</v>
      </c>
      <c r="H69" s="61">
        <v>1</v>
      </c>
      <c r="I69" s="61">
        <v>0</v>
      </c>
      <c r="J69" s="61" t="e">
        <v>#N/A</v>
      </c>
      <c r="K69" s="70">
        <v>0</v>
      </c>
      <c r="L69" s="70">
        <v>0</v>
      </c>
      <c r="M69" s="70">
        <v>0</v>
      </c>
      <c r="N69" s="70">
        <v>0</v>
      </c>
      <c r="O69" s="70">
        <v>0</v>
      </c>
      <c r="P69" s="70">
        <v>0</v>
      </c>
      <c r="Q69" s="70">
        <v>0</v>
      </c>
      <c r="R69" s="70">
        <v>0</v>
      </c>
      <c r="S69" s="70">
        <v>0</v>
      </c>
      <c r="T69" s="70">
        <v>0</v>
      </c>
      <c r="U69" s="70">
        <v>0</v>
      </c>
      <c r="V69" s="70">
        <v>0</v>
      </c>
      <c r="W69" s="70">
        <v>0</v>
      </c>
      <c r="X69" s="70">
        <v>0</v>
      </c>
      <c r="Y69" s="70">
        <v>0</v>
      </c>
      <c r="Z69" s="61">
        <v>0</v>
      </c>
      <c r="AA69" s="68">
        <v>0</v>
      </c>
      <c r="AB69" s="69">
        <v>0</v>
      </c>
    </row>
    <row r="70" spans="2:28" x14ac:dyDescent="0.3">
      <c r="B70" s="61" t="s">
        <v>223</v>
      </c>
      <c r="C70" s="61" t="s">
        <v>185</v>
      </c>
      <c r="D70" s="61" t="s">
        <v>121</v>
      </c>
      <c r="E70" s="61" t="s">
        <v>190</v>
      </c>
      <c r="F70" s="61" t="s">
        <v>94</v>
      </c>
      <c r="G70" s="62">
        <v>0</v>
      </c>
      <c r="H70" s="61">
        <v>1</v>
      </c>
      <c r="I70" s="61">
        <v>0</v>
      </c>
      <c r="J70" s="61" t="e">
        <v>#N/A</v>
      </c>
      <c r="K70" s="70">
        <v>0</v>
      </c>
      <c r="L70" s="70">
        <v>0</v>
      </c>
      <c r="M70" s="70">
        <v>0</v>
      </c>
      <c r="N70" s="70">
        <v>0</v>
      </c>
      <c r="O70" s="70">
        <v>0</v>
      </c>
      <c r="P70" s="70">
        <v>0</v>
      </c>
      <c r="Q70" s="70">
        <v>0</v>
      </c>
      <c r="R70" s="70">
        <v>0</v>
      </c>
      <c r="S70" s="70">
        <v>0</v>
      </c>
      <c r="T70" s="70">
        <v>0</v>
      </c>
      <c r="U70" s="70">
        <v>0</v>
      </c>
      <c r="V70" s="70">
        <v>0</v>
      </c>
      <c r="W70" s="70">
        <v>0</v>
      </c>
      <c r="X70" s="70">
        <v>0</v>
      </c>
      <c r="Y70" s="70">
        <v>0</v>
      </c>
      <c r="Z70" s="61">
        <v>0</v>
      </c>
      <c r="AA70" s="68">
        <v>0</v>
      </c>
      <c r="AB70" s="69">
        <v>0</v>
      </c>
    </row>
    <row r="71" spans="2:28" x14ac:dyDescent="0.3">
      <c r="B71" s="61" t="s">
        <v>223</v>
      </c>
      <c r="C71" s="61" t="s">
        <v>185</v>
      </c>
      <c r="D71" s="61" t="s">
        <v>121</v>
      </c>
      <c r="E71" s="61" t="s">
        <v>191</v>
      </c>
      <c r="F71" s="61" t="s">
        <v>93</v>
      </c>
      <c r="G71" s="62">
        <v>0.9</v>
      </c>
      <c r="H71" s="61">
        <v>1</v>
      </c>
      <c r="I71" s="61" t="s">
        <v>214</v>
      </c>
      <c r="J71" s="61" t="s">
        <v>215</v>
      </c>
      <c r="K71" s="67">
        <v>4.4999999999999998E-2</v>
      </c>
      <c r="L71" s="67">
        <v>4.4999999999999998E-2</v>
      </c>
      <c r="M71" s="67">
        <v>4.4999999999999998E-2</v>
      </c>
      <c r="N71" s="67">
        <v>4.4999999999999998E-2</v>
      </c>
      <c r="O71" s="67">
        <v>4.4999999999999998E-2</v>
      </c>
      <c r="P71" s="67">
        <v>4.4999999999999998E-2</v>
      </c>
      <c r="Q71" s="67">
        <v>4.4999999999999998E-2</v>
      </c>
      <c r="R71" s="67">
        <v>4.4999999999999998E-2</v>
      </c>
      <c r="S71" s="67">
        <v>4.4999999999999998E-2</v>
      </c>
      <c r="T71" s="67">
        <v>4.4999999999999998E-2</v>
      </c>
      <c r="U71" s="67">
        <v>4.4999999999999998E-2</v>
      </c>
      <c r="V71" s="67">
        <v>4.4999999999999998E-2</v>
      </c>
      <c r="W71" s="67">
        <v>4.4999999999999998E-2</v>
      </c>
      <c r="X71" s="67">
        <v>4.4999999999999998E-2</v>
      </c>
      <c r="Y71" s="67">
        <v>4.4999999999999998E-2</v>
      </c>
      <c r="Z71" s="61" t="s">
        <v>216</v>
      </c>
      <c r="AA71" s="68">
        <v>4.1400000000000006E-2</v>
      </c>
      <c r="AB71" s="69">
        <v>1.260997392571049E-4</v>
      </c>
    </row>
    <row r="72" spans="2:28" x14ac:dyDescent="0.3">
      <c r="B72" s="61" t="s">
        <v>223</v>
      </c>
      <c r="C72" s="61" t="s">
        <v>185</v>
      </c>
      <c r="D72" s="61" t="s">
        <v>121</v>
      </c>
      <c r="E72" s="61" t="s">
        <v>191</v>
      </c>
      <c r="F72" s="61" t="s">
        <v>94</v>
      </c>
      <c r="G72" s="62">
        <v>0</v>
      </c>
      <c r="H72" s="61">
        <v>1</v>
      </c>
      <c r="I72" s="61">
        <v>0</v>
      </c>
      <c r="J72" s="61" t="e">
        <v>#N/A</v>
      </c>
      <c r="K72" s="70">
        <v>0</v>
      </c>
      <c r="L72" s="70">
        <v>0</v>
      </c>
      <c r="M72" s="70">
        <v>0</v>
      </c>
      <c r="N72" s="70">
        <v>0</v>
      </c>
      <c r="O72" s="70">
        <v>0</v>
      </c>
      <c r="P72" s="70">
        <v>0</v>
      </c>
      <c r="Q72" s="70">
        <v>0</v>
      </c>
      <c r="R72" s="70">
        <v>0</v>
      </c>
      <c r="S72" s="70">
        <v>0</v>
      </c>
      <c r="T72" s="70">
        <v>0</v>
      </c>
      <c r="U72" s="70">
        <v>0</v>
      </c>
      <c r="V72" s="70">
        <v>0</v>
      </c>
      <c r="W72" s="70">
        <v>0</v>
      </c>
      <c r="X72" s="70">
        <v>0</v>
      </c>
      <c r="Y72" s="70">
        <v>0</v>
      </c>
      <c r="Z72" s="61">
        <v>0</v>
      </c>
      <c r="AA72" s="68">
        <v>0</v>
      </c>
      <c r="AB72" s="69">
        <v>0</v>
      </c>
    </row>
    <row r="73" spans="2:28" x14ac:dyDescent="0.3">
      <c r="B73" s="61" t="s">
        <v>223</v>
      </c>
      <c r="C73" s="61" t="s">
        <v>185</v>
      </c>
      <c r="D73" s="61" t="s">
        <v>121</v>
      </c>
      <c r="E73" s="61" t="s">
        <v>192</v>
      </c>
      <c r="F73" s="61" t="s">
        <v>93</v>
      </c>
      <c r="G73" s="62">
        <v>0.9</v>
      </c>
      <c r="H73" s="61">
        <v>1</v>
      </c>
      <c r="I73" s="61" t="s">
        <v>214</v>
      </c>
      <c r="J73" s="61" t="s">
        <v>215</v>
      </c>
      <c r="K73" s="67">
        <v>0.06</v>
      </c>
      <c r="L73" s="67">
        <v>0.06</v>
      </c>
      <c r="M73" s="67">
        <v>0.06</v>
      </c>
      <c r="N73" s="67">
        <v>0.06</v>
      </c>
      <c r="O73" s="67">
        <v>0.06</v>
      </c>
      <c r="P73" s="67">
        <v>0.06</v>
      </c>
      <c r="Q73" s="67">
        <v>0.06</v>
      </c>
      <c r="R73" s="67">
        <v>0.06</v>
      </c>
      <c r="S73" s="67">
        <v>0.06</v>
      </c>
      <c r="T73" s="67">
        <v>0.06</v>
      </c>
      <c r="U73" s="67">
        <v>0.06</v>
      </c>
      <c r="V73" s="67">
        <v>0.06</v>
      </c>
      <c r="W73" s="67">
        <v>0.06</v>
      </c>
      <c r="X73" s="67">
        <v>0.06</v>
      </c>
      <c r="Y73" s="67">
        <v>0.06</v>
      </c>
      <c r="Z73" s="61" t="s">
        <v>216</v>
      </c>
      <c r="AA73" s="68">
        <v>4.1400000000000006E-2</v>
      </c>
      <c r="AB73" s="69">
        <v>1.260997392571049E-4</v>
      </c>
    </row>
    <row r="74" spans="2:28" x14ac:dyDescent="0.3">
      <c r="B74" s="61" t="s">
        <v>223</v>
      </c>
      <c r="C74" s="61" t="s">
        <v>185</v>
      </c>
      <c r="D74" s="61" t="s">
        <v>121</v>
      </c>
      <c r="E74" s="61" t="s">
        <v>192</v>
      </c>
      <c r="F74" s="61" t="s">
        <v>94</v>
      </c>
      <c r="G74" s="62">
        <v>0</v>
      </c>
      <c r="H74" s="61">
        <v>1</v>
      </c>
      <c r="I74" s="61">
        <v>0</v>
      </c>
      <c r="J74" s="61" t="e">
        <v>#N/A</v>
      </c>
      <c r="K74" s="70">
        <v>0</v>
      </c>
      <c r="L74" s="70">
        <v>0</v>
      </c>
      <c r="M74" s="70">
        <v>0</v>
      </c>
      <c r="N74" s="70">
        <v>0</v>
      </c>
      <c r="O74" s="70">
        <v>0</v>
      </c>
      <c r="P74" s="70">
        <v>0</v>
      </c>
      <c r="Q74" s="70">
        <v>0</v>
      </c>
      <c r="R74" s="70">
        <v>0</v>
      </c>
      <c r="S74" s="70">
        <v>0</v>
      </c>
      <c r="T74" s="70">
        <v>0</v>
      </c>
      <c r="U74" s="70">
        <v>0</v>
      </c>
      <c r="V74" s="70">
        <v>0</v>
      </c>
      <c r="W74" s="70">
        <v>0</v>
      </c>
      <c r="X74" s="70">
        <v>0</v>
      </c>
      <c r="Y74" s="70">
        <v>0</v>
      </c>
      <c r="Z74" s="61">
        <v>0</v>
      </c>
      <c r="AA74" s="68">
        <v>0</v>
      </c>
      <c r="AB74" s="69">
        <v>0</v>
      </c>
    </row>
    <row r="75" spans="2:28" x14ac:dyDescent="0.3">
      <c r="B75" s="61" t="s">
        <v>223</v>
      </c>
      <c r="C75" s="61" t="s">
        <v>185</v>
      </c>
      <c r="D75" s="61" t="s">
        <v>121</v>
      </c>
      <c r="E75" s="61" t="s">
        <v>193</v>
      </c>
      <c r="F75" s="61" t="s">
        <v>93</v>
      </c>
      <c r="G75" s="62">
        <v>0.2</v>
      </c>
      <c r="H75" s="61">
        <v>1</v>
      </c>
      <c r="I75" s="61" t="s">
        <v>214</v>
      </c>
      <c r="J75" s="61" t="s">
        <v>215</v>
      </c>
      <c r="K75" s="67">
        <v>4.4999999999999998E-2</v>
      </c>
      <c r="L75" s="67">
        <v>4.4999999999999998E-2</v>
      </c>
      <c r="M75" s="67">
        <v>4.4999999999999998E-2</v>
      </c>
      <c r="N75" s="67">
        <v>4.4999999999999998E-2</v>
      </c>
      <c r="O75" s="67">
        <v>4.4999999999999998E-2</v>
      </c>
      <c r="P75" s="67">
        <v>4.4999999999999998E-2</v>
      </c>
      <c r="Q75" s="67">
        <v>4.4999999999999998E-2</v>
      </c>
      <c r="R75" s="67">
        <v>4.4999999999999998E-2</v>
      </c>
      <c r="S75" s="67">
        <v>4.4999999999999998E-2</v>
      </c>
      <c r="T75" s="67">
        <v>4.4999999999999998E-2</v>
      </c>
      <c r="U75" s="67">
        <v>4.4999999999999998E-2</v>
      </c>
      <c r="V75" s="67">
        <v>4.4999999999999998E-2</v>
      </c>
      <c r="W75" s="67">
        <v>4.4999999999999998E-2</v>
      </c>
      <c r="X75" s="67">
        <v>4.4999999999999998E-2</v>
      </c>
      <c r="Y75" s="67">
        <v>4.4999999999999998E-2</v>
      </c>
      <c r="Z75" s="61" t="s">
        <v>216</v>
      </c>
      <c r="AA75" s="68">
        <v>4.1400000000000006E-2</v>
      </c>
      <c r="AB75" s="69">
        <v>1.260997392571049E-4</v>
      </c>
    </row>
    <row r="76" spans="2:28" x14ac:dyDescent="0.3">
      <c r="B76" s="61" t="s">
        <v>223</v>
      </c>
      <c r="C76" s="61" t="s">
        <v>185</v>
      </c>
      <c r="D76" s="61" t="s">
        <v>121</v>
      </c>
      <c r="E76" s="61" t="s">
        <v>193</v>
      </c>
      <c r="F76" s="61" t="s">
        <v>94</v>
      </c>
      <c r="G76" s="62">
        <v>0</v>
      </c>
      <c r="H76" s="61">
        <v>1</v>
      </c>
      <c r="I76" s="61">
        <v>0</v>
      </c>
      <c r="J76" s="61" t="e">
        <v>#N/A</v>
      </c>
      <c r="K76" s="70">
        <v>0</v>
      </c>
      <c r="L76" s="70">
        <v>0</v>
      </c>
      <c r="M76" s="70">
        <v>0</v>
      </c>
      <c r="N76" s="70">
        <v>0</v>
      </c>
      <c r="O76" s="70">
        <v>0</v>
      </c>
      <c r="P76" s="70">
        <v>0</v>
      </c>
      <c r="Q76" s="70">
        <v>0</v>
      </c>
      <c r="R76" s="70">
        <v>0</v>
      </c>
      <c r="S76" s="70">
        <v>0</v>
      </c>
      <c r="T76" s="70">
        <v>0</v>
      </c>
      <c r="U76" s="70">
        <v>0</v>
      </c>
      <c r="V76" s="70">
        <v>0</v>
      </c>
      <c r="W76" s="70">
        <v>0</v>
      </c>
      <c r="X76" s="70">
        <v>0</v>
      </c>
      <c r="Y76" s="70">
        <v>0</v>
      </c>
      <c r="Z76" s="61">
        <v>0</v>
      </c>
      <c r="AA76" s="68">
        <v>0</v>
      </c>
      <c r="AB76" s="69">
        <v>0</v>
      </c>
    </row>
    <row r="77" spans="2:28" x14ac:dyDescent="0.3">
      <c r="B77" s="61" t="s">
        <v>223</v>
      </c>
      <c r="C77" s="61" t="s">
        <v>185</v>
      </c>
      <c r="D77" s="61" t="s">
        <v>121</v>
      </c>
      <c r="E77" s="61" t="s">
        <v>194</v>
      </c>
      <c r="F77" s="61" t="s">
        <v>93</v>
      </c>
      <c r="G77" s="62">
        <v>0</v>
      </c>
      <c r="H77" s="61">
        <v>1</v>
      </c>
      <c r="I77" s="61">
        <v>0</v>
      </c>
      <c r="J77" s="61" t="e">
        <v>#N/A</v>
      </c>
      <c r="K77" s="70">
        <v>0</v>
      </c>
      <c r="L77" s="70">
        <v>0</v>
      </c>
      <c r="M77" s="70">
        <v>0</v>
      </c>
      <c r="N77" s="70">
        <v>0</v>
      </c>
      <c r="O77" s="70">
        <v>0</v>
      </c>
      <c r="P77" s="70">
        <v>0</v>
      </c>
      <c r="Q77" s="70">
        <v>0</v>
      </c>
      <c r="R77" s="70">
        <v>0</v>
      </c>
      <c r="S77" s="70">
        <v>0</v>
      </c>
      <c r="T77" s="70">
        <v>0</v>
      </c>
      <c r="U77" s="70">
        <v>0</v>
      </c>
      <c r="V77" s="70">
        <v>0</v>
      </c>
      <c r="W77" s="70">
        <v>0</v>
      </c>
      <c r="X77" s="70">
        <v>0</v>
      </c>
      <c r="Y77" s="70">
        <v>0</v>
      </c>
      <c r="Z77" s="61">
        <v>0</v>
      </c>
      <c r="AA77" s="68">
        <v>0</v>
      </c>
      <c r="AB77" s="69">
        <v>0</v>
      </c>
    </row>
    <row r="78" spans="2:28" x14ac:dyDescent="0.3">
      <c r="B78" s="61" t="s">
        <v>223</v>
      </c>
      <c r="C78" s="61" t="s">
        <v>185</v>
      </c>
      <c r="D78" s="61" t="s">
        <v>121</v>
      </c>
      <c r="E78" s="61" t="s">
        <v>194</v>
      </c>
      <c r="F78" s="61" t="s">
        <v>94</v>
      </c>
      <c r="G78" s="62">
        <v>0</v>
      </c>
      <c r="H78" s="61">
        <v>1</v>
      </c>
      <c r="I78" s="61">
        <v>0</v>
      </c>
      <c r="J78" s="61" t="e">
        <v>#N/A</v>
      </c>
      <c r="K78" s="70">
        <v>0</v>
      </c>
      <c r="L78" s="70">
        <v>0</v>
      </c>
      <c r="M78" s="70">
        <v>0</v>
      </c>
      <c r="N78" s="70">
        <v>0</v>
      </c>
      <c r="O78" s="70">
        <v>0</v>
      </c>
      <c r="P78" s="70">
        <v>0</v>
      </c>
      <c r="Q78" s="70">
        <v>0</v>
      </c>
      <c r="R78" s="70">
        <v>0</v>
      </c>
      <c r="S78" s="70">
        <v>0</v>
      </c>
      <c r="T78" s="70">
        <v>0</v>
      </c>
      <c r="U78" s="70">
        <v>0</v>
      </c>
      <c r="V78" s="70">
        <v>0</v>
      </c>
      <c r="W78" s="70">
        <v>0</v>
      </c>
      <c r="X78" s="70">
        <v>0</v>
      </c>
      <c r="Y78" s="70">
        <v>0</v>
      </c>
      <c r="Z78" s="61">
        <v>0</v>
      </c>
      <c r="AA78" s="68">
        <v>0</v>
      </c>
      <c r="AB78" s="69">
        <v>0</v>
      </c>
    </row>
    <row r="79" spans="2:28" x14ac:dyDescent="0.3">
      <c r="B79" s="61" t="s">
        <v>223</v>
      </c>
      <c r="C79" s="61" t="s">
        <v>185</v>
      </c>
      <c r="D79" s="61" t="s">
        <v>121</v>
      </c>
      <c r="E79" s="61" t="s">
        <v>195</v>
      </c>
      <c r="F79" s="61" t="s">
        <v>93</v>
      </c>
      <c r="G79" s="62">
        <v>0</v>
      </c>
      <c r="H79" s="61">
        <v>1</v>
      </c>
      <c r="I79" s="61">
        <v>0</v>
      </c>
      <c r="J79" s="61" t="e">
        <v>#N/A</v>
      </c>
      <c r="K79" s="70">
        <v>0</v>
      </c>
      <c r="L79" s="70">
        <v>0</v>
      </c>
      <c r="M79" s="70">
        <v>0</v>
      </c>
      <c r="N79" s="70">
        <v>0</v>
      </c>
      <c r="O79" s="70">
        <v>0</v>
      </c>
      <c r="P79" s="70">
        <v>0</v>
      </c>
      <c r="Q79" s="70">
        <v>0</v>
      </c>
      <c r="R79" s="70">
        <v>0</v>
      </c>
      <c r="S79" s="70">
        <v>0</v>
      </c>
      <c r="T79" s="70">
        <v>0</v>
      </c>
      <c r="U79" s="70">
        <v>0</v>
      </c>
      <c r="V79" s="70">
        <v>0</v>
      </c>
      <c r="W79" s="70">
        <v>0</v>
      </c>
      <c r="X79" s="70">
        <v>0</v>
      </c>
      <c r="Y79" s="70">
        <v>0</v>
      </c>
      <c r="Z79" s="61">
        <v>0</v>
      </c>
      <c r="AA79" s="68">
        <v>0</v>
      </c>
      <c r="AB79" s="69">
        <v>0</v>
      </c>
    </row>
    <row r="80" spans="2:28" x14ac:dyDescent="0.3">
      <c r="B80" s="61" t="s">
        <v>223</v>
      </c>
      <c r="C80" s="61" t="s">
        <v>185</v>
      </c>
      <c r="D80" s="61" t="s">
        <v>121</v>
      </c>
      <c r="E80" s="61" t="s">
        <v>195</v>
      </c>
      <c r="F80" s="61" t="s">
        <v>94</v>
      </c>
      <c r="G80" s="62">
        <v>0</v>
      </c>
      <c r="H80" s="61">
        <v>1</v>
      </c>
      <c r="I80" s="61">
        <v>0</v>
      </c>
      <c r="J80" s="61" t="e">
        <v>#N/A</v>
      </c>
      <c r="K80" s="70">
        <v>0</v>
      </c>
      <c r="L80" s="70">
        <v>0</v>
      </c>
      <c r="M80" s="70">
        <v>0</v>
      </c>
      <c r="N80" s="70">
        <v>0</v>
      </c>
      <c r="O80" s="70">
        <v>0</v>
      </c>
      <c r="P80" s="70">
        <v>0</v>
      </c>
      <c r="Q80" s="70">
        <v>0</v>
      </c>
      <c r="R80" s="70">
        <v>0</v>
      </c>
      <c r="S80" s="70">
        <v>0</v>
      </c>
      <c r="T80" s="70">
        <v>0</v>
      </c>
      <c r="U80" s="70">
        <v>0</v>
      </c>
      <c r="V80" s="70">
        <v>0</v>
      </c>
      <c r="W80" s="70">
        <v>0</v>
      </c>
      <c r="X80" s="70">
        <v>0</v>
      </c>
      <c r="Y80" s="70">
        <v>0</v>
      </c>
      <c r="Z80" s="61">
        <v>0</v>
      </c>
      <c r="AA80" s="68">
        <v>0</v>
      </c>
      <c r="AB80" s="69">
        <v>0</v>
      </c>
    </row>
    <row r="81" spans="2:28" x14ac:dyDescent="0.3">
      <c r="B81" s="61" t="s">
        <v>223</v>
      </c>
      <c r="C81" s="61" t="s">
        <v>185</v>
      </c>
      <c r="D81" s="61" t="s">
        <v>121</v>
      </c>
      <c r="E81" s="61" t="s">
        <v>196</v>
      </c>
      <c r="F81" s="61" t="s">
        <v>93</v>
      </c>
      <c r="G81" s="62">
        <v>0.2</v>
      </c>
      <c r="H81" s="61">
        <v>1</v>
      </c>
      <c r="I81" s="61" t="s">
        <v>214</v>
      </c>
      <c r="J81" s="61" t="s">
        <v>215</v>
      </c>
      <c r="K81" s="67">
        <v>4.4999999999999998E-2</v>
      </c>
      <c r="L81" s="67">
        <v>4.4999999999999998E-2</v>
      </c>
      <c r="M81" s="67">
        <v>4.4999999999999998E-2</v>
      </c>
      <c r="N81" s="67">
        <v>4.4999999999999998E-2</v>
      </c>
      <c r="O81" s="67">
        <v>4.4999999999999998E-2</v>
      </c>
      <c r="P81" s="67">
        <v>4.4999999999999998E-2</v>
      </c>
      <c r="Q81" s="67">
        <v>4.4999999999999998E-2</v>
      </c>
      <c r="R81" s="67">
        <v>4.4999999999999998E-2</v>
      </c>
      <c r="S81" s="67">
        <v>4.4999999999999998E-2</v>
      </c>
      <c r="T81" s="67">
        <v>4.4999999999999998E-2</v>
      </c>
      <c r="U81" s="67">
        <v>4.4999999999999998E-2</v>
      </c>
      <c r="V81" s="67">
        <v>4.4999999999999998E-2</v>
      </c>
      <c r="W81" s="67">
        <v>4.4999999999999998E-2</v>
      </c>
      <c r="X81" s="67">
        <v>4.4999999999999998E-2</v>
      </c>
      <c r="Y81" s="67">
        <v>4.4999999999999998E-2</v>
      </c>
      <c r="Z81" s="61" t="s">
        <v>216</v>
      </c>
      <c r="AA81" s="68">
        <v>4.1400000000000006E-2</v>
      </c>
      <c r="AB81" s="69">
        <v>1.260997392571049E-4</v>
      </c>
    </row>
    <row r="82" spans="2:28" x14ac:dyDescent="0.3">
      <c r="B82" s="61" t="s">
        <v>223</v>
      </c>
      <c r="C82" s="61" t="s">
        <v>185</v>
      </c>
      <c r="D82" s="61" t="s">
        <v>121</v>
      </c>
      <c r="E82" s="61" t="s">
        <v>196</v>
      </c>
      <c r="F82" s="61" t="s">
        <v>94</v>
      </c>
      <c r="G82" s="62">
        <v>0</v>
      </c>
      <c r="H82" s="61">
        <v>1</v>
      </c>
      <c r="I82" s="61">
        <v>0</v>
      </c>
      <c r="J82" s="61" t="e">
        <v>#N/A</v>
      </c>
      <c r="K82" s="70">
        <v>0</v>
      </c>
      <c r="L82" s="70">
        <v>0</v>
      </c>
      <c r="M82" s="70">
        <v>0</v>
      </c>
      <c r="N82" s="70">
        <v>0</v>
      </c>
      <c r="O82" s="70">
        <v>0</v>
      </c>
      <c r="P82" s="70">
        <v>0</v>
      </c>
      <c r="Q82" s="70">
        <v>0</v>
      </c>
      <c r="R82" s="70">
        <v>0</v>
      </c>
      <c r="S82" s="70">
        <v>0</v>
      </c>
      <c r="T82" s="70">
        <v>0</v>
      </c>
      <c r="U82" s="70">
        <v>0</v>
      </c>
      <c r="V82" s="70">
        <v>0</v>
      </c>
      <c r="W82" s="70">
        <v>0</v>
      </c>
      <c r="X82" s="70">
        <v>0</v>
      </c>
      <c r="Y82" s="70">
        <v>0</v>
      </c>
      <c r="Z82" s="61">
        <v>0</v>
      </c>
      <c r="AA82" s="68">
        <v>0</v>
      </c>
      <c r="AB82" s="69">
        <v>0</v>
      </c>
    </row>
    <row r="83" spans="2:28" x14ac:dyDescent="0.3">
      <c r="B83" s="61" t="s">
        <v>223</v>
      </c>
      <c r="C83" s="61" t="s">
        <v>185</v>
      </c>
      <c r="D83" s="61" t="s">
        <v>121</v>
      </c>
      <c r="E83" s="61" t="s">
        <v>197</v>
      </c>
      <c r="F83" s="61" t="s">
        <v>93</v>
      </c>
      <c r="G83" s="62">
        <v>0.2</v>
      </c>
      <c r="H83" s="61">
        <v>1</v>
      </c>
      <c r="I83" s="61" t="s">
        <v>214</v>
      </c>
      <c r="J83" s="61" t="s">
        <v>215</v>
      </c>
      <c r="K83" s="67">
        <v>4.4999999999999998E-2</v>
      </c>
      <c r="L83" s="67">
        <v>4.4999999999999998E-2</v>
      </c>
      <c r="M83" s="67">
        <v>4.4999999999999998E-2</v>
      </c>
      <c r="N83" s="67">
        <v>4.4999999999999998E-2</v>
      </c>
      <c r="O83" s="67">
        <v>4.4999999999999998E-2</v>
      </c>
      <c r="P83" s="67">
        <v>4.4999999999999998E-2</v>
      </c>
      <c r="Q83" s="67">
        <v>4.4999999999999998E-2</v>
      </c>
      <c r="R83" s="67">
        <v>4.4999999999999998E-2</v>
      </c>
      <c r="S83" s="67">
        <v>4.4999999999999998E-2</v>
      </c>
      <c r="T83" s="67">
        <v>4.4999999999999998E-2</v>
      </c>
      <c r="U83" s="67">
        <v>4.4999999999999998E-2</v>
      </c>
      <c r="V83" s="67">
        <v>4.4999999999999998E-2</v>
      </c>
      <c r="W83" s="67">
        <v>4.4999999999999998E-2</v>
      </c>
      <c r="X83" s="67">
        <v>4.4999999999999998E-2</v>
      </c>
      <c r="Y83" s="67">
        <v>4.4999999999999998E-2</v>
      </c>
      <c r="Z83" s="61" t="s">
        <v>216</v>
      </c>
      <c r="AA83" s="68">
        <v>4.1400000000000006E-2</v>
      </c>
      <c r="AB83" s="69">
        <v>1.260997392571049E-4</v>
      </c>
    </row>
    <row r="84" spans="2:28" x14ac:dyDescent="0.3">
      <c r="B84" s="61" t="s">
        <v>223</v>
      </c>
      <c r="C84" s="61" t="s">
        <v>185</v>
      </c>
      <c r="D84" s="61" t="s">
        <v>121</v>
      </c>
      <c r="E84" s="61" t="s">
        <v>197</v>
      </c>
      <c r="F84" s="61" t="s">
        <v>94</v>
      </c>
      <c r="G84" s="62">
        <v>0</v>
      </c>
      <c r="H84" s="61">
        <v>1</v>
      </c>
      <c r="I84" s="61">
        <v>0</v>
      </c>
      <c r="J84" s="61" t="e">
        <v>#N/A</v>
      </c>
      <c r="K84" s="70">
        <v>0</v>
      </c>
      <c r="L84" s="70">
        <v>0</v>
      </c>
      <c r="M84" s="70">
        <v>0</v>
      </c>
      <c r="N84" s="70">
        <v>0</v>
      </c>
      <c r="O84" s="70">
        <v>0</v>
      </c>
      <c r="P84" s="70">
        <v>0</v>
      </c>
      <c r="Q84" s="70">
        <v>0</v>
      </c>
      <c r="R84" s="70">
        <v>0</v>
      </c>
      <c r="S84" s="70">
        <v>0</v>
      </c>
      <c r="T84" s="70">
        <v>0</v>
      </c>
      <c r="U84" s="70">
        <v>0</v>
      </c>
      <c r="V84" s="70">
        <v>0</v>
      </c>
      <c r="W84" s="70">
        <v>0</v>
      </c>
      <c r="X84" s="70">
        <v>0</v>
      </c>
      <c r="Y84" s="70">
        <v>0</v>
      </c>
      <c r="Z84" s="61">
        <v>0</v>
      </c>
      <c r="AA84" s="68">
        <v>0</v>
      </c>
      <c r="AB84" s="69">
        <v>0</v>
      </c>
    </row>
    <row r="85" spans="2:28" x14ac:dyDescent="0.3">
      <c r="B85" s="61" t="s">
        <v>223</v>
      </c>
      <c r="C85" s="61" t="s">
        <v>185</v>
      </c>
      <c r="D85" s="61" t="s">
        <v>121</v>
      </c>
      <c r="E85" s="61" t="s">
        <v>198</v>
      </c>
      <c r="F85" s="61" t="s">
        <v>93</v>
      </c>
      <c r="G85" s="62">
        <v>0</v>
      </c>
      <c r="H85" s="61">
        <v>1</v>
      </c>
      <c r="I85" s="61">
        <v>0</v>
      </c>
      <c r="J85" s="61" t="e">
        <v>#N/A</v>
      </c>
      <c r="K85" s="70">
        <v>0</v>
      </c>
      <c r="L85" s="70">
        <v>0</v>
      </c>
      <c r="M85" s="70">
        <v>0</v>
      </c>
      <c r="N85" s="70">
        <v>0</v>
      </c>
      <c r="O85" s="70">
        <v>0</v>
      </c>
      <c r="P85" s="70">
        <v>0</v>
      </c>
      <c r="Q85" s="70">
        <v>0</v>
      </c>
      <c r="R85" s="70">
        <v>0</v>
      </c>
      <c r="S85" s="70">
        <v>0</v>
      </c>
      <c r="T85" s="70">
        <v>0</v>
      </c>
      <c r="U85" s="70">
        <v>0</v>
      </c>
      <c r="V85" s="70">
        <v>0</v>
      </c>
      <c r="W85" s="70">
        <v>0</v>
      </c>
      <c r="X85" s="70">
        <v>0</v>
      </c>
      <c r="Y85" s="70">
        <v>0</v>
      </c>
      <c r="Z85" s="61">
        <v>0</v>
      </c>
      <c r="AA85" s="68">
        <v>0</v>
      </c>
      <c r="AB85" s="69">
        <v>0</v>
      </c>
    </row>
    <row r="86" spans="2:28" x14ac:dyDescent="0.3">
      <c r="B86" s="61" t="s">
        <v>223</v>
      </c>
      <c r="C86" s="61" t="s">
        <v>185</v>
      </c>
      <c r="D86" s="61" t="s">
        <v>121</v>
      </c>
      <c r="E86" s="61" t="s">
        <v>198</v>
      </c>
      <c r="F86" s="61" t="s">
        <v>94</v>
      </c>
      <c r="G86" s="62">
        <v>0</v>
      </c>
      <c r="H86" s="61">
        <v>1</v>
      </c>
      <c r="I86" s="61">
        <v>0</v>
      </c>
      <c r="J86" s="61" t="e">
        <v>#N/A</v>
      </c>
      <c r="K86" s="70">
        <v>0</v>
      </c>
      <c r="L86" s="70">
        <v>0</v>
      </c>
      <c r="M86" s="70">
        <v>0</v>
      </c>
      <c r="N86" s="70">
        <v>0</v>
      </c>
      <c r="O86" s="70">
        <v>0</v>
      </c>
      <c r="P86" s="70">
        <v>0</v>
      </c>
      <c r="Q86" s="70">
        <v>0</v>
      </c>
      <c r="R86" s="70">
        <v>0</v>
      </c>
      <c r="S86" s="70">
        <v>0</v>
      </c>
      <c r="T86" s="70">
        <v>0</v>
      </c>
      <c r="U86" s="70">
        <v>0</v>
      </c>
      <c r="V86" s="70">
        <v>0</v>
      </c>
      <c r="W86" s="70">
        <v>0</v>
      </c>
      <c r="X86" s="70">
        <v>0</v>
      </c>
      <c r="Y86" s="70">
        <v>0</v>
      </c>
      <c r="Z86" s="61">
        <v>0</v>
      </c>
      <c r="AA86" s="68">
        <v>0</v>
      </c>
      <c r="AB86" s="69">
        <v>0</v>
      </c>
    </row>
    <row r="87" spans="2:28" x14ac:dyDescent="0.3">
      <c r="B87" s="61" t="s">
        <v>223</v>
      </c>
      <c r="C87" s="61" t="s">
        <v>185</v>
      </c>
      <c r="D87" s="61" t="s">
        <v>121</v>
      </c>
      <c r="E87" s="61" t="s">
        <v>199</v>
      </c>
      <c r="F87" s="61" t="s">
        <v>93</v>
      </c>
      <c r="G87" s="62">
        <v>0</v>
      </c>
      <c r="H87" s="61">
        <v>1</v>
      </c>
      <c r="I87" s="61">
        <v>0</v>
      </c>
      <c r="J87" s="61" t="e">
        <v>#N/A</v>
      </c>
      <c r="K87" s="70">
        <v>0</v>
      </c>
      <c r="L87" s="70">
        <v>0</v>
      </c>
      <c r="M87" s="70">
        <v>0</v>
      </c>
      <c r="N87" s="70">
        <v>0</v>
      </c>
      <c r="O87" s="70">
        <v>0</v>
      </c>
      <c r="P87" s="70">
        <v>0</v>
      </c>
      <c r="Q87" s="70">
        <v>0</v>
      </c>
      <c r="R87" s="70">
        <v>0</v>
      </c>
      <c r="S87" s="70">
        <v>0</v>
      </c>
      <c r="T87" s="70">
        <v>0</v>
      </c>
      <c r="U87" s="70">
        <v>0</v>
      </c>
      <c r="V87" s="70">
        <v>0</v>
      </c>
      <c r="W87" s="70">
        <v>0</v>
      </c>
      <c r="X87" s="70">
        <v>0</v>
      </c>
      <c r="Y87" s="70">
        <v>0</v>
      </c>
      <c r="Z87" s="61">
        <v>0</v>
      </c>
      <c r="AA87" s="68">
        <v>0</v>
      </c>
      <c r="AB87" s="69">
        <v>0</v>
      </c>
    </row>
    <row r="88" spans="2:28" x14ac:dyDescent="0.3">
      <c r="B88" s="61" t="s">
        <v>223</v>
      </c>
      <c r="C88" s="61" t="s">
        <v>185</v>
      </c>
      <c r="D88" s="61" t="s">
        <v>121</v>
      </c>
      <c r="E88" s="61" t="s">
        <v>199</v>
      </c>
      <c r="F88" s="61" t="s">
        <v>94</v>
      </c>
      <c r="G88" s="62">
        <v>0</v>
      </c>
      <c r="H88" s="61">
        <v>1</v>
      </c>
      <c r="I88" s="61">
        <v>0</v>
      </c>
      <c r="J88" s="61" t="e">
        <v>#N/A</v>
      </c>
      <c r="K88" s="70">
        <v>0</v>
      </c>
      <c r="L88" s="70">
        <v>0</v>
      </c>
      <c r="M88" s="70">
        <v>0</v>
      </c>
      <c r="N88" s="70">
        <v>0</v>
      </c>
      <c r="O88" s="70">
        <v>0</v>
      </c>
      <c r="P88" s="70">
        <v>0</v>
      </c>
      <c r="Q88" s="70">
        <v>0</v>
      </c>
      <c r="R88" s="70">
        <v>0</v>
      </c>
      <c r="S88" s="70">
        <v>0</v>
      </c>
      <c r="T88" s="70">
        <v>0</v>
      </c>
      <c r="U88" s="70">
        <v>0</v>
      </c>
      <c r="V88" s="70">
        <v>0</v>
      </c>
      <c r="W88" s="70">
        <v>0</v>
      </c>
      <c r="X88" s="70">
        <v>0</v>
      </c>
      <c r="Y88" s="70">
        <v>0</v>
      </c>
      <c r="Z88" s="61">
        <v>0</v>
      </c>
      <c r="AA88" s="68">
        <v>0</v>
      </c>
      <c r="AB88" s="69">
        <v>0</v>
      </c>
    </row>
    <row r="89" spans="2:28" x14ac:dyDescent="0.3">
      <c r="B89" s="61" t="s">
        <v>223</v>
      </c>
      <c r="C89" s="61" t="s">
        <v>185</v>
      </c>
      <c r="D89" s="61" t="s">
        <v>122</v>
      </c>
      <c r="E89" s="61" t="s">
        <v>186</v>
      </c>
      <c r="F89" s="61" t="s">
        <v>93</v>
      </c>
      <c r="G89" s="62">
        <v>0</v>
      </c>
      <c r="H89" s="61">
        <v>1</v>
      </c>
      <c r="I89" s="61">
        <v>0</v>
      </c>
      <c r="J89" s="61" t="e">
        <v>#N/A</v>
      </c>
      <c r="K89" s="70">
        <v>0</v>
      </c>
      <c r="L89" s="70">
        <v>0</v>
      </c>
      <c r="M89" s="70">
        <v>0</v>
      </c>
      <c r="N89" s="70">
        <v>0</v>
      </c>
      <c r="O89" s="70">
        <v>0</v>
      </c>
      <c r="P89" s="70">
        <v>0</v>
      </c>
      <c r="Q89" s="70">
        <v>0</v>
      </c>
      <c r="R89" s="70">
        <v>0</v>
      </c>
      <c r="S89" s="70">
        <v>0</v>
      </c>
      <c r="T89" s="70">
        <v>0</v>
      </c>
      <c r="U89" s="70">
        <v>0</v>
      </c>
      <c r="V89" s="70">
        <v>0</v>
      </c>
      <c r="W89" s="70">
        <v>0</v>
      </c>
      <c r="X89" s="70">
        <v>0</v>
      </c>
      <c r="Y89" s="70">
        <v>0</v>
      </c>
      <c r="Z89" s="61">
        <v>0</v>
      </c>
      <c r="AA89" s="68">
        <v>0</v>
      </c>
      <c r="AB89" s="69">
        <v>0</v>
      </c>
    </row>
    <row r="90" spans="2:28" x14ac:dyDescent="0.3">
      <c r="B90" s="61" t="s">
        <v>223</v>
      </c>
      <c r="C90" s="61" t="s">
        <v>185</v>
      </c>
      <c r="D90" s="61" t="s">
        <v>122</v>
      </c>
      <c r="E90" s="61" t="s">
        <v>189</v>
      </c>
      <c r="F90" s="61" t="s">
        <v>93</v>
      </c>
      <c r="G90" s="62">
        <v>0</v>
      </c>
      <c r="H90" s="61">
        <v>1</v>
      </c>
      <c r="I90" s="61">
        <v>0</v>
      </c>
      <c r="J90" s="61" t="e">
        <v>#N/A</v>
      </c>
      <c r="K90" s="70">
        <v>0</v>
      </c>
      <c r="L90" s="70">
        <v>0</v>
      </c>
      <c r="M90" s="70">
        <v>0</v>
      </c>
      <c r="N90" s="70">
        <v>0</v>
      </c>
      <c r="O90" s="70">
        <v>0</v>
      </c>
      <c r="P90" s="70">
        <v>0</v>
      </c>
      <c r="Q90" s="70">
        <v>0</v>
      </c>
      <c r="R90" s="70">
        <v>0</v>
      </c>
      <c r="S90" s="70">
        <v>0</v>
      </c>
      <c r="T90" s="70">
        <v>0</v>
      </c>
      <c r="U90" s="70">
        <v>0</v>
      </c>
      <c r="V90" s="70">
        <v>0</v>
      </c>
      <c r="W90" s="70">
        <v>0</v>
      </c>
      <c r="X90" s="70">
        <v>0</v>
      </c>
      <c r="Y90" s="70">
        <v>0</v>
      </c>
      <c r="Z90" s="61">
        <v>0</v>
      </c>
      <c r="AA90" s="68">
        <v>0</v>
      </c>
      <c r="AB90" s="69">
        <v>0</v>
      </c>
    </row>
    <row r="91" spans="2:28" x14ac:dyDescent="0.3">
      <c r="B91" s="61" t="s">
        <v>223</v>
      </c>
      <c r="C91" s="61" t="s">
        <v>185</v>
      </c>
      <c r="D91" s="61" t="s">
        <v>122</v>
      </c>
      <c r="E91" s="61" t="s">
        <v>190</v>
      </c>
      <c r="F91" s="61" t="s">
        <v>93</v>
      </c>
      <c r="G91" s="62">
        <v>0</v>
      </c>
      <c r="H91" s="61">
        <v>1</v>
      </c>
      <c r="I91" s="61">
        <v>0</v>
      </c>
      <c r="J91" s="61" t="e">
        <v>#N/A</v>
      </c>
      <c r="K91" s="70">
        <v>0</v>
      </c>
      <c r="L91" s="70">
        <v>0</v>
      </c>
      <c r="M91" s="70">
        <v>0</v>
      </c>
      <c r="N91" s="70">
        <v>0</v>
      </c>
      <c r="O91" s="70">
        <v>0</v>
      </c>
      <c r="P91" s="70">
        <v>0</v>
      </c>
      <c r="Q91" s="70">
        <v>0</v>
      </c>
      <c r="R91" s="70">
        <v>0</v>
      </c>
      <c r="S91" s="70">
        <v>0</v>
      </c>
      <c r="T91" s="70">
        <v>0</v>
      </c>
      <c r="U91" s="70">
        <v>0</v>
      </c>
      <c r="V91" s="70">
        <v>0</v>
      </c>
      <c r="W91" s="70">
        <v>0</v>
      </c>
      <c r="X91" s="70">
        <v>0</v>
      </c>
      <c r="Y91" s="70">
        <v>0</v>
      </c>
      <c r="Z91" s="61">
        <v>0</v>
      </c>
      <c r="AA91" s="68">
        <v>0</v>
      </c>
      <c r="AB91" s="69">
        <v>0</v>
      </c>
    </row>
    <row r="92" spans="2:28" x14ac:dyDescent="0.3">
      <c r="B92" s="61" t="s">
        <v>223</v>
      </c>
      <c r="C92" s="61" t="s">
        <v>185</v>
      </c>
      <c r="D92" s="61" t="s">
        <v>122</v>
      </c>
      <c r="E92" s="61" t="s">
        <v>191</v>
      </c>
      <c r="F92" s="61" t="s">
        <v>93</v>
      </c>
      <c r="G92" s="62">
        <v>0.9</v>
      </c>
      <c r="H92" s="61">
        <v>1</v>
      </c>
      <c r="I92" s="61" t="s">
        <v>214</v>
      </c>
      <c r="J92" s="61" t="s">
        <v>215</v>
      </c>
      <c r="K92" s="67">
        <v>4.4999999999999998E-2</v>
      </c>
      <c r="L92" s="67">
        <v>4.4999999999999998E-2</v>
      </c>
      <c r="M92" s="67">
        <v>4.4999999999999998E-2</v>
      </c>
      <c r="N92" s="67">
        <v>4.4999999999999998E-2</v>
      </c>
      <c r="O92" s="67">
        <v>4.4999999999999998E-2</v>
      </c>
      <c r="P92" s="67">
        <v>4.4999999999999998E-2</v>
      </c>
      <c r="Q92" s="67">
        <v>4.4999999999999998E-2</v>
      </c>
      <c r="R92" s="67">
        <v>4.4999999999999998E-2</v>
      </c>
      <c r="S92" s="67">
        <v>4.4999999999999998E-2</v>
      </c>
      <c r="T92" s="67">
        <v>4.4999999999999998E-2</v>
      </c>
      <c r="U92" s="67">
        <v>4.4999999999999998E-2</v>
      </c>
      <c r="V92" s="67">
        <v>4.4999999999999998E-2</v>
      </c>
      <c r="W92" s="67">
        <v>4.4999999999999998E-2</v>
      </c>
      <c r="X92" s="67">
        <v>4.4999999999999998E-2</v>
      </c>
      <c r="Y92" s="67">
        <v>4.4999999999999998E-2</v>
      </c>
      <c r="Z92" s="61" t="s">
        <v>216</v>
      </c>
      <c r="AA92" s="68">
        <v>4.1400000000000006E-2</v>
      </c>
      <c r="AB92" s="69">
        <v>1.260997392571049E-4</v>
      </c>
    </row>
    <row r="93" spans="2:28" x14ac:dyDescent="0.3">
      <c r="B93" s="61" t="s">
        <v>223</v>
      </c>
      <c r="C93" s="61" t="s">
        <v>185</v>
      </c>
      <c r="D93" s="61" t="s">
        <v>122</v>
      </c>
      <c r="E93" s="61" t="s">
        <v>192</v>
      </c>
      <c r="F93" s="61" t="s">
        <v>93</v>
      </c>
      <c r="G93" s="62">
        <v>0.9</v>
      </c>
      <c r="H93" s="61">
        <v>1</v>
      </c>
      <c r="I93" s="61" t="s">
        <v>214</v>
      </c>
      <c r="J93" s="61" t="s">
        <v>215</v>
      </c>
      <c r="K93" s="67">
        <v>0.06</v>
      </c>
      <c r="L93" s="67">
        <v>0.06</v>
      </c>
      <c r="M93" s="67">
        <v>0.06</v>
      </c>
      <c r="N93" s="67">
        <v>0.06</v>
      </c>
      <c r="O93" s="67">
        <v>0.06</v>
      </c>
      <c r="P93" s="67">
        <v>0.06</v>
      </c>
      <c r="Q93" s="67">
        <v>0.06</v>
      </c>
      <c r="R93" s="67">
        <v>0.06</v>
      </c>
      <c r="S93" s="67">
        <v>0.06</v>
      </c>
      <c r="T93" s="67">
        <v>0.06</v>
      </c>
      <c r="U93" s="67">
        <v>0.06</v>
      </c>
      <c r="V93" s="67">
        <v>0.06</v>
      </c>
      <c r="W93" s="67">
        <v>0.06</v>
      </c>
      <c r="X93" s="67">
        <v>0.06</v>
      </c>
      <c r="Y93" s="67">
        <v>0.06</v>
      </c>
      <c r="Z93" s="61" t="s">
        <v>216</v>
      </c>
      <c r="AA93" s="68">
        <v>4.1400000000000006E-2</v>
      </c>
      <c r="AB93" s="69">
        <v>1.260997392571049E-4</v>
      </c>
    </row>
    <row r="94" spans="2:28" x14ac:dyDescent="0.3">
      <c r="B94" s="61" t="s">
        <v>223</v>
      </c>
      <c r="C94" s="61" t="s">
        <v>185</v>
      </c>
      <c r="D94" s="61" t="s">
        <v>122</v>
      </c>
      <c r="E94" s="61" t="s">
        <v>193</v>
      </c>
      <c r="F94" s="61" t="s">
        <v>93</v>
      </c>
      <c r="G94" s="62">
        <v>0.2</v>
      </c>
      <c r="H94" s="61">
        <v>1</v>
      </c>
      <c r="I94" s="61" t="s">
        <v>214</v>
      </c>
      <c r="J94" s="61" t="s">
        <v>215</v>
      </c>
      <c r="K94" s="67">
        <v>4.4999999999999998E-2</v>
      </c>
      <c r="L94" s="67">
        <v>4.4999999999999998E-2</v>
      </c>
      <c r="M94" s="67">
        <v>4.4999999999999998E-2</v>
      </c>
      <c r="N94" s="67">
        <v>4.4999999999999998E-2</v>
      </c>
      <c r="O94" s="67">
        <v>4.4999999999999998E-2</v>
      </c>
      <c r="P94" s="67">
        <v>4.4999999999999998E-2</v>
      </c>
      <c r="Q94" s="67">
        <v>4.4999999999999998E-2</v>
      </c>
      <c r="R94" s="67">
        <v>4.4999999999999998E-2</v>
      </c>
      <c r="S94" s="67">
        <v>4.4999999999999998E-2</v>
      </c>
      <c r="T94" s="67">
        <v>4.4999999999999998E-2</v>
      </c>
      <c r="U94" s="67">
        <v>4.4999999999999998E-2</v>
      </c>
      <c r="V94" s="67">
        <v>4.4999999999999998E-2</v>
      </c>
      <c r="W94" s="67">
        <v>4.4999999999999998E-2</v>
      </c>
      <c r="X94" s="67">
        <v>4.4999999999999998E-2</v>
      </c>
      <c r="Y94" s="67">
        <v>4.4999999999999998E-2</v>
      </c>
      <c r="Z94" s="61" t="s">
        <v>216</v>
      </c>
      <c r="AA94" s="68">
        <v>4.1400000000000006E-2</v>
      </c>
      <c r="AB94" s="69">
        <v>1.260997392571049E-4</v>
      </c>
    </row>
    <row r="95" spans="2:28" x14ac:dyDescent="0.3">
      <c r="B95" s="61" t="s">
        <v>223</v>
      </c>
      <c r="C95" s="61" t="s">
        <v>185</v>
      </c>
      <c r="D95" s="61" t="s">
        <v>122</v>
      </c>
      <c r="E95" s="61" t="s">
        <v>194</v>
      </c>
      <c r="F95" s="61" t="s">
        <v>93</v>
      </c>
      <c r="G95" s="62">
        <v>0</v>
      </c>
      <c r="H95" s="61">
        <v>1</v>
      </c>
      <c r="I95" s="61">
        <v>0</v>
      </c>
      <c r="J95" s="61" t="e">
        <v>#N/A</v>
      </c>
      <c r="K95" s="70">
        <v>0</v>
      </c>
      <c r="L95" s="70">
        <v>0</v>
      </c>
      <c r="M95" s="70">
        <v>0</v>
      </c>
      <c r="N95" s="70">
        <v>0</v>
      </c>
      <c r="O95" s="70">
        <v>0</v>
      </c>
      <c r="P95" s="70">
        <v>0</v>
      </c>
      <c r="Q95" s="70">
        <v>0</v>
      </c>
      <c r="R95" s="70">
        <v>0</v>
      </c>
      <c r="S95" s="70">
        <v>0</v>
      </c>
      <c r="T95" s="70">
        <v>0</v>
      </c>
      <c r="U95" s="70">
        <v>0</v>
      </c>
      <c r="V95" s="70">
        <v>0</v>
      </c>
      <c r="W95" s="70">
        <v>0</v>
      </c>
      <c r="X95" s="70">
        <v>0</v>
      </c>
      <c r="Y95" s="70">
        <v>0</v>
      </c>
      <c r="Z95" s="61">
        <v>0</v>
      </c>
      <c r="AA95" s="68">
        <v>0</v>
      </c>
      <c r="AB95" s="69">
        <v>0</v>
      </c>
    </row>
    <row r="96" spans="2:28" x14ac:dyDescent="0.3">
      <c r="B96" s="61" t="s">
        <v>223</v>
      </c>
      <c r="C96" s="61" t="s">
        <v>185</v>
      </c>
      <c r="D96" s="61" t="s">
        <v>122</v>
      </c>
      <c r="E96" s="61" t="s">
        <v>195</v>
      </c>
      <c r="F96" s="61" t="s">
        <v>93</v>
      </c>
      <c r="G96" s="62">
        <v>0</v>
      </c>
      <c r="H96" s="61">
        <v>1</v>
      </c>
      <c r="I96" s="61">
        <v>0</v>
      </c>
      <c r="J96" s="61" t="e">
        <v>#N/A</v>
      </c>
      <c r="K96" s="70">
        <v>0</v>
      </c>
      <c r="L96" s="70">
        <v>0</v>
      </c>
      <c r="M96" s="70">
        <v>0</v>
      </c>
      <c r="N96" s="70">
        <v>0</v>
      </c>
      <c r="O96" s="70">
        <v>0</v>
      </c>
      <c r="P96" s="70">
        <v>0</v>
      </c>
      <c r="Q96" s="70">
        <v>0</v>
      </c>
      <c r="R96" s="70">
        <v>0</v>
      </c>
      <c r="S96" s="70">
        <v>0</v>
      </c>
      <c r="T96" s="70">
        <v>0</v>
      </c>
      <c r="U96" s="70">
        <v>0</v>
      </c>
      <c r="V96" s="70">
        <v>0</v>
      </c>
      <c r="W96" s="70">
        <v>0</v>
      </c>
      <c r="X96" s="70">
        <v>0</v>
      </c>
      <c r="Y96" s="70">
        <v>0</v>
      </c>
      <c r="Z96" s="61">
        <v>0</v>
      </c>
      <c r="AA96" s="68">
        <v>0</v>
      </c>
      <c r="AB96" s="69">
        <v>0</v>
      </c>
    </row>
    <row r="97" spans="2:28" x14ac:dyDescent="0.3">
      <c r="B97" s="61" t="s">
        <v>223</v>
      </c>
      <c r="C97" s="61" t="s">
        <v>185</v>
      </c>
      <c r="D97" s="61" t="s">
        <v>122</v>
      </c>
      <c r="E97" s="61" t="s">
        <v>196</v>
      </c>
      <c r="F97" s="61" t="s">
        <v>93</v>
      </c>
      <c r="G97" s="62">
        <v>0.2</v>
      </c>
      <c r="H97" s="61">
        <v>1</v>
      </c>
      <c r="I97" s="61" t="s">
        <v>214</v>
      </c>
      <c r="J97" s="61" t="s">
        <v>215</v>
      </c>
      <c r="K97" s="67">
        <v>4.4999999999999998E-2</v>
      </c>
      <c r="L97" s="67">
        <v>4.4999999999999998E-2</v>
      </c>
      <c r="M97" s="67">
        <v>4.4999999999999998E-2</v>
      </c>
      <c r="N97" s="67">
        <v>4.4999999999999998E-2</v>
      </c>
      <c r="O97" s="67">
        <v>4.4999999999999998E-2</v>
      </c>
      <c r="P97" s="67">
        <v>4.4999999999999998E-2</v>
      </c>
      <c r="Q97" s="67">
        <v>4.4999999999999998E-2</v>
      </c>
      <c r="R97" s="67">
        <v>4.4999999999999998E-2</v>
      </c>
      <c r="S97" s="67">
        <v>4.4999999999999998E-2</v>
      </c>
      <c r="T97" s="67">
        <v>4.4999999999999998E-2</v>
      </c>
      <c r="U97" s="67">
        <v>4.4999999999999998E-2</v>
      </c>
      <c r="V97" s="67">
        <v>4.4999999999999998E-2</v>
      </c>
      <c r="W97" s="67">
        <v>4.4999999999999998E-2</v>
      </c>
      <c r="X97" s="67">
        <v>4.4999999999999998E-2</v>
      </c>
      <c r="Y97" s="67">
        <v>4.4999999999999998E-2</v>
      </c>
      <c r="Z97" s="61" t="s">
        <v>216</v>
      </c>
      <c r="AA97" s="68">
        <v>4.1400000000000006E-2</v>
      </c>
      <c r="AB97" s="69">
        <v>1.260997392571049E-4</v>
      </c>
    </row>
    <row r="98" spans="2:28" x14ac:dyDescent="0.3">
      <c r="B98" s="61" t="s">
        <v>223</v>
      </c>
      <c r="C98" s="61" t="s">
        <v>185</v>
      </c>
      <c r="D98" s="61" t="s">
        <v>122</v>
      </c>
      <c r="E98" s="61" t="s">
        <v>197</v>
      </c>
      <c r="F98" s="61" t="s">
        <v>93</v>
      </c>
      <c r="G98" s="62">
        <v>0.2</v>
      </c>
      <c r="H98" s="61">
        <v>1</v>
      </c>
      <c r="I98" s="61" t="s">
        <v>214</v>
      </c>
      <c r="J98" s="61" t="s">
        <v>215</v>
      </c>
      <c r="K98" s="67">
        <v>4.4999999999999998E-2</v>
      </c>
      <c r="L98" s="67">
        <v>4.4999999999999998E-2</v>
      </c>
      <c r="M98" s="67">
        <v>4.4999999999999998E-2</v>
      </c>
      <c r="N98" s="67">
        <v>4.4999999999999998E-2</v>
      </c>
      <c r="O98" s="67">
        <v>4.4999999999999998E-2</v>
      </c>
      <c r="P98" s="67">
        <v>4.4999999999999998E-2</v>
      </c>
      <c r="Q98" s="67">
        <v>4.4999999999999998E-2</v>
      </c>
      <c r="R98" s="67">
        <v>4.4999999999999998E-2</v>
      </c>
      <c r="S98" s="67">
        <v>4.4999999999999998E-2</v>
      </c>
      <c r="T98" s="67">
        <v>4.4999999999999998E-2</v>
      </c>
      <c r="U98" s="67">
        <v>4.4999999999999998E-2</v>
      </c>
      <c r="V98" s="67">
        <v>4.4999999999999998E-2</v>
      </c>
      <c r="W98" s="67">
        <v>4.4999999999999998E-2</v>
      </c>
      <c r="X98" s="67">
        <v>4.4999999999999998E-2</v>
      </c>
      <c r="Y98" s="67">
        <v>4.4999999999999998E-2</v>
      </c>
      <c r="Z98" s="61" t="s">
        <v>216</v>
      </c>
      <c r="AA98" s="68">
        <v>4.1400000000000006E-2</v>
      </c>
      <c r="AB98" s="69">
        <v>1.260997392571049E-4</v>
      </c>
    </row>
    <row r="99" spans="2:28" x14ac:dyDescent="0.3">
      <c r="B99" s="61" t="s">
        <v>223</v>
      </c>
      <c r="C99" s="61" t="s">
        <v>185</v>
      </c>
      <c r="D99" s="61" t="s">
        <v>122</v>
      </c>
      <c r="E99" s="61" t="s">
        <v>198</v>
      </c>
      <c r="F99" s="61" t="s">
        <v>93</v>
      </c>
      <c r="G99" s="62">
        <v>0</v>
      </c>
      <c r="H99" s="61">
        <v>1</v>
      </c>
      <c r="I99" s="61">
        <v>0</v>
      </c>
      <c r="J99" s="61" t="e">
        <v>#N/A</v>
      </c>
      <c r="K99" s="70">
        <v>0</v>
      </c>
      <c r="L99" s="70">
        <v>0</v>
      </c>
      <c r="M99" s="70">
        <v>0</v>
      </c>
      <c r="N99" s="70">
        <v>0</v>
      </c>
      <c r="O99" s="70">
        <v>0</v>
      </c>
      <c r="P99" s="70">
        <v>0</v>
      </c>
      <c r="Q99" s="70">
        <v>0</v>
      </c>
      <c r="R99" s="70">
        <v>0</v>
      </c>
      <c r="S99" s="70">
        <v>0</v>
      </c>
      <c r="T99" s="70">
        <v>0</v>
      </c>
      <c r="U99" s="70">
        <v>0</v>
      </c>
      <c r="V99" s="70">
        <v>0</v>
      </c>
      <c r="W99" s="70">
        <v>0</v>
      </c>
      <c r="X99" s="70">
        <v>0</v>
      </c>
      <c r="Y99" s="70">
        <v>0</v>
      </c>
      <c r="Z99" s="61">
        <v>0</v>
      </c>
      <c r="AA99" s="68">
        <v>0</v>
      </c>
      <c r="AB99" s="69">
        <v>0</v>
      </c>
    </row>
    <row r="100" spans="2:28" x14ac:dyDescent="0.3">
      <c r="B100" s="61" t="s">
        <v>223</v>
      </c>
      <c r="C100" s="61" t="s">
        <v>185</v>
      </c>
      <c r="D100" s="61" t="s">
        <v>122</v>
      </c>
      <c r="E100" s="61" t="s">
        <v>199</v>
      </c>
      <c r="F100" s="61" t="s">
        <v>93</v>
      </c>
      <c r="G100" s="62">
        <v>0</v>
      </c>
      <c r="H100" s="61">
        <v>1</v>
      </c>
      <c r="I100" s="61">
        <v>0</v>
      </c>
      <c r="J100" s="61" t="e">
        <v>#N/A</v>
      </c>
      <c r="K100" s="70">
        <v>0</v>
      </c>
      <c r="L100" s="70">
        <v>0</v>
      </c>
      <c r="M100" s="70">
        <v>0</v>
      </c>
      <c r="N100" s="70">
        <v>0</v>
      </c>
      <c r="O100" s="70">
        <v>0</v>
      </c>
      <c r="P100" s="70">
        <v>0</v>
      </c>
      <c r="Q100" s="70">
        <v>0</v>
      </c>
      <c r="R100" s="70">
        <v>0</v>
      </c>
      <c r="S100" s="70">
        <v>0</v>
      </c>
      <c r="T100" s="70">
        <v>0</v>
      </c>
      <c r="U100" s="70">
        <v>0</v>
      </c>
      <c r="V100" s="70">
        <v>0</v>
      </c>
      <c r="W100" s="70">
        <v>0</v>
      </c>
      <c r="X100" s="70">
        <v>0</v>
      </c>
      <c r="Y100" s="70">
        <v>0</v>
      </c>
      <c r="Z100" s="61">
        <v>0</v>
      </c>
      <c r="AA100" s="68">
        <v>0</v>
      </c>
      <c r="AB100" s="69">
        <v>0</v>
      </c>
    </row>
    <row r="101" spans="2:28" x14ac:dyDescent="0.3">
      <c r="B101" s="61" t="s">
        <v>223</v>
      </c>
      <c r="C101" s="61" t="s">
        <v>185</v>
      </c>
      <c r="D101" s="61" t="s">
        <v>200</v>
      </c>
      <c r="E101" s="61" t="s">
        <v>186</v>
      </c>
      <c r="F101" s="61" t="s">
        <v>94</v>
      </c>
      <c r="G101" s="62">
        <v>0</v>
      </c>
      <c r="H101" s="61">
        <v>1</v>
      </c>
      <c r="I101" s="61">
        <v>0</v>
      </c>
      <c r="J101" s="61" t="e">
        <v>#N/A</v>
      </c>
      <c r="K101" s="70">
        <v>0</v>
      </c>
      <c r="L101" s="70">
        <v>0</v>
      </c>
      <c r="M101" s="70">
        <v>0</v>
      </c>
      <c r="N101" s="70">
        <v>0</v>
      </c>
      <c r="O101" s="70">
        <v>0</v>
      </c>
      <c r="P101" s="70">
        <v>0</v>
      </c>
      <c r="Q101" s="70">
        <v>0</v>
      </c>
      <c r="R101" s="70">
        <v>0</v>
      </c>
      <c r="S101" s="70">
        <v>0</v>
      </c>
      <c r="T101" s="70">
        <v>0</v>
      </c>
      <c r="U101" s="70">
        <v>0</v>
      </c>
      <c r="V101" s="70">
        <v>0</v>
      </c>
      <c r="W101" s="70">
        <v>0</v>
      </c>
      <c r="X101" s="70">
        <v>0</v>
      </c>
      <c r="Y101" s="70">
        <v>0</v>
      </c>
      <c r="Z101" s="61">
        <v>0</v>
      </c>
      <c r="AA101" s="68">
        <v>0</v>
      </c>
      <c r="AB101" s="69">
        <v>0</v>
      </c>
    </row>
    <row r="102" spans="2:28" x14ac:dyDescent="0.3">
      <c r="B102" s="61" t="s">
        <v>223</v>
      </c>
      <c r="C102" s="61" t="s">
        <v>185</v>
      </c>
      <c r="D102" s="61" t="s">
        <v>200</v>
      </c>
      <c r="E102" s="61" t="s">
        <v>189</v>
      </c>
      <c r="F102" s="61" t="s">
        <v>94</v>
      </c>
      <c r="G102" s="62">
        <v>0</v>
      </c>
      <c r="H102" s="61">
        <v>1</v>
      </c>
      <c r="I102" s="61">
        <v>0</v>
      </c>
      <c r="J102" s="61" t="e">
        <v>#N/A</v>
      </c>
      <c r="K102" s="70">
        <v>0</v>
      </c>
      <c r="L102" s="70">
        <v>0</v>
      </c>
      <c r="M102" s="70">
        <v>0</v>
      </c>
      <c r="N102" s="70">
        <v>0</v>
      </c>
      <c r="O102" s="70">
        <v>0</v>
      </c>
      <c r="P102" s="70">
        <v>0</v>
      </c>
      <c r="Q102" s="70">
        <v>0</v>
      </c>
      <c r="R102" s="70">
        <v>0</v>
      </c>
      <c r="S102" s="70">
        <v>0</v>
      </c>
      <c r="T102" s="70">
        <v>0</v>
      </c>
      <c r="U102" s="70">
        <v>0</v>
      </c>
      <c r="V102" s="70">
        <v>0</v>
      </c>
      <c r="W102" s="70">
        <v>0</v>
      </c>
      <c r="X102" s="70">
        <v>0</v>
      </c>
      <c r="Y102" s="70">
        <v>0</v>
      </c>
      <c r="Z102" s="61">
        <v>0</v>
      </c>
      <c r="AA102" s="68">
        <v>0</v>
      </c>
      <c r="AB102" s="69">
        <v>0</v>
      </c>
    </row>
    <row r="103" spans="2:28" x14ac:dyDescent="0.3">
      <c r="B103" s="61" t="s">
        <v>223</v>
      </c>
      <c r="C103" s="61" t="s">
        <v>185</v>
      </c>
      <c r="D103" s="61" t="s">
        <v>200</v>
      </c>
      <c r="E103" s="61" t="s">
        <v>190</v>
      </c>
      <c r="F103" s="61" t="s">
        <v>94</v>
      </c>
      <c r="G103" s="62">
        <v>0</v>
      </c>
      <c r="H103" s="61">
        <v>1</v>
      </c>
      <c r="I103" s="61">
        <v>0</v>
      </c>
      <c r="J103" s="61" t="e">
        <v>#N/A</v>
      </c>
      <c r="K103" s="70">
        <v>0</v>
      </c>
      <c r="L103" s="70">
        <v>0</v>
      </c>
      <c r="M103" s="70">
        <v>0</v>
      </c>
      <c r="N103" s="70">
        <v>0</v>
      </c>
      <c r="O103" s="70">
        <v>0</v>
      </c>
      <c r="P103" s="70">
        <v>0</v>
      </c>
      <c r="Q103" s="70">
        <v>0</v>
      </c>
      <c r="R103" s="70">
        <v>0</v>
      </c>
      <c r="S103" s="70">
        <v>0</v>
      </c>
      <c r="T103" s="70">
        <v>0</v>
      </c>
      <c r="U103" s="70">
        <v>0</v>
      </c>
      <c r="V103" s="70">
        <v>0</v>
      </c>
      <c r="W103" s="70">
        <v>0</v>
      </c>
      <c r="X103" s="70">
        <v>0</v>
      </c>
      <c r="Y103" s="70">
        <v>0</v>
      </c>
      <c r="Z103" s="61">
        <v>0</v>
      </c>
      <c r="AA103" s="68">
        <v>0</v>
      </c>
      <c r="AB103" s="69">
        <v>0</v>
      </c>
    </row>
    <row r="104" spans="2:28" x14ac:dyDescent="0.3">
      <c r="B104" s="61" t="s">
        <v>223</v>
      </c>
      <c r="C104" s="61" t="s">
        <v>185</v>
      </c>
      <c r="D104" s="61" t="s">
        <v>200</v>
      </c>
      <c r="E104" s="61" t="s">
        <v>191</v>
      </c>
      <c r="F104" s="61" t="s">
        <v>94</v>
      </c>
      <c r="G104" s="62">
        <v>0</v>
      </c>
      <c r="H104" s="61">
        <v>1</v>
      </c>
      <c r="I104" s="61">
        <v>0</v>
      </c>
      <c r="J104" s="61" t="e">
        <v>#N/A</v>
      </c>
      <c r="K104" s="70">
        <v>0</v>
      </c>
      <c r="L104" s="70">
        <v>0</v>
      </c>
      <c r="M104" s="70">
        <v>0</v>
      </c>
      <c r="N104" s="70">
        <v>0</v>
      </c>
      <c r="O104" s="70">
        <v>0</v>
      </c>
      <c r="P104" s="70">
        <v>0</v>
      </c>
      <c r="Q104" s="70">
        <v>0</v>
      </c>
      <c r="R104" s="70">
        <v>0</v>
      </c>
      <c r="S104" s="70">
        <v>0</v>
      </c>
      <c r="T104" s="70">
        <v>0</v>
      </c>
      <c r="U104" s="70">
        <v>0</v>
      </c>
      <c r="V104" s="70">
        <v>0</v>
      </c>
      <c r="W104" s="70">
        <v>0</v>
      </c>
      <c r="X104" s="70">
        <v>0</v>
      </c>
      <c r="Y104" s="70">
        <v>0</v>
      </c>
      <c r="Z104" s="61">
        <v>0</v>
      </c>
      <c r="AA104" s="68">
        <v>0</v>
      </c>
      <c r="AB104" s="69">
        <v>0</v>
      </c>
    </row>
    <row r="105" spans="2:28" x14ac:dyDescent="0.3">
      <c r="B105" s="61" t="s">
        <v>223</v>
      </c>
      <c r="C105" s="61" t="s">
        <v>185</v>
      </c>
      <c r="D105" s="61" t="s">
        <v>200</v>
      </c>
      <c r="E105" s="61" t="s">
        <v>192</v>
      </c>
      <c r="F105" s="61" t="s">
        <v>94</v>
      </c>
      <c r="G105" s="62">
        <v>0</v>
      </c>
      <c r="H105" s="61">
        <v>1</v>
      </c>
      <c r="I105" s="61">
        <v>0</v>
      </c>
      <c r="J105" s="61" t="e">
        <v>#N/A</v>
      </c>
      <c r="K105" s="70">
        <v>0</v>
      </c>
      <c r="L105" s="70">
        <v>0</v>
      </c>
      <c r="M105" s="70">
        <v>0</v>
      </c>
      <c r="N105" s="70">
        <v>0</v>
      </c>
      <c r="O105" s="70">
        <v>0</v>
      </c>
      <c r="P105" s="70">
        <v>0</v>
      </c>
      <c r="Q105" s="70">
        <v>0</v>
      </c>
      <c r="R105" s="70">
        <v>0</v>
      </c>
      <c r="S105" s="70">
        <v>0</v>
      </c>
      <c r="T105" s="70">
        <v>0</v>
      </c>
      <c r="U105" s="70">
        <v>0</v>
      </c>
      <c r="V105" s="70">
        <v>0</v>
      </c>
      <c r="W105" s="70">
        <v>0</v>
      </c>
      <c r="X105" s="70">
        <v>0</v>
      </c>
      <c r="Y105" s="70">
        <v>0</v>
      </c>
      <c r="Z105" s="61">
        <v>0</v>
      </c>
      <c r="AA105" s="68">
        <v>0</v>
      </c>
      <c r="AB105" s="69">
        <v>0</v>
      </c>
    </row>
    <row r="106" spans="2:28" x14ac:dyDescent="0.3">
      <c r="B106" s="61" t="s">
        <v>223</v>
      </c>
      <c r="C106" s="61" t="s">
        <v>185</v>
      </c>
      <c r="D106" s="61" t="s">
        <v>200</v>
      </c>
      <c r="E106" s="61" t="s">
        <v>193</v>
      </c>
      <c r="F106" s="61" t="s">
        <v>94</v>
      </c>
      <c r="G106" s="62">
        <v>0</v>
      </c>
      <c r="H106" s="61">
        <v>1</v>
      </c>
      <c r="I106" s="61">
        <v>0</v>
      </c>
      <c r="J106" s="61" t="e">
        <v>#N/A</v>
      </c>
      <c r="K106" s="70">
        <v>0</v>
      </c>
      <c r="L106" s="70">
        <v>0</v>
      </c>
      <c r="M106" s="70">
        <v>0</v>
      </c>
      <c r="N106" s="70">
        <v>0</v>
      </c>
      <c r="O106" s="70">
        <v>0</v>
      </c>
      <c r="P106" s="70">
        <v>0</v>
      </c>
      <c r="Q106" s="70">
        <v>0</v>
      </c>
      <c r="R106" s="70">
        <v>0</v>
      </c>
      <c r="S106" s="70">
        <v>0</v>
      </c>
      <c r="T106" s="70">
        <v>0</v>
      </c>
      <c r="U106" s="70">
        <v>0</v>
      </c>
      <c r="V106" s="70">
        <v>0</v>
      </c>
      <c r="W106" s="70">
        <v>0</v>
      </c>
      <c r="X106" s="70">
        <v>0</v>
      </c>
      <c r="Y106" s="70">
        <v>0</v>
      </c>
      <c r="Z106" s="61">
        <v>0</v>
      </c>
      <c r="AA106" s="68">
        <v>0</v>
      </c>
      <c r="AB106" s="69">
        <v>0</v>
      </c>
    </row>
    <row r="107" spans="2:28" x14ac:dyDescent="0.3">
      <c r="B107" s="61" t="s">
        <v>223</v>
      </c>
      <c r="C107" s="61" t="s">
        <v>185</v>
      </c>
      <c r="D107" s="61" t="s">
        <v>200</v>
      </c>
      <c r="E107" s="61" t="s">
        <v>194</v>
      </c>
      <c r="F107" s="61" t="s">
        <v>94</v>
      </c>
      <c r="G107" s="62">
        <v>0</v>
      </c>
      <c r="H107" s="61">
        <v>1</v>
      </c>
      <c r="I107" s="61">
        <v>0</v>
      </c>
      <c r="J107" s="61" t="e">
        <v>#N/A</v>
      </c>
      <c r="K107" s="70">
        <v>0</v>
      </c>
      <c r="L107" s="70">
        <v>0</v>
      </c>
      <c r="M107" s="70">
        <v>0</v>
      </c>
      <c r="N107" s="70">
        <v>0</v>
      </c>
      <c r="O107" s="70">
        <v>0</v>
      </c>
      <c r="P107" s="70">
        <v>0</v>
      </c>
      <c r="Q107" s="70">
        <v>0</v>
      </c>
      <c r="R107" s="70">
        <v>0</v>
      </c>
      <c r="S107" s="70">
        <v>0</v>
      </c>
      <c r="T107" s="70">
        <v>0</v>
      </c>
      <c r="U107" s="70">
        <v>0</v>
      </c>
      <c r="V107" s="70">
        <v>0</v>
      </c>
      <c r="W107" s="70">
        <v>0</v>
      </c>
      <c r="X107" s="70">
        <v>0</v>
      </c>
      <c r="Y107" s="70">
        <v>0</v>
      </c>
      <c r="Z107" s="61">
        <v>0</v>
      </c>
      <c r="AA107" s="68">
        <v>0</v>
      </c>
      <c r="AB107" s="69">
        <v>0</v>
      </c>
    </row>
    <row r="108" spans="2:28" x14ac:dyDescent="0.3">
      <c r="B108" s="61" t="s">
        <v>223</v>
      </c>
      <c r="C108" s="61" t="s">
        <v>185</v>
      </c>
      <c r="D108" s="61" t="s">
        <v>200</v>
      </c>
      <c r="E108" s="61" t="s">
        <v>195</v>
      </c>
      <c r="F108" s="61" t="s">
        <v>94</v>
      </c>
      <c r="G108" s="62">
        <v>0</v>
      </c>
      <c r="H108" s="61">
        <v>1</v>
      </c>
      <c r="I108" s="61">
        <v>0</v>
      </c>
      <c r="J108" s="61" t="e">
        <v>#N/A</v>
      </c>
      <c r="K108" s="70">
        <v>0</v>
      </c>
      <c r="L108" s="70">
        <v>0</v>
      </c>
      <c r="M108" s="70">
        <v>0</v>
      </c>
      <c r="N108" s="70">
        <v>0</v>
      </c>
      <c r="O108" s="70">
        <v>0</v>
      </c>
      <c r="P108" s="70">
        <v>0</v>
      </c>
      <c r="Q108" s="70">
        <v>0</v>
      </c>
      <c r="R108" s="70">
        <v>0</v>
      </c>
      <c r="S108" s="70">
        <v>0</v>
      </c>
      <c r="T108" s="70">
        <v>0</v>
      </c>
      <c r="U108" s="70">
        <v>0</v>
      </c>
      <c r="V108" s="70">
        <v>0</v>
      </c>
      <c r="W108" s="70">
        <v>0</v>
      </c>
      <c r="X108" s="70">
        <v>0</v>
      </c>
      <c r="Y108" s="70">
        <v>0</v>
      </c>
      <c r="Z108" s="61">
        <v>0</v>
      </c>
      <c r="AA108" s="68">
        <v>0</v>
      </c>
      <c r="AB108" s="69">
        <v>0</v>
      </c>
    </row>
    <row r="109" spans="2:28" x14ac:dyDescent="0.3">
      <c r="B109" s="61" t="s">
        <v>223</v>
      </c>
      <c r="C109" s="61" t="s">
        <v>185</v>
      </c>
      <c r="D109" s="61" t="s">
        <v>200</v>
      </c>
      <c r="E109" s="61" t="s">
        <v>196</v>
      </c>
      <c r="F109" s="61" t="s">
        <v>94</v>
      </c>
      <c r="G109" s="62">
        <v>0</v>
      </c>
      <c r="H109" s="61">
        <v>1</v>
      </c>
      <c r="I109" s="61">
        <v>0</v>
      </c>
      <c r="J109" s="61" t="e">
        <v>#N/A</v>
      </c>
      <c r="K109" s="70">
        <v>0</v>
      </c>
      <c r="L109" s="70">
        <v>0</v>
      </c>
      <c r="M109" s="70">
        <v>0</v>
      </c>
      <c r="N109" s="70">
        <v>0</v>
      </c>
      <c r="O109" s="70">
        <v>0</v>
      </c>
      <c r="P109" s="70">
        <v>0</v>
      </c>
      <c r="Q109" s="70">
        <v>0</v>
      </c>
      <c r="R109" s="70">
        <v>0</v>
      </c>
      <c r="S109" s="70">
        <v>0</v>
      </c>
      <c r="T109" s="70">
        <v>0</v>
      </c>
      <c r="U109" s="70">
        <v>0</v>
      </c>
      <c r="V109" s="70">
        <v>0</v>
      </c>
      <c r="W109" s="70">
        <v>0</v>
      </c>
      <c r="X109" s="70">
        <v>0</v>
      </c>
      <c r="Y109" s="70">
        <v>0</v>
      </c>
      <c r="Z109" s="61">
        <v>0</v>
      </c>
      <c r="AA109" s="68">
        <v>0</v>
      </c>
      <c r="AB109" s="69">
        <v>0</v>
      </c>
    </row>
    <row r="110" spans="2:28" x14ac:dyDescent="0.3">
      <c r="B110" s="61" t="s">
        <v>223</v>
      </c>
      <c r="C110" s="61" t="s">
        <v>185</v>
      </c>
      <c r="D110" s="61" t="s">
        <v>200</v>
      </c>
      <c r="E110" s="61" t="s">
        <v>197</v>
      </c>
      <c r="F110" s="61" t="s">
        <v>94</v>
      </c>
      <c r="G110" s="62">
        <v>0</v>
      </c>
      <c r="H110" s="61">
        <v>1</v>
      </c>
      <c r="I110" s="61">
        <v>0</v>
      </c>
      <c r="J110" s="61" t="e">
        <v>#N/A</v>
      </c>
      <c r="K110" s="70">
        <v>0</v>
      </c>
      <c r="L110" s="70">
        <v>0</v>
      </c>
      <c r="M110" s="70">
        <v>0</v>
      </c>
      <c r="N110" s="70">
        <v>0</v>
      </c>
      <c r="O110" s="70">
        <v>0</v>
      </c>
      <c r="P110" s="70">
        <v>0</v>
      </c>
      <c r="Q110" s="70">
        <v>0</v>
      </c>
      <c r="R110" s="70">
        <v>0</v>
      </c>
      <c r="S110" s="70">
        <v>0</v>
      </c>
      <c r="T110" s="70">
        <v>0</v>
      </c>
      <c r="U110" s="70">
        <v>0</v>
      </c>
      <c r="V110" s="70">
        <v>0</v>
      </c>
      <c r="W110" s="70">
        <v>0</v>
      </c>
      <c r="X110" s="70">
        <v>0</v>
      </c>
      <c r="Y110" s="70">
        <v>0</v>
      </c>
      <c r="Z110" s="61">
        <v>0</v>
      </c>
      <c r="AA110" s="68">
        <v>0</v>
      </c>
      <c r="AB110" s="69">
        <v>0</v>
      </c>
    </row>
    <row r="111" spans="2:28" x14ac:dyDescent="0.3">
      <c r="B111" s="61" t="s">
        <v>223</v>
      </c>
      <c r="C111" s="61" t="s">
        <v>185</v>
      </c>
      <c r="D111" s="61" t="s">
        <v>200</v>
      </c>
      <c r="E111" s="61" t="s">
        <v>198</v>
      </c>
      <c r="F111" s="61" t="s">
        <v>94</v>
      </c>
      <c r="G111" s="62">
        <v>0</v>
      </c>
      <c r="H111" s="61">
        <v>1</v>
      </c>
      <c r="I111" s="61">
        <v>0</v>
      </c>
      <c r="J111" s="61" t="e">
        <v>#N/A</v>
      </c>
      <c r="K111" s="70">
        <v>0</v>
      </c>
      <c r="L111" s="70">
        <v>0</v>
      </c>
      <c r="M111" s="70">
        <v>0</v>
      </c>
      <c r="N111" s="70">
        <v>0</v>
      </c>
      <c r="O111" s="70">
        <v>0</v>
      </c>
      <c r="P111" s="70">
        <v>0</v>
      </c>
      <c r="Q111" s="70">
        <v>0</v>
      </c>
      <c r="R111" s="70">
        <v>0</v>
      </c>
      <c r="S111" s="70">
        <v>0</v>
      </c>
      <c r="T111" s="70">
        <v>0</v>
      </c>
      <c r="U111" s="70">
        <v>0</v>
      </c>
      <c r="V111" s="70">
        <v>0</v>
      </c>
      <c r="W111" s="70">
        <v>0</v>
      </c>
      <c r="X111" s="70">
        <v>0</v>
      </c>
      <c r="Y111" s="70">
        <v>0</v>
      </c>
      <c r="Z111" s="61">
        <v>0</v>
      </c>
      <c r="AA111" s="68">
        <v>0</v>
      </c>
      <c r="AB111" s="69">
        <v>0</v>
      </c>
    </row>
    <row r="112" spans="2:28" x14ac:dyDescent="0.3">
      <c r="B112" s="61" t="s">
        <v>223</v>
      </c>
      <c r="C112" s="61" t="s">
        <v>185</v>
      </c>
      <c r="D112" s="61" t="s">
        <v>200</v>
      </c>
      <c r="E112" s="61" t="s">
        <v>199</v>
      </c>
      <c r="F112" s="61" t="s">
        <v>94</v>
      </c>
      <c r="G112" s="62">
        <v>0</v>
      </c>
      <c r="H112" s="61">
        <v>1</v>
      </c>
      <c r="I112" s="61">
        <v>0</v>
      </c>
      <c r="J112" s="61" t="e">
        <v>#N/A</v>
      </c>
      <c r="K112" s="70">
        <v>0</v>
      </c>
      <c r="L112" s="70">
        <v>0</v>
      </c>
      <c r="M112" s="70">
        <v>0</v>
      </c>
      <c r="N112" s="70">
        <v>0</v>
      </c>
      <c r="O112" s="70">
        <v>0</v>
      </c>
      <c r="P112" s="70">
        <v>0</v>
      </c>
      <c r="Q112" s="70">
        <v>0</v>
      </c>
      <c r="R112" s="70">
        <v>0</v>
      </c>
      <c r="S112" s="70">
        <v>0</v>
      </c>
      <c r="T112" s="70">
        <v>0</v>
      </c>
      <c r="U112" s="70">
        <v>0</v>
      </c>
      <c r="V112" s="70">
        <v>0</v>
      </c>
      <c r="W112" s="70">
        <v>0</v>
      </c>
      <c r="X112" s="70">
        <v>0</v>
      </c>
      <c r="Y112" s="70">
        <v>0</v>
      </c>
      <c r="Z112" s="61">
        <v>0</v>
      </c>
      <c r="AA112" s="68">
        <v>0</v>
      </c>
      <c r="AB112" s="69">
        <v>0</v>
      </c>
    </row>
    <row r="113" spans="2:28" x14ac:dyDescent="0.3">
      <c r="B113" s="61" t="s">
        <v>223</v>
      </c>
      <c r="C113" s="61" t="s">
        <v>185</v>
      </c>
      <c r="D113" s="61" t="s">
        <v>123</v>
      </c>
      <c r="E113" s="61" t="s">
        <v>186</v>
      </c>
      <c r="F113" s="61" t="s">
        <v>93</v>
      </c>
      <c r="G113" s="62">
        <v>0</v>
      </c>
      <c r="H113" s="61">
        <v>1</v>
      </c>
      <c r="I113" s="61">
        <v>0</v>
      </c>
      <c r="J113" s="61" t="e">
        <v>#N/A</v>
      </c>
      <c r="K113" s="70">
        <v>0</v>
      </c>
      <c r="L113" s="70">
        <v>0</v>
      </c>
      <c r="M113" s="70">
        <v>0</v>
      </c>
      <c r="N113" s="70">
        <v>0</v>
      </c>
      <c r="O113" s="70">
        <v>0</v>
      </c>
      <c r="P113" s="70">
        <v>0</v>
      </c>
      <c r="Q113" s="70">
        <v>0</v>
      </c>
      <c r="R113" s="70">
        <v>0</v>
      </c>
      <c r="S113" s="70">
        <v>0</v>
      </c>
      <c r="T113" s="70">
        <v>0</v>
      </c>
      <c r="U113" s="70">
        <v>0</v>
      </c>
      <c r="V113" s="70">
        <v>0</v>
      </c>
      <c r="W113" s="70">
        <v>0</v>
      </c>
      <c r="X113" s="70">
        <v>0</v>
      </c>
      <c r="Y113" s="70">
        <v>0</v>
      </c>
      <c r="Z113" s="61">
        <v>0</v>
      </c>
      <c r="AA113" s="68">
        <v>0</v>
      </c>
      <c r="AB113" s="69">
        <v>0</v>
      </c>
    </row>
    <row r="114" spans="2:28" x14ac:dyDescent="0.3">
      <c r="B114" s="61" t="s">
        <v>223</v>
      </c>
      <c r="C114" s="61" t="s">
        <v>185</v>
      </c>
      <c r="D114" s="61" t="s">
        <v>123</v>
      </c>
      <c r="E114" s="61" t="s">
        <v>186</v>
      </c>
      <c r="F114" s="61" t="s">
        <v>94</v>
      </c>
      <c r="G114" s="62">
        <v>0</v>
      </c>
      <c r="H114" s="61">
        <v>1</v>
      </c>
      <c r="I114" s="61">
        <v>0</v>
      </c>
      <c r="J114" s="61" t="e">
        <v>#N/A</v>
      </c>
      <c r="K114" s="70">
        <v>0</v>
      </c>
      <c r="L114" s="70">
        <v>0</v>
      </c>
      <c r="M114" s="70">
        <v>0</v>
      </c>
      <c r="N114" s="70">
        <v>0</v>
      </c>
      <c r="O114" s="70">
        <v>0</v>
      </c>
      <c r="P114" s="70">
        <v>0</v>
      </c>
      <c r="Q114" s="70">
        <v>0</v>
      </c>
      <c r="R114" s="70">
        <v>0</v>
      </c>
      <c r="S114" s="70">
        <v>0</v>
      </c>
      <c r="T114" s="70">
        <v>0</v>
      </c>
      <c r="U114" s="70">
        <v>0</v>
      </c>
      <c r="V114" s="70">
        <v>0</v>
      </c>
      <c r="W114" s="70">
        <v>0</v>
      </c>
      <c r="X114" s="70">
        <v>0</v>
      </c>
      <c r="Y114" s="70">
        <v>0</v>
      </c>
      <c r="Z114" s="61">
        <v>0</v>
      </c>
      <c r="AA114" s="68">
        <v>0</v>
      </c>
      <c r="AB114" s="69">
        <v>0</v>
      </c>
    </row>
    <row r="115" spans="2:28" x14ac:dyDescent="0.3">
      <c r="B115" s="61" t="s">
        <v>223</v>
      </c>
      <c r="C115" s="61" t="s">
        <v>185</v>
      </c>
      <c r="D115" s="61" t="s">
        <v>123</v>
      </c>
      <c r="E115" s="61" t="s">
        <v>189</v>
      </c>
      <c r="F115" s="61" t="s">
        <v>93</v>
      </c>
      <c r="G115" s="62">
        <v>0</v>
      </c>
      <c r="H115" s="61">
        <v>1</v>
      </c>
      <c r="I115" s="61">
        <v>0</v>
      </c>
      <c r="J115" s="61" t="e">
        <v>#N/A</v>
      </c>
      <c r="K115" s="70">
        <v>0</v>
      </c>
      <c r="L115" s="70">
        <v>0</v>
      </c>
      <c r="M115" s="70">
        <v>0</v>
      </c>
      <c r="N115" s="70">
        <v>0</v>
      </c>
      <c r="O115" s="70">
        <v>0</v>
      </c>
      <c r="P115" s="70">
        <v>0</v>
      </c>
      <c r="Q115" s="70">
        <v>0</v>
      </c>
      <c r="R115" s="70">
        <v>0</v>
      </c>
      <c r="S115" s="70">
        <v>0</v>
      </c>
      <c r="T115" s="70">
        <v>0</v>
      </c>
      <c r="U115" s="70">
        <v>0</v>
      </c>
      <c r="V115" s="70">
        <v>0</v>
      </c>
      <c r="W115" s="70">
        <v>0</v>
      </c>
      <c r="X115" s="70">
        <v>0</v>
      </c>
      <c r="Y115" s="70">
        <v>0</v>
      </c>
      <c r="Z115" s="61">
        <v>0</v>
      </c>
      <c r="AA115" s="68">
        <v>0</v>
      </c>
      <c r="AB115" s="69">
        <v>0</v>
      </c>
    </row>
    <row r="116" spans="2:28" x14ac:dyDescent="0.3">
      <c r="B116" s="61" t="s">
        <v>223</v>
      </c>
      <c r="C116" s="61" t="s">
        <v>185</v>
      </c>
      <c r="D116" s="61" t="s">
        <v>123</v>
      </c>
      <c r="E116" s="61" t="s">
        <v>189</v>
      </c>
      <c r="F116" s="61" t="s">
        <v>94</v>
      </c>
      <c r="G116" s="62">
        <v>0</v>
      </c>
      <c r="H116" s="61">
        <v>1</v>
      </c>
      <c r="I116" s="61">
        <v>0</v>
      </c>
      <c r="J116" s="61" t="e">
        <v>#N/A</v>
      </c>
      <c r="K116" s="70">
        <v>0</v>
      </c>
      <c r="L116" s="70">
        <v>0</v>
      </c>
      <c r="M116" s="70">
        <v>0</v>
      </c>
      <c r="N116" s="70">
        <v>0</v>
      </c>
      <c r="O116" s="70">
        <v>0</v>
      </c>
      <c r="P116" s="70">
        <v>0</v>
      </c>
      <c r="Q116" s="70">
        <v>0</v>
      </c>
      <c r="R116" s="70">
        <v>0</v>
      </c>
      <c r="S116" s="70">
        <v>0</v>
      </c>
      <c r="T116" s="70">
        <v>0</v>
      </c>
      <c r="U116" s="70">
        <v>0</v>
      </c>
      <c r="V116" s="70">
        <v>0</v>
      </c>
      <c r="W116" s="70">
        <v>0</v>
      </c>
      <c r="X116" s="70">
        <v>0</v>
      </c>
      <c r="Y116" s="70">
        <v>0</v>
      </c>
      <c r="Z116" s="61">
        <v>0</v>
      </c>
      <c r="AA116" s="68">
        <v>0</v>
      </c>
      <c r="AB116" s="69">
        <v>0</v>
      </c>
    </row>
    <row r="117" spans="2:28" x14ac:dyDescent="0.3">
      <c r="B117" s="61" t="s">
        <v>223</v>
      </c>
      <c r="C117" s="61" t="s">
        <v>185</v>
      </c>
      <c r="D117" s="61" t="s">
        <v>123</v>
      </c>
      <c r="E117" s="61" t="s">
        <v>190</v>
      </c>
      <c r="F117" s="61" t="s">
        <v>93</v>
      </c>
      <c r="G117" s="62">
        <v>0</v>
      </c>
      <c r="H117" s="61">
        <v>1</v>
      </c>
      <c r="I117" s="61">
        <v>0</v>
      </c>
      <c r="J117" s="61" t="e">
        <v>#N/A</v>
      </c>
      <c r="K117" s="70">
        <v>0</v>
      </c>
      <c r="L117" s="70">
        <v>0</v>
      </c>
      <c r="M117" s="70">
        <v>0</v>
      </c>
      <c r="N117" s="70">
        <v>0</v>
      </c>
      <c r="O117" s="70">
        <v>0</v>
      </c>
      <c r="P117" s="70">
        <v>0</v>
      </c>
      <c r="Q117" s="70">
        <v>0</v>
      </c>
      <c r="R117" s="70">
        <v>0</v>
      </c>
      <c r="S117" s="70">
        <v>0</v>
      </c>
      <c r="T117" s="70">
        <v>0</v>
      </c>
      <c r="U117" s="70">
        <v>0</v>
      </c>
      <c r="V117" s="70">
        <v>0</v>
      </c>
      <c r="W117" s="70">
        <v>0</v>
      </c>
      <c r="X117" s="70">
        <v>0</v>
      </c>
      <c r="Y117" s="70">
        <v>0</v>
      </c>
      <c r="Z117" s="61">
        <v>0</v>
      </c>
      <c r="AA117" s="68">
        <v>0</v>
      </c>
      <c r="AB117" s="69">
        <v>0</v>
      </c>
    </row>
    <row r="118" spans="2:28" x14ac:dyDescent="0.3">
      <c r="B118" s="61" t="s">
        <v>223</v>
      </c>
      <c r="C118" s="61" t="s">
        <v>185</v>
      </c>
      <c r="D118" s="61" t="s">
        <v>123</v>
      </c>
      <c r="E118" s="61" t="s">
        <v>190</v>
      </c>
      <c r="F118" s="61" t="s">
        <v>94</v>
      </c>
      <c r="G118" s="62">
        <v>0</v>
      </c>
      <c r="H118" s="61">
        <v>1</v>
      </c>
      <c r="I118" s="61">
        <v>0</v>
      </c>
      <c r="J118" s="61" t="e">
        <v>#N/A</v>
      </c>
      <c r="K118" s="70">
        <v>0</v>
      </c>
      <c r="L118" s="70">
        <v>0</v>
      </c>
      <c r="M118" s="70">
        <v>0</v>
      </c>
      <c r="N118" s="70">
        <v>0</v>
      </c>
      <c r="O118" s="70">
        <v>0</v>
      </c>
      <c r="P118" s="70">
        <v>0</v>
      </c>
      <c r="Q118" s="70">
        <v>0</v>
      </c>
      <c r="R118" s="70">
        <v>0</v>
      </c>
      <c r="S118" s="70">
        <v>0</v>
      </c>
      <c r="T118" s="70">
        <v>0</v>
      </c>
      <c r="U118" s="70">
        <v>0</v>
      </c>
      <c r="V118" s="70">
        <v>0</v>
      </c>
      <c r="W118" s="70">
        <v>0</v>
      </c>
      <c r="X118" s="70">
        <v>0</v>
      </c>
      <c r="Y118" s="70">
        <v>0</v>
      </c>
      <c r="Z118" s="61">
        <v>0</v>
      </c>
      <c r="AA118" s="68">
        <v>0</v>
      </c>
      <c r="AB118" s="69">
        <v>0</v>
      </c>
    </row>
    <row r="119" spans="2:28" x14ac:dyDescent="0.3">
      <c r="B119" s="61" t="s">
        <v>223</v>
      </c>
      <c r="C119" s="61" t="s">
        <v>185</v>
      </c>
      <c r="D119" s="61" t="s">
        <v>123</v>
      </c>
      <c r="E119" s="61" t="s">
        <v>191</v>
      </c>
      <c r="F119" s="61" t="s">
        <v>93</v>
      </c>
      <c r="G119" s="62">
        <v>0.9</v>
      </c>
      <c r="H119" s="61">
        <v>1</v>
      </c>
      <c r="I119" s="61" t="s">
        <v>214</v>
      </c>
      <c r="J119" s="61" t="s">
        <v>215</v>
      </c>
      <c r="K119" s="67">
        <v>4.4999999999999998E-2</v>
      </c>
      <c r="L119" s="67">
        <v>4.4999999999999998E-2</v>
      </c>
      <c r="M119" s="67">
        <v>4.4999999999999998E-2</v>
      </c>
      <c r="N119" s="67">
        <v>4.4999999999999998E-2</v>
      </c>
      <c r="O119" s="67">
        <v>4.4999999999999998E-2</v>
      </c>
      <c r="P119" s="67">
        <v>4.4999999999999998E-2</v>
      </c>
      <c r="Q119" s="67">
        <v>4.4999999999999998E-2</v>
      </c>
      <c r="R119" s="67">
        <v>4.4999999999999998E-2</v>
      </c>
      <c r="S119" s="67">
        <v>4.4999999999999998E-2</v>
      </c>
      <c r="T119" s="67">
        <v>4.4999999999999998E-2</v>
      </c>
      <c r="U119" s="67">
        <v>4.4999999999999998E-2</v>
      </c>
      <c r="V119" s="67">
        <v>4.4999999999999998E-2</v>
      </c>
      <c r="W119" s="67">
        <v>4.4999999999999998E-2</v>
      </c>
      <c r="X119" s="67">
        <v>4.4999999999999998E-2</v>
      </c>
      <c r="Y119" s="67">
        <v>4.4999999999999998E-2</v>
      </c>
      <c r="Z119" s="61" t="s">
        <v>216</v>
      </c>
      <c r="AA119" s="68">
        <v>4.1400000000000006E-2</v>
      </c>
      <c r="AB119" s="69">
        <v>1.260997392571049E-4</v>
      </c>
    </row>
    <row r="120" spans="2:28" x14ac:dyDescent="0.3">
      <c r="B120" s="61" t="s">
        <v>223</v>
      </c>
      <c r="C120" s="61" t="s">
        <v>185</v>
      </c>
      <c r="D120" s="61" t="s">
        <v>123</v>
      </c>
      <c r="E120" s="61" t="s">
        <v>191</v>
      </c>
      <c r="F120" s="61" t="s">
        <v>94</v>
      </c>
      <c r="G120" s="62">
        <v>0</v>
      </c>
      <c r="H120" s="61">
        <v>1</v>
      </c>
      <c r="I120" s="61">
        <v>0</v>
      </c>
      <c r="J120" s="61" t="e">
        <v>#N/A</v>
      </c>
      <c r="K120" s="70">
        <v>0</v>
      </c>
      <c r="L120" s="70">
        <v>0</v>
      </c>
      <c r="M120" s="70">
        <v>0</v>
      </c>
      <c r="N120" s="70">
        <v>0</v>
      </c>
      <c r="O120" s="70">
        <v>0</v>
      </c>
      <c r="P120" s="70">
        <v>0</v>
      </c>
      <c r="Q120" s="70">
        <v>0</v>
      </c>
      <c r="R120" s="70">
        <v>0</v>
      </c>
      <c r="S120" s="70">
        <v>0</v>
      </c>
      <c r="T120" s="70">
        <v>0</v>
      </c>
      <c r="U120" s="70">
        <v>0</v>
      </c>
      <c r="V120" s="70">
        <v>0</v>
      </c>
      <c r="W120" s="70">
        <v>0</v>
      </c>
      <c r="X120" s="70">
        <v>0</v>
      </c>
      <c r="Y120" s="70">
        <v>0</v>
      </c>
      <c r="Z120" s="61">
        <v>0</v>
      </c>
      <c r="AA120" s="68">
        <v>0</v>
      </c>
      <c r="AB120" s="69">
        <v>0</v>
      </c>
    </row>
    <row r="121" spans="2:28" x14ac:dyDescent="0.3">
      <c r="B121" s="61" t="s">
        <v>223</v>
      </c>
      <c r="C121" s="61" t="s">
        <v>185</v>
      </c>
      <c r="D121" s="61" t="s">
        <v>123</v>
      </c>
      <c r="E121" s="61" t="s">
        <v>192</v>
      </c>
      <c r="F121" s="61" t="s">
        <v>93</v>
      </c>
      <c r="G121" s="62">
        <v>0.9</v>
      </c>
      <c r="H121" s="61">
        <v>1</v>
      </c>
      <c r="I121" s="61" t="s">
        <v>214</v>
      </c>
      <c r="J121" s="61" t="s">
        <v>215</v>
      </c>
      <c r="K121" s="67">
        <v>0.06</v>
      </c>
      <c r="L121" s="67">
        <v>0.06</v>
      </c>
      <c r="M121" s="67">
        <v>0.06</v>
      </c>
      <c r="N121" s="67">
        <v>0.06</v>
      </c>
      <c r="O121" s="67">
        <v>0.06</v>
      </c>
      <c r="P121" s="67">
        <v>0.06</v>
      </c>
      <c r="Q121" s="67">
        <v>0.06</v>
      </c>
      <c r="R121" s="67">
        <v>0.06</v>
      </c>
      <c r="S121" s="67">
        <v>0.06</v>
      </c>
      <c r="T121" s="67">
        <v>0.06</v>
      </c>
      <c r="U121" s="67">
        <v>0.06</v>
      </c>
      <c r="V121" s="67">
        <v>0.06</v>
      </c>
      <c r="W121" s="67">
        <v>0.06</v>
      </c>
      <c r="X121" s="67">
        <v>0.06</v>
      </c>
      <c r="Y121" s="67">
        <v>0.06</v>
      </c>
      <c r="Z121" s="61" t="s">
        <v>216</v>
      </c>
      <c r="AA121" s="68">
        <v>4.1400000000000006E-2</v>
      </c>
      <c r="AB121" s="69">
        <v>1.260997392571049E-4</v>
      </c>
    </row>
    <row r="122" spans="2:28" x14ac:dyDescent="0.3">
      <c r="B122" s="61" t="s">
        <v>223</v>
      </c>
      <c r="C122" s="61" t="s">
        <v>185</v>
      </c>
      <c r="D122" s="61" t="s">
        <v>123</v>
      </c>
      <c r="E122" s="61" t="s">
        <v>192</v>
      </c>
      <c r="F122" s="61" t="s">
        <v>94</v>
      </c>
      <c r="G122" s="62">
        <v>0</v>
      </c>
      <c r="H122" s="61">
        <v>1</v>
      </c>
      <c r="I122" s="61">
        <v>0</v>
      </c>
      <c r="J122" s="61" t="e">
        <v>#N/A</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61">
        <v>0</v>
      </c>
      <c r="AA122" s="68">
        <v>0</v>
      </c>
      <c r="AB122" s="69">
        <v>0</v>
      </c>
    </row>
    <row r="123" spans="2:28" x14ac:dyDescent="0.3">
      <c r="B123" s="61" t="s">
        <v>223</v>
      </c>
      <c r="C123" s="61" t="s">
        <v>185</v>
      </c>
      <c r="D123" s="61" t="s">
        <v>123</v>
      </c>
      <c r="E123" s="61" t="s">
        <v>193</v>
      </c>
      <c r="F123" s="61" t="s">
        <v>93</v>
      </c>
      <c r="G123" s="62">
        <v>0.2</v>
      </c>
      <c r="H123" s="61">
        <v>1</v>
      </c>
      <c r="I123" s="61" t="s">
        <v>214</v>
      </c>
      <c r="J123" s="61" t="s">
        <v>215</v>
      </c>
      <c r="K123" s="67">
        <v>4.4999999999999998E-2</v>
      </c>
      <c r="L123" s="67">
        <v>4.4999999999999998E-2</v>
      </c>
      <c r="M123" s="67">
        <v>4.4999999999999998E-2</v>
      </c>
      <c r="N123" s="67">
        <v>4.4999999999999998E-2</v>
      </c>
      <c r="O123" s="67">
        <v>4.4999999999999998E-2</v>
      </c>
      <c r="P123" s="67">
        <v>4.4999999999999998E-2</v>
      </c>
      <c r="Q123" s="67">
        <v>4.4999999999999998E-2</v>
      </c>
      <c r="R123" s="67">
        <v>4.4999999999999998E-2</v>
      </c>
      <c r="S123" s="67">
        <v>4.4999999999999998E-2</v>
      </c>
      <c r="T123" s="67">
        <v>4.4999999999999998E-2</v>
      </c>
      <c r="U123" s="67">
        <v>4.4999999999999998E-2</v>
      </c>
      <c r="V123" s="67">
        <v>4.4999999999999998E-2</v>
      </c>
      <c r="W123" s="67">
        <v>4.4999999999999998E-2</v>
      </c>
      <c r="X123" s="67">
        <v>4.4999999999999998E-2</v>
      </c>
      <c r="Y123" s="67">
        <v>4.4999999999999998E-2</v>
      </c>
      <c r="Z123" s="61" t="s">
        <v>216</v>
      </c>
      <c r="AA123" s="68">
        <v>4.1400000000000006E-2</v>
      </c>
      <c r="AB123" s="69">
        <v>1.260997392571049E-4</v>
      </c>
    </row>
    <row r="124" spans="2:28" x14ac:dyDescent="0.3">
      <c r="B124" s="61" t="s">
        <v>223</v>
      </c>
      <c r="C124" s="61" t="s">
        <v>185</v>
      </c>
      <c r="D124" s="61" t="s">
        <v>123</v>
      </c>
      <c r="E124" s="61" t="s">
        <v>193</v>
      </c>
      <c r="F124" s="61" t="s">
        <v>94</v>
      </c>
      <c r="G124" s="62">
        <v>0</v>
      </c>
      <c r="H124" s="61">
        <v>1</v>
      </c>
      <c r="I124" s="61">
        <v>0</v>
      </c>
      <c r="J124" s="61" t="e">
        <v>#N/A</v>
      </c>
      <c r="K124" s="70">
        <v>0</v>
      </c>
      <c r="L124" s="70">
        <v>0</v>
      </c>
      <c r="M124" s="70">
        <v>0</v>
      </c>
      <c r="N124" s="70">
        <v>0</v>
      </c>
      <c r="O124" s="70">
        <v>0</v>
      </c>
      <c r="P124" s="70">
        <v>0</v>
      </c>
      <c r="Q124" s="70">
        <v>0</v>
      </c>
      <c r="R124" s="70">
        <v>0</v>
      </c>
      <c r="S124" s="70">
        <v>0</v>
      </c>
      <c r="T124" s="70">
        <v>0</v>
      </c>
      <c r="U124" s="70">
        <v>0</v>
      </c>
      <c r="V124" s="70">
        <v>0</v>
      </c>
      <c r="W124" s="70">
        <v>0</v>
      </c>
      <c r="X124" s="70">
        <v>0</v>
      </c>
      <c r="Y124" s="70">
        <v>0</v>
      </c>
      <c r="Z124" s="61">
        <v>0</v>
      </c>
      <c r="AA124" s="68">
        <v>0</v>
      </c>
      <c r="AB124" s="69">
        <v>0</v>
      </c>
    </row>
    <row r="125" spans="2:28" x14ac:dyDescent="0.3">
      <c r="B125" s="61" t="s">
        <v>223</v>
      </c>
      <c r="C125" s="61" t="s">
        <v>185</v>
      </c>
      <c r="D125" s="61" t="s">
        <v>123</v>
      </c>
      <c r="E125" s="61" t="s">
        <v>194</v>
      </c>
      <c r="F125" s="61" t="s">
        <v>93</v>
      </c>
      <c r="G125" s="62">
        <v>0</v>
      </c>
      <c r="H125" s="61">
        <v>1</v>
      </c>
      <c r="I125" s="61">
        <v>0</v>
      </c>
      <c r="J125" s="61" t="e">
        <v>#N/A</v>
      </c>
      <c r="K125" s="70">
        <v>0</v>
      </c>
      <c r="L125" s="70">
        <v>0</v>
      </c>
      <c r="M125" s="70">
        <v>0</v>
      </c>
      <c r="N125" s="70">
        <v>0</v>
      </c>
      <c r="O125" s="70">
        <v>0</v>
      </c>
      <c r="P125" s="70">
        <v>0</v>
      </c>
      <c r="Q125" s="70">
        <v>0</v>
      </c>
      <c r="R125" s="70">
        <v>0</v>
      </c>
      <c r="S125" s="70">
        <v>0</v>
      </c>
      <c r="T125" s="70">
        <v>0</v>
      </c>
      <c r="U125" s="70">
        <v>0</v>
      </c>
      <c r="V125" s="70">
        <v>0</v>
      </c>
      <c r="W125" s="70">
        <v>0</v>
      </c>
      <c r="X125" s="70">
        <v>0</v>
      </c>
      <c r="Y125" s="70">
        <v>0</v>
      </c>
      <c r="Z125" s="61">
        <v>0</v>
      </c>
      <c r="AA125" s="68">
        <v>0</v>
      </c>
      <c r="AB125" s="69">
        <v>0</v>
      </c>
    </row>
    <row r="126" spans="2:28" x14ac:dyDescent="0.3">
      <c r="B126" s="61" t="s">
        <v>223</v>
      </c>
      <c r="C126" s="61" t="s">
        <v>185</v>
      </c>
      <c r="D126" s="61" t="s">
        <v>123</v>
      </c>
      <c r="E126" s="61" t="s">
        <v>194</v>
      </c>
      <c r="F126" s="61" t="s">
        <v>94</v>
      </c>
      <c r="G126" s="62">
        <v>0</v>
      </c>
      <c r="H126" s="61">
        <v>1</v>
      </c>
      <c r="I126" s="61">
        <v>0</v>
      </c>
      <c r="J126" s="61" t="e">
        <v>#N/A</v>
      </c>
      <c r="K126" s="70">
        <v>0</v>
      </c>
      <c r="L126" s="70">
        <v>0</v>
      </c>
      <c r="M126" s="70">
        <v>0</v>
      </c>
      <c r="N126" s="70">
        <v>0</v>
      </c>
      <c r="O126" s="70">
        <v>0</v>
      </c>
      <c r="P126" s="70">
        <v>0</v>
      </c>
      <c r="Q126" s="70">
        <v>0</v>
      </c>
      <c r="R126" s="70">
        <v>0</v>
      </c>
      <c r="S126" s="70">
        <v>0</v>
      </c>
      <c r="T126" s="70">
        <v>0</v>
      </c>
      <c r="U126" s="70">
        <v>0</v>
      </c>
      <c r="V126" s="70">
        <v>0</v>
      </c>
      <c r="W126" s="70">
        <v>0</v>
      </c>
      <c r="X126" s="70">
        <v>0</v>
      </c>
      <c r="Y126" s="70">
        <v>0</v>
      </c>
      <c r="Z126" s="61">
        <v>0</v>
      </c>
      <c r="AA126" s="68">
        <v>0</v>
      </c>
      <c r="AB126" s="69">
        <v>0</v>
      </c>
    </row>
    <row r="127" spans="2:28" x14ac:dyDescent="0.3">
      <c r="B127" s="61" t="s">
        <v>223</v>
      </c>
      <c r="C127" s="61" t="s">
        <v>185</v>
      </c>
      <c r="D127" s="61" t="s">
        <v>123</v>
      </c>
      <c r="E127" s="61" t="s">
        <v>195</v>
      </c>
      <c r="F127" s="61" t="s">
        <v>93</v>
      </c>
      <c r="G127" s="62">
        <v>0</v>
      </c>
      <c r="H127" s="61">
        <v>1</v>
      </c>
      <c r="I127" s="61">
        <v>0</v>
      </c>
      <c r="J127" s="61" t="e">
        <v>#N/A</v>
      </c>
      <c r="K127" s="70">
        <v>0</v>
      </c>
      <c r="L127" s="70">
        <v>0</v>
      </c>
      <c r="M127" s="70">
        <v>0</v>
      </c>
      <c r="N127" s="70">
        <v>0</v>
      </c>
      <c r="O127" s="70">
        <v>0</v>
      </c>
      <c r="P127" s="70">
        <v>0</v>
      </c>
      <c r="Q127" s="70">
        <v>0</v>
      </c>
      <c r="R127" s="70">
        <v>0</v>
      </c>
      <c r="S127" s="70">
        <v>0</v>
      </c>
      <c r="T127" s="70">
        <v>0</v>
      </c>
      <c r="U127" s="70">
        <v>0</v>
      </c>
      <c r="V127" s="70">
        <v>0</v>
      </c>
      <c r="W127" s="70">
        <v>0</v>
      </c>
      <c r="X127" s="70">
        <v>0</v>
      </c>
      <c r="Y127" s="70">
        <v>0</v>
      </c>
      <c r="Z127" s="61">
        <v>0</v>
      </c>
      <c r="AA127" s="68">
        <v>0</v>
      </c>
      <c r="AB127" s="69">
        <v>0</v>
      </c>
    </row>
    <row r="128" spans="2:28" x14ac:dyDescent="0.3">
      <c r="B128" s="61" t="s">
        <v>223</v>
      </c>
      <c r="C128" s="61" t="s">
        <v>185</v>
      </c>
      <c r="D128" s="61" t="s">
        <v>123</v>
      </c>
      <c r="E128" s="61" t="s">
        <v>195</v>
      </c>
      <c r="F128" s="61" t="s">
        <v>94</v>
      </c>
      <c r="G128" s="62">
        <v>0</v>
      </c>
      <c r="H128" s="61">
        <v>1</v>
      </c>
      <c r="I128" s="61">
        <v>0</v>
      </c>
      <c r="J128" s="61" t="e">
        <v>#N/A</v>
      </c>
      <c r="K128" s="70">
        <v>0</v>
      </c>
      <c r="L128" s="70">
        <v>0</v>
      </c>
      <c r="M128" s="70">
        <v>0</v>
      </c>
      <c r="N128" s="70">
        <v>0</v>
      </c>
      <c r="O128" s="70">
        <v>0</v>
      </c>
      <c r="P128" s="70">
        <v>0</v>
      </c>
      <c r="Q128" s="70">
        <v>0</v>
      </c>
      <c r="R128" s="70">
        <v>0</v>
      </c>
      <c r="S128" s="70">
        <v>0</v>
      </c>
      <c r="T128" s="70">
        <v>0</v>
      </c>
      <c r="U128" s="70">
        <v>0</v>
      </c>
      <c r="V128" s="70">
        <v>0</v>
      </c>
      <c r="W128" s="70">
        <v>0</v>
      </c>
      <c r="X128" s="70">
        <v>0</v>
      </c>
      <c r="Y128" s="70">
        <v>0</v>
      </c>
      <c r="Z128" s="61">
        <v>0</v>
      </c>
      <c r="AA128" s="68">
        <v>0</v>
      </c>
      <c r="AB128" s="69">
        <v>0</v>
      </c>
    </row>
    <row r="129" spans="2:28" x14ac:dyDescent="0.3">
      <c r="B129" s="61" t="s">
        <v>223</v>
      </c>
      <c r="C129" s="61" t="s">
        <v>185</v>
      </c>
      <c r="D129" s="61" t="s">
        <v>123</v>
      </c>
      <c r="E129" s="61" t="s">
        <v>196</v>
      </c>
      <c r="F129" s="61" t="s">
        <v>93</v>
      </c>
      <c r="G129" s="62">
        <v>0.2</v>
      </c>
      <c r="H129" s="61">
        <v>1</v>
      </c>
      <c r="I129" s="61" t="s">
        <v>214</v>
      </c>
      <c r="J129" s="61" t="s">
        <v>215</v>
      </c>
      <c r="K129" s="67">
        <v>4.4999999999999998E-2</v>
      </c>
      <c r="L129" s="67">
        <v>4.4999999999999998E-2</v>
      </c>
      <c r="M129" s="67">
        <v>4.4999999999999998E-2</v>
      </c>
      <c r="N129" s="67">
        <v>4.4999999999999998E-2</v>
      </c>
      <c r="O129" s="67">
        <v>4.4999999999999998E-2</v>
      </c>
      <c r="P129" s="67">
        <v>4.4999999999999998E-2</v>
      </c>
      <c r="Q129" s="67">
        <v>4.4999999999999998E-2</v>
      </c>
      <c r="R129" s="67">
        <v>4.4999999999999998E-2</v>
      </c>
      <c r="S129" s="67">
        <v>4.4999999999999998E-2</v>
      </c>
      <c r="T129" s="67">
        <v>4.4999999999999998E-2</v>
      </c>
      <c r="U129" s="67">
        <v>4.4999999999999998E-2</v>
      </c>
      <c r="V129" s="67">
        <v>4.4999999999999998E-2</v>
      </c>
      <c r="W129" s="67">
        <v>4.4999999999999998E-2</v>
      </c>
      <c r="X129" s="67">
        <v>4.4999999999999998E-2</v>
      </c>
      <c r="Y129" s="67">
        <v>4.4999999999999998E-2</v>
      </c>
      <c r="Z129" s="61" t="s">
        <v>216</v>
      </c>
      <c r="AA129" s="68">
        <v>4.1400000000000006E-2</v>
      </c>
      <c r="AB129" s="69">
        <v>1.260997392571049E-4</v>
      </c>
    </row>
    <row r="130" spans="2:28" x14ac:dyDescent="0.3">
      <c r="B130" s="61" t="s">
        <v>223</v>
      </c>
      <c r="C130" s="61" t="s">
        <v>185</v>
      </c>
      <c r="D130" s="61" t="s">
        <v>123</v>
      </c>
      <c r="E130" s="61" t="s">
        <v>196</v>
      </c>
      <c r="F130" s="61" t="s">
        <v>94</v>
      </c>
      <c r="G130" s="62">
        <v>0</v>
      </c>
      <c r="H130" s="61">
        <v>1</v>
      </c>
      <c r="I130" s="61">
        <v>0</v>
      </c>
      <c r="J130" s="61" t="e">
        <v>#N/A</v>
      </c>
      <c r="K130" s="70">
        <v>0</v>
      </c>
      <c r="L130" s="70">
        <v>0</v>
      </c>
      <c r="M130" s="70">
        <v>0</v>
      </c>
      <c r="N130" s="70">
        <v>0</v>
      </c>
      <c r="O130" s="70">
        <v>0</v>
      </c>
      <c r="P130" s="70">
        <v>0</v>
      </c>
      <c r="Q130" s="70">
        <v>0</v>
      </c>
      <c r="R130" s="70">
        <v>0</v>
      </c>
      <c r="S130" s="70">
        <v>0</v>
      </c>
      <c r="T130" s="70">
        <v>0</v>
      </c>
      <c r="U130" s="70">
        <v>0</v>
      </c>
      <c r="V130" s="70">
        <v>0</v>
      </c>
      <c r="W130" s="70">
        <v>0</v>
      </c>
      <c r="X130" s="70">
        <v>0</v>
      </c>
      <c r="Y130" s="70">
        <v>0</v>
      </c>
      <c r="Z130" s="61">
        <v>0</v>
      </c>
      <c r="AA130" s="68">
        <v>0</v>
      </c>
      <c r="AB130" s="69">
        <v>0</v>
      </c>
    </row>
    <row r="131" spans="2:28" x14ac:dyDescent="0.3">
      <c r="B131" s="61" t="s">
        <v>223</v>
      </c>
      <c r="C131" s="61" t="s">
        <v>185</v>
      </c>
      <c r="D131" s="61" t="s">
        <v>123</v>
      </c>
      <c r="E131" s="61" t="s">
        <v>197</v>
      </c>
      <c r="F131" s="61" t="s">
        <v>93</v>
      </c>
      <c r="G131" s="62">
        <v>0.2</v>
      </c>
      <c r="H131" s="61">
        <v>1</v>
      </c>
      <c r="I131" s="61" t="s">
        <v>214</v>
      </c>
      <c r="J131" s="61" t="s">
        <v>215</v>
      </c>
      <c r="K131" s="67">
        <v>4.4999999999999998E-2</v>
      </c>
      <c r="L131" s="67">
        <v>4.4999999999999998E-2</v>
      </c>
      <c r="M131" s="67">
        <v>4.4999999999999998E-2</v>
      </c>
      <c r="N131" s="67">
        <v>4.4999999999999998E-2</v>
      </c>
      <c r="O131" s="67">
        <v>4.4999999999999998E-2</v>
      </c>
      <c r="P131" s="67">
        <v>4.4999999999999998E-2</v>
      </c>
      <c r="Q131" s="67">
        <v>4.4999999999999998E-2</v>
      </c>
      <c r="R131" s="67">
        <v>4.4999999999999998E-2</v>
      </c>
      <c r="S131" s="67">
        <v>4.4999999999999998E-2</v>
      </c>
      <c r="T131" s="67">
        <v>4.4999999999999998E-2</v>
      </c>
      <c r="U131" s="67">
        <v>4.4999999999999998E-2</v>
      </c>
      <c r="V131" s="67">
        <v>4.4999999999999998E-2</v>
      </c>
      <c r="W131" s="67">
        <v>4.4999999999999998E-2</v>
      </c>
      <c r="X131" s="67">
        <v>4.4999999999999998E-2</v>
      </c>
      <c r="Y131" s="67">
        <v>4.4999999999999998E-2</v>
      </c>
      <c r="Z131" s="61" t="s">
        <v>216</v>
      </c>
      <c r="AA131" s="68">
        <v>4.1400000000000006E-2</v>
      </c>
      <c r="AB131" s="69">
        <v>1.260997392571049E-4</v>
      </c>
    </row>
    <row r="132" spans="2:28" x14ac:dyDescent="0.3">
      <c r="B132" s="61" t="s">
        <v>223</v>
      </c>
      <c r="C132" s="61" t="s">
        <v>185</v>
      </c>
      <c r="D132" s="61" t="s">
        <v>123</v>
      </c>
      <c r="E132" s="61" t="s">
        <v>197</v>
      </c>
      <c r="F132" s="61" t="s">
        <v>94</v>
      </c>
      <c r="G132" s="62">
        <v>0</v>
      </c>
      <c r="H132" s="61">
        <v>1</v>
      </c>
      <c r="I132" s="61">
        <v>0</v>
      </c>
      <c r="J132" s="61" t="e">
        <v>#N/A</v>
      </c>
      <c r="K132" s="70">
        <v>0</v>
      </c>
      <c r="L132" s="70">
        <v>0</v>
      </c>
      <c r="M132" s="70">
        <v>0</v>
      </c>
      <c r="N132" s="70">
        <v>0</v>
      </c>
      <c r="O132" s="70">
        <v>0</v>
      </c>
      <c r="P132" s="70">
        <v>0</v>
      </c>
      <c r="Q132" s="70">
        <v>0</v>
      </c>
      <c r="R132" s="70">
        <v>0</v>
      </c>
      <c r="S132" s="70">
        <v>0</v>
      </c>
      <c r="T132" s="70">
        <v>0</v>
      </c>
      <c r="U132" s="70">
        <v>0</v>
      </c>
      <c r="V132" s="70">
        <v>0</v>
      </c>
      <c r="W132" s="70">
        <v>0</v>
      </c>
      <c r="X132" s="70">
        <v>0</v>
      </c>
      <c r="Y132" s="70">
        <v>0</v>
      </c>
      <c r="Z132" s="61">
        <v>0</v>
      </c>
      <c r="AA132" s="68">
        <v>0</v>
      </c>
      <c r="AB132" s="69">
        <v>0</v>
      </c>
    </row>
    <row r="133" spans="2:28" x14ac:dyDescent="0.3">
      <c r="B133" s="61" t="s">
        <v>223</v>
      </c>
      <c r="C133" s="61" t="s">
        <v>185</v>
      </c>
      <c r="D133" s="61" t="s">
        <v>123</v>
      </c>
      <c r="E133" s="61" t="s">
        <v>198</v>
      </c>
      <c r="F133" s="61" t="s">
        <v>93</v>
      </c>
      <c r="G133" s="62">
        <v>0</v>
      </c>
      <c r="H133" s="61">
        <v>1</v>
      </c>
      <c r="I133" s="61">
        <v>0</v>
      </c>
      <c r="J133" s="61" t="e">
        <v>#N/A</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61">
        <v>0</v>
      </c>
      <c r="AA133" s="68">
        <v>0</v>
      </c>
      <c r="AB133" s="69">
        <v>0</v>
      </c>
    </row>
    <row r="134" spans="2:28" x14ac:dyDescent="0.3">
      <c r="B134" s="61" t="s">
        <v>223</v>
      </c>
      <c r="C134" s="61" t="s">
        <v>185</v>
      </c>
      <c r="D134" s="61" t="s">
        <v>123</v>
      </c>
      <c r="E134" s="61" t="s">
        <v>198</v>
      </c>
      <c r="F134" s="61" t="s">
        <v>94</v>
      </c>
      <c r="G134" s="62">
        <v>0</v>
      </c>
      <c r="H134" s="61">
        <v>1</v>
      </c>
      <c r="I134" s="61">
        <v>0</v>
      </c>
      <c r="J134" s="61" t="e">
        <v>#N/A</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61">
        <v>0</v>
      </c>
      <c r="AA134" s="68">
        <v>0</v>
      </c>
      <c r="AB134" s="69">
        <v>0</v>
      </c>
    </row>
    <row r="135" spans="2:28" x14ac:dyDescent="0.3">
      <c r="B135" s="61" t="s">
        <v>223</v>
      </c>
      <c r="C135" s="61" t="s">
        <v>185</v>
      </c>
      <c r="D135" s="61" t="s">
        <v>123</v>
      </c>
      <c r="E135" s="61" t="s">
        <v>199</v>
      </c>
      <c r="F135" s="61" t="s">
        <v>93</v>
      </c>
      <c r="G135" s="62">
        <v>0</v>
      </c>
      <c r="H135" s="61">
        <v>1</v>
      </c>
      <c r="I135" s="61">
        <v>0</v>
      </c>
      <c r="J135" s="61" t="e">
        <v>#N/A</v>
      </c>
      <c r="K135" s="70">
        <v>0</v>
      </c>
      <c r="L135" s="70">
        <v>0</v>
      </c>
      <c r="M135" s="70">
        <v>0</v>
      </c>
      <c r="N135" s="70">
        <v>0</v>
      </c>
      <c r="O135" s="70">
        <v>0</v>
      </c>
      <c r="P135" s="70">
        <v>0</v>
      </c>
      <c r="Q135" s="70">
        <v>0</v>
      </c>
      <c r="R135" s="70">
        <v>0</v>
      </c>
      <c r="S135" s="70">
        <v>0</v>
      </c>
      <c r="T135" s="70">
        <v>0</v>
      </c>
      <c r="U135" s="70">
        <v>0</v>
      </c>
      <c r="V135" s="70">
        <v>0</v>
      </c>
      <c r="W135" s="70">
        <v>0</v>
      </c>
      <c r="X135" s="70">
        <v>0</v>
      </c>
      <c r="Y135" s="70">
        <v>0</v>
      </c>
      <c r="Z135" s="61">
        <v>0</v>
      </c>
      <c r="AA135" s="68">
        <v>0</v>
      </c>
      <c r="AB135" s="69">
        <v>0</v>
      </c>
    </row>
    <row r="136" spans="2:28" x14ac:dyDescent="0.3">
      <c r="B136" s="61" t="s">
        <v>223</v>
      </c>
      <c r="C136" s="61" t="s">
        <v>185</v>
      </c>
      <c r="D136" s="61" t="s">
        <v>123</v>
      </c>
      <c r="E136" s="61" t="s">
        <v>199</v>
      </c>
      <c r="F136" s="61" t="s">
        <v>94</v>
      </c>
      <c r="G136" s="62">
        <v>0</v>
      </c>
      <c r="H136" s="61">
        <v>1</v>
      </c>
      <c r="I136" s="61">
        <v>0</v>
      </c>
      <c r="J136" s="61" t="e">
        <v>#N/A</v>
      </c>
      <c r="K136" s="70">
        <v>0</v>
      </c>
      <c r="L136" s="70">
        <v>0</v>
      </c>
      <c r="M136" s="70">
        <v>0</v>
      </c>
      <c r="N136" s="70">
        <v>0</v>
      </c>
      <c r="O136" s="70">
        <v>0</v>
      </c>
      <c r="P136" s="70">
        <v>0</v>
      </c>
      <c r="Q136" s="70">
        <v>0</v>
      </c>
      <c r="R136" s="70">
        <v>0</v>
      </c>
      <c r="S136" s="70">
        <v>0</v>
      </c>
      <c r="T136" s="70">
        <v>0</v>
      </c>
      <c r="U136" s="70">
        <v>0</v>
      </c>
      <c r="V136" s="70">
        <v>0</v>
      </c>
      <c r="W136" s="70">
        <v>0</v>
      </c>
      <c r="X136" s="70">
        <v>0</v>
      </c>
      <c r="Y136" s="70">
        <v>0</v>
      </c>
      <c r="Z136" s="61">
        <v>0</v>
      </c>
      <c r="AA136" s="68">
        <v>0</v>
      </c>
      <c r="AB136" s="69">
        <v>0</v>
      </c>
    </row>
    <row r="137" spans="2:28" x14ac:dyDescent="0.3">
      <c r="B137" s="61" t="s">
        <v>224</v>
      </c>
      <c r="C137" s="61" t="s">
        <v>185</v>
      </c>
      <c r="D137" s="61" t="s">
        <v>121</v>
      </c>
      <c r="E137" s="61" t="s">
        <v>186</v>
      </c>
      <c r="F137" s="61" t="s">
        <v>93</v>
      </c>
      <c r="G137" s="62">
        <v>0</v>
      </c>
      <c r="H137" s="61">
        <v>0</v>
      </c>
      <c r="I137" s="61">
        <v>0</v>
      </c>
      <c r="J137" s="61" t="e">
        <v>#N/A</v>
      </c>
      <c r="K137" s="70">
        <v>0</v>
      </c>
      <c r="L137" s="70">
        <v>0</v>
      </c>
      <c r="M137" s="70">
        <v>0</v>
      </c>
      <c r="N137" s="70">
        <v>0</v>
      </c>
      <c r="O137" s="70">
        <v>0</v>
      </c>
      <c r="P137" s="70">
        <v>0</v>
      </c>
      <c r="Q137" s="70">
        <v>0</v>
      </c>
      <c r="R137" s="70">
        <v>0</v>
      </c>
      <c r="S137" s="70">
        <v>0</v>
      </c>
      <c r="T137" s="70">
        <v>0</v>
      </c>
      <c r="U137" s="70">
        <v>0</v>
      </c>
      <c r="V137" s="70">
        <v>0</v>
      </c>
      <c r="W137" s="70">
        <v>0</v>
      </c>
      <c r="X137" s="70">
        <v>0</v>
      </c>
      <c r="Y137" s="70">
        <v>0</v>
      </c>
      <c r="Z137" s="61">
        <v>0</v>
      </c>
      <c r="AA137" s="68">
        <v>0</v>
      </c>
      <c r="AB137" s="69">
        <v>0</v>
      </c>
    </row>
    <row r="138" spans="2:28" x14ac:dyDescent="0.3">
      <c r="B138" s="61" t="s">
        <v>224</v>
      </c>
      <c r="C138" s="61" t="s">
        <v>185</v>
      </c>
      <c r="D138" s="61" t="s">
        <v>121</v>
      </c>
      <c r="E138" s="61" t="s">
        <v>186</v>
      </c>
      <c r="F138" s="61" t="s">
        <v>94</v>
      </c>
      <c r="G138" s="62">
        <v>0</v>
      </c>
      <c r="H138" s="61">
        <v>0</v>
      </c>
      <c r="I138" s="61">
        <v>0</v>
      </c>
      <c r="J138" s="61" t="e">
        <v>#N/A</v>
      </c>
      <c r="K138" s="70">
        <v>0</v>
      </c>
      <c r="L138" s="70">
        <v>0</v>
      </c>
      <c r="M138" s="70">
        <v>0</v>
      </c>
      <c r="N138" s="70">
        <v>0</v>
      </c>
      <c r="O138" s="70">
        <v>0</v>
      </c>
      <c r="P138" s="70">
        <v>0</v>
      </c>
      <c r="Q138" s="70">
        <v>0</v>
      </c>
      <c r="R138" s="70">
        <v>0</v>
      </c>
      <c r="S138" s="70">
        <v>0</v>
      </c>
      <c r="T138" s="70">
        <v>0</v>
      </c>
      <c r="U138" s="70">
        <v>0</v>
      </c>
      <c r="V138" s="70">
        <v>0</v>
      </c>
      <c r="W138" s="70">
        <v>0</v>
      </c>
      <c r="X138" s="70">
        <v>0</v>
      </c>
      <c r="Y138" s="70">
        <v>0</v>
      </c>
      <c r="Z138" s="61">
        <v>0</v>
      </c>
      <c r="AA138" s="68">
        <v>0</v>
      </c>
      <c r="AB138" s="69">
        <v>0</v>
      </c>
    </row>
    <row r="139" spans="2:28" x14ac:dyDescent="0.3">
      <c r="B139" s="61" t="s">
        <v>224</v>
      </c>
      <c r="C139" s="61" t="s">
        <v>185</v>
      </c>
      <c r="D139" s="61" t="s">
        <v>121</v>
      </c>
      <c r="E139" s="61" t="s">
        <v>189</v>
      </c>
      <c r="F139" s="61" t="s">
        <v>93</v>
      </c>
      <c r="G139" s="62">
        <v>0</v>
      </c>
      <c r="H139" s="61">
        <v>0</v>
      </c>
      <c r="I139" s="61">
        <v>0</v>
      </c>
      <c r="J139" s="61" t="e">
        <v>#N/A</v>
      </c>
      <c r="K139" s="70">
        <v>0</v>
      </c>
      <c r="L139" s="70">
        <v>0</v>
      </c>
      <c r="M139" s="70">
        <v>0</v>
      </c>
      <c r="N139" s="70">
        <v>0</v>
      </c>
      <c r="O139" s="70">
        <v>0</v>
      </c>
      <c r="P139" s="70">
        <v>0</v>
      </c>
      <c r="Q139" s="70">
        <v>0</v>
      </c>
      <c r="R139" s="70">
        <v>0</v>
      </c>
      <c r="S139" s="70">
        <v>0</v>
      </c>
      <c r="T139" s="70">
        <v>0</v>
      </c>
      <c r="U139" s="70">
        <v>0</v>
      </c>
      <c r="V139" s="70">
        <v>0</v>
      </c>
      <c r="W139" s="70">
        <v>0</v>
      </c>
      <c r="X139" s="70">
        <v>0</v>
      </c>
      <c r="Y139" s="70">
        <v>0</v>
      </c>
      <c r="Z139" s="61">
        <v>0</v>
      </c>
      <c r="AA139" s="68">
        <v>0</v>
      </c>
      <c r="AB139" s="69">
        <v>0</v>
      </c>
    </row>
    <row r="140" spans="2:28" x14ac:dyDescent="0.3">
      <c r="B140" s="61" t="s">
        <v>224</v>
      </c>
      <c r="C140" s="61" t="s">
        <v>185</v>
      </c>
      <c r="D140" s="61" t="s">
        <v>121</v>
      </c>
      <c r="E140" s="61" t="s">
        <v>189</v>
      </c>
      <c r="F140" s="61" t="s">
        <v>94</v>
      </c>
      <c r="G140" s="62">
        <v>0</v>
      </c>
      <c r="H140" s="61">
        <v>0</v>
      </c>
      <c r="I140" s="61">
        <v>0</v>
      </c>
      <c r="J140" s="61" t="e">
        <v>#N/A</v>
      </c>
      <c r="K140" s="70">
        <v>0</v>
      </c>
      <c r="L140" s="70">
        <v>0</v>
      </c>
      <c r="M140" s="70">
        <v>0</v>
      </c>
      <c r="N140" s="70">
        <v>0</v>
      </c>
      <c r="O140" s="70">
        <v>0</v>
      </c>
      <c r="P140" s="70">
        <v>0</v>
      </c>
      <c r="Q140" s="70">
        <v>0</v>
      </c>
      <c r="R140" s="70">
        <v>0</v>
      </c>
      <c r="S140" s="70">
        <v>0</v>
      </c>
      <c r="T140" s="70">
        <v>0</v>
      </c>
      <c r="U140" s="70">
        <v>0</v>
      </c>
      <c r="V140" s="70">
        <v>0</v>
      </c>
      <c r="W140" s="70">
        <v>0</v>
      </c>
      <c r="X140" s="70">
        <v>0</v>
      </c>
      <c r="Y140" s="70">
        <v>0</v>
      </c>
      <c r="Z140" s="61">
        <v>0</v>
      </c>
      <c r="AA140" s="68">
        <v>0</v>
      </c>
      <c r="AB140" s="69">
        <v>0</v>
      </c>
    </row>
    <row r="141" spans="2:28" x14ac:dyDescent="0.3">
      <c r="B141" s="61" t="s">
        <v>224</v>
      </c>
      <c r="C141" s="61" t="s">
        <v>185</v>
      </c>
      <c r="D141" s="61" t="s">
        <v>121</v>
      </c>
      <c r="E141" s="61" t="s">
        <v>190</v>
      </c>
      <c r="F141" s="61" t="s">
        <v>93</v>
      </c>
      <c r="G141" s="62">
        <v>0</v>
      </c>
      <c r="H141" s="61">
        <v>0</v>
      </c>
      <c r="I141" s="61">
        <v>0</v>
      </c>
      <c r="J141" s="61" t="e">
        <v>#N/A</v>
      </c>
      <c r="K141" s="70">
        <v>0</v>
      </c>
      <c r="L141" s="70">
        <v>0</v>
      </c>
      <c r="M141" s="70">
        <v>0</v>
      </c>
      <c r="N141" s="70">
        <v>0</v>
      </c>
      <c r="O141" s="70">
        <v>0</v>
      </c>
      <c r="P141" s="70">
        <v>0</v>
      </c>
      <c r="Q141" s="70">
        <v>0</v>
      </c>
      <c r="R141" s="70">
        <v>0</v>
      </c>
      <c r="S141" s="70">
        <v>0</v>
      </c>
      <c r="T141" s="70">
        <v>0</v>
      </c>
      <c r="U141" s="70">
        <v>0</v>
      </c>
      <c r="V141" s="70">
        <v>0</v>
      </c>
      <c r="W141" s="70">
        <v>0</v>
      </c>
      <c r="X141" s="70">
        <v>0</v>
      </c>
      <c r="Y141" s="70">
        <v>0</v>
      </c>
      <c r="Z141" s="61">
        <v>0</v>
      </c>
      <c r="AA141" s="68">
        <v>0</v>
      </c>
      <c r="AB141" s="69">
        <v>0</v>
      </c>
    </row>
    <row r="142" spans="2:28" x14ac:dyDescent="0.3">
      <c r="B142" s="61" t="s">
        <v>224</v>
      </c>
      <c r="C142" s="61" t="s">
        <v>185</v>
      </c>
      <c r="D142" s="61" t="s">
        <v>121</v>
      </c>
      <c r="E142" s="61" t="s">
        <v>190</v>
      </c>
      <c r="F142" s="61" t="s">
        <v>94</v>
      </c>
      <c r="G142" s="62">
        <v>0</v>
      </c>
      <c r="H142" s="61">
        <v>0</v>
      </c>
      <c r="I142" s="61">
        <v>0</v>
      </c>
      <c r="J142" s="61" t="e">
        <v>#N/A</v>
      </c>
      <c r="K142" s="70">
        <v>0</v>
      </c>
      <c r="L142" s="70">
        <v>0</v>
      </c>
      <c r="M142" s="70">
        <v>0</v>
      </c>
      <c r="N142" s="70">
        <v>0</v>
      </c>
      <c r="O142" s="70">
        <v>0</v>
      </c>
      <c r="P142" s="70">
        <v>0</v>
      </c>
      <c r="Q142" s="70">
        <v>0</v>
      </c>
      <c r="R142" s="70">
        <v>0</v>
      </c>
      <c r="S142" s="70">
        <v>0</v>
      </c>
      <c r="T142" s="70">
        <v>0</v>
      </c>
      <c r="U142" s="70">
        <v>0</v>
      </c>
      <c r="V142" s="70">
        <v>0</v>
      </c>
      <c r="W142" s="70">
        <v>0</v>
      </c>
      <c r="X142" s="70">
        <v>0</v>
      </c>
      <c r="Y142" s="70">
        <v>0</v>
      </c>
      <c r="Z142" s="61">
        <v>0</v>
      </c>
      <c r="AA142" s="68">
        <v>0</v>
      </c>
      <c r="AB142" s="69">
        <v>0</v>
      </c>
    </row>
    <row r="143" spans="2:28" x14ac:dyDescent="0.3">
      <c r="B143" s="61" t="s">
        <v>224</v>
      </c>
      <c r="C143" s="61" t="s">
        <v>185</v>
      </c>
      <c r="D143" s="61" t="s">
        <v>121</v>
      </c>
      <c r="E143" s="61" t="s">
        <v>191</v>
      </c>
      <c r="F143" s="61" t="s">
        <v>93</v>
      </c>
      <c r="G143" s="62">
        <v>0.5</v>
      </c>
      <c r="H143" s="61">
        <v>2</v>
      </c>
      <c r="I143" s="61" t="s">
        <v>214</v>
      </c>
      <c r="J143" s="61" t="s">
        <v>215</v>
      </c>
      <c r="K143" s="67">
        <v>1.78E-2</v>
      </c>
      <c r="L143" s="67">
        <v>1.78E-2</v>
      </c>
      <c r="M143" s="67">
        <v>1.78E-2</v>
      </c>
      <c r="N143" s="67">
        <v>1.78E-2</v>
      </c>
      <c r="O143" s="67">
        <v>1.78E-2</v>
      </c>
      <c r="P143" s="67">
        <v>1.78E-2</v>
      </c>
      <c r="Q143" s="67">
        <v>1.78E-2</v>
      </c>
      <c r="R143" s="67">
        <v>1.78E-2</v>
      </c>
      <c r="S143" s="67">
        <v>1.78E-2</v>
      </c>
      <c r="T143" s="67">
        <v>1.78E-2</v>
      </c>
      <c r="U143" s="67">
        <v>1.78E-2</v>
      </c>
      <c r="V143" s="67">
        <v>1.78E-2</v>
      </c>
      <c r="W143" s="67">
        <v>1.78E-2</v>
      </c>
      <c r="X143" s="67">
        <v>1.78E-2</v>
      </c>
      <c r="Y143" s="67">
        <v>1.78E-2</v>
      </c>
      <c r="Z143" s="61">
        <v>0</v>
      </c>
      <c r="AA143" s="68">
        <v>0.2</v>
      </c>
      <c r="AB143" s="69">
        <v>0</v>
      </c>
    </row>
    <row r="144" spans="2:28" x14ac:dyDescent="0.3">
      <c r="B144" s="61" t="s">
        <v>224</v>
      </c>
      <c r="C144" s="61" t="s">
        <v>185</v>
      </c>
      <c r="D144" s="61" t="s">
        <v>121</v>
      </c>
      <c r="E144" s="61" t="s">
        <v>191</v>
      </c>
      <c r="F144" s="61" t="s">
        <v>94</v>
      </c>
      <c r="G144" s="62">
        <v>0</v>
      </c>
      <c r="H144" s="61">
        <v>0</v>
      </c>
      <c r="I144" s="61">
        <v>0</v>
      </c>
      <c r="J144" s="61" t="e">
        <v>#N/A</v>
      </c>
      <c r="K144" s="70">
        <v>0</v>
      </c>
      <c r="L144" s="70">
        <v>0</v>
      </c>
      <c r="M144" s="70">
        <v>0</v>
      </c>
      <c r="N144" s="70">
        <v>0</v>
      </c>
      <c r="O144" s="70">
        <v>0</v>
      </c>
      <c r="P144" s="70">
        <v>0</v>
      </c>
      <c r="Q144" s="70">
        <v>0</v>
      </c>
      <c r="R144" s="70">
        <v>0</v>
      </c>
      <c r="S144" s="70">
        <v>0</v>
      </c>
      <c r="T144" s="70">
        <v>0</v>
      </c>
      <c r="U144" s="70">
        <v>0</v>
      </c>
      <c r="V144" s="70">
        <v>0</v>
      </c>
      <c r="W144" s="70">
        <v>0</v>
      </c>
      <c r="X144" s="70">
        <v>0</v>
      </c>
      <c r="Y144" s="70">
        <v>0</v>
      </c>
      <c r="Z144" s="61">
        <v>0</v>
      </c>
      <c r="AA144" s="68">
        <v>0</v>
      </c>
      <c r="AB144" s="69">
        <v>0</v>
      </c>
    </row>
    <row r="145" spans="2:28" x14ac:dyDescent="0.3">
      <c r="B145" s="61" t="s">
        <v>224</v>
      </c>
      <c r="C145" s="61" t="s">
        <v>185</v>
      </c>
      <c r="D145" s="61" t="s">
        <v>121</v>
      </c>
      <c r="E145" s="61" t="s">
        <v>192</v>
      </c>
      <c r="F145" s="61" t="s">
        <v>93</v>
      </c>
      <c r="G145" s="62">
        <v>0</v>
      </c>
      <c r="H145" s="61">
        <v>0</v>
      </c>
      <c r="I145" s="61">
        <v>0</v>
      </c>
      <c r="J145" s="61" t="e">
        <v>#N/A</v>
      </c>
      <c r="K145" s="70">
        <v>0</v>
      </c>
      <c r="L145" s="70">
        <v>0</v>
      </c>
      <c r="M145" s="70">
        <v>0</v>
      </c>
      <c r="N145" s="70">
        <v>0</v>
      </c>
      <c r="O145" s="70">
        <v>0</v>
      </c>
      <c r="P145" s="70">
        <v>0</v>
      </c>
      <c r="Q145" s="70">
        <v>0</v>
      </c>
      <c r="R145" s="70">
        <v>0</v>
      </c>
      <c r="S145" s="70">
        <v>0</v>
      </c>
      <c r="T145" s="70">
        <v>0</v>
      </c>
      <c r="U145" s="70">
        <v>0</v>
      </c>
      <c r="V145" s="70">
        <v>0</v>
      </c>
      <c r="W145" s="70">
        <v>0</v>
      </c>
      <c r="X145" s="70">
        <v>0</v>
      </c>
      <c r="Y145" s="70">
        <v>0</v>
      </c>
      <c r="Z145" s="61">
        <v>0</v>
      </c>
      <c r="AA145" s="68">
        <v>0</v>
      </c>
      <c r="AB145" s="69">
        <v>0</v>
      </c>
    </row>
    <row r="146" spans="2:28" x14ac:dyDescent="0.3">
      <c r="B146" s="61" t="s">
        <v>224</v>
      </c>
      <c r="C146" s="61" t="s">
        <v>185</v>
      </c>
      <c r="D146" s="61" t="s">
        <v>121</v>
      </c>
      <c r="E146" s="61" t="s">
        <v>192</v>
      </c>
      <c r="F146" s="61" t="s">
        <v>94</v>
      </c>
      <c r="G146" s="62">
        <v>0</v>
      </c>
      <c r="H146" s="61">
        <v>0</v>
      </c>
      <c r="I146" s="61">
        <v>0</v>
      </c>
      <c r="J146" s="61" t="e">
        <v>#N/A</v>
      </c>
      <c r="K146" s="70">
        <v>0</v>
      </c>
      <c r="L146" s="70">
        <v>0</v>
      </c>
      <c r="M146" s="70">
        <v>0</v>
      </c>
      <c r="N146" s="70">
        <v>0</v>
      </c>
      <c r="O146" s="70">
        <v>0</v>
      </c>
      <c r="P146" s="70">
        <v>0</v>
      </c>
      <c r="Q146" s="70">
        <v>0</v>
      </c>
      <c r="R146" s="70">
        <v>0</v>
      </c>
      <c r="S146" s="70">
        <v>0</v>
      </c>
      <c r="T146" s="70">
        <v>0</v>
      </c>
      <c r="U146" s="70">
        <v>0</v>
      </c>
      <c r="V146" s="70">
        <v>0</v>
      </c>
      <c r="W146" s="70">
        <v>0</v>
      </c>
      <c r="X146" s="70">
        <v>0</v>
      </c>
      <c r="Y146" s="70">
        <v>0</v>
      </c>
      <c r="Z146" s="61">
        <v>0</v>
      </c>
      <c r="AA146" s="68">
        <v>0</v>
      </c>
      <c r="AB146" s="69">
        <v>0</v>
      </c>
    </row>
    <row r="147" spans="2:28" x14ac:dyDescent="0.3">
      <c r="B147" s="61" t="s">
        <v>224</v>
      </c>
      <c r="C147" s="61" t="s">
        <v>185</v>
      </c>
      <c r="D147" s="61" t="s">
        <v>121</v>
      </c>
      <c r="E147" s="61" t="s">
        <v>193</v>
      </c>
      <c r="F147" s="61" t="s">
        <v>93</v>
      </c>
      <c r="G147" s="62">
        <v>1</v>
      </c>
      <c r="H147" s="61">
        <v>2</v>
      </c>
      <c r="I147" s="61" t="s">
        <v>214</v>
      </c>
      <c r="J147" s="61" t="s">
        <v>215</v>
      </c>
      <c r="K147" s="67">
        <v>0</v>
      </c>
      <c r="L147" s="67">
        <v>0</v>
      </c>
      <c r="M147" s="67">
        <v>0</v>
      </c>
      <c r="N147" s="67">
        <v>0</v>
      </c>
      <c r="O147" s="67">
        <v>0</v>
      </c>
      <c r="P147" s="67">
        <v>0</v>
      </c>
      <c r="Q147" s="67">
        <v>0</v>
      </c>
      <c r="R147" s="67">
        <v>0</v>
      </c>
      <c r="S147" s="67">
        <v>0</v>
      </c>
      <c r="T147" s="67">
        <v>0</v>
      </c>
      <c r="U147" s="67">
        <v>0</v>
      </c>
      <c r="V147" s="67">
        <v>0</v>
      </c>
      <c r="W147" s="67">
        <v>0</v>
      </c>
      <c r="X147" s="67">
        <v>0</v>
      </c>
      <c r="Y147" s="67">
        <v>0</v>
      </c>
      <c r="Z147" s="61">
        <v>0</v>
      </c>
      <c r="AA147" s="68">
        <v>0</v>
      </c>
      <c r="AB147" s="69">
        <v>0</v>
      </c>
    </row>
    <row r="148" spans="2:28" x14ac:dyDescent="0.3">
      <c r="B148" s="61" t="s">
        <v>224</v>
      </c>
      <c r="C148" s="61" t="s">
        <v>185</v>
      </c>
      <c r="D148" s="61" t="s">
        <v>121</v>
      </c>
      <c r="E148" s="61" t="s">
        <v>193</v>
      </c>
      <c r="F148" s="61" t="s">
        <v>94</v>
      </c>
      <c r="G148" s="62">
        <v>1</v>
      </c>
      <c r="H148" s="61">
        <v>2</v>
      </c>
      <c r="I148" s="61" t="s">
        <v>218</v>
      </c>
      <c r="J148" s="61" t="s">
        <v>215</v>
      </c>
      <c r="K148" s="67">
        <v>0</v>
      </c>
      <c r="L148" s="67">
        <v>0</v>
      </c>
      <c r="M148" s="67">
        <v>0</v>
      </c>
      <c r="N148" s="67">
        <v>0</v>
      </c>
      <c r="O148" s="67">
        <v>0</v>
      </c>
      <c r="P148" s="67">
        <v>0</v>
      </c>
      <c r="Q148" s="67">
        <v>0</v>
      </c>
      <c r="R148" s="67">
        <v>0</v>
      </c>
      <c r="S148" s="67">
        <v>0</v>
      </c>
      <c r="T148" s="67">
        <v>0</v>
      </c>
      <c r="U148" s="67">
        <v>0</v>
      </c>
      <c r="V148" s="67">
        <v>0</v>
      </c>
      <c r="W148" s="67">
        <v>0</v>
      </c>
      <c r="X148" s="67">
        <v>0</v>
      </c>
      <c r="Y148" s="67">
        <v>0</v>
      </c>
      <c r="Z148" s="61">
        <v>0</v>
      </c>
      <c r="AA148" s="68">
        <v>0</v>
      </c>
      <c r="AB148" s="69">
        <v>0</v>
      </c>
    </row>
    <row r="149" spans="2:28" x14ac:dyDescent="0.3">
      <c r="B149" s="61" t="s">
        <v>224</v>
      </c>
      <c r="C149" s="61" t="s">
        <v>185</v>
      </c>
      <c r="D149" s="61" t="s">
        <v>121</v>
      </c>
      <c r="E149" s="61" t="s">
        <v>194</v>
      </c>
      <c r="F149" s="61" t="s">
        <v>93</v>
      </c>
      <c r="G149" s="62">
        <v>0.25</v>
      </c>
      <c r="H149" s="61">
        <v>2</v>
      </c>
      <c r="I149" s="61" t="s">
        <v>214</v>
      </c>
      <c r="J149" s="61" t="s">
        <v>215</v>
      </c>
      <c r="K149" s="67">
        <v>2.1999999999999999E-2</v>
      </c>
      <c r="L149" s="67">
        <v>2.1999999999999999E-2</v>
      </c>
      <c r="M149" s="67">
        <v>2.1999999999999999E-2</v>
      </c>
      <c r="N149" s="67">
        <v>2.1999999999999999E-2</v>
      </c>
      <c r="O149" s="67">
        <v>2.1999999999999999E-2</v>
      </c>
      <c r="P149" s="67">
        <v>2.1999999999999999E-2</v>
      </c>
      <c r="Q149" s="67">
        <v>2.1999999999999999E-2</v>
      </c>
      <c r="R149" s="67">
        <v>2.1999999999999999E-2</v>
      </c>
      <c r="S149" s="67">
        <v>2.1999999999999999E-2</v>
      </c>
      <c r="T149" s="67">
        <v>2.1999999999999999E-2</v>
      </c>
      <c r="U149" s="67">
        <v>2.1999999999999999E-2</v>
      </c>
      <c r="V149" s="67">
        <v>2.1999999999999999E-2</v>
      </c>
      <c r="W149" s="67">
        <v>2.1999999999999999E-2</v>
      </c>
      <c r="X149" s="67">
        <v>2.1999999999999999E-2</v>
      </c>
      <c r="Y149" s="67">
        <v>2.1999999999999999E-2</v>
      </c>
      <c r="Z149" s="61">
        <v>0</v>
      </c>
      <c r="AA149" s="68">
        <v>0.2</v>
      </c>
      <c r="AB149" s="69">
        <v>0</v>
      </c>
    </row>
    <row r="150" spans="2:28" x14ac:dyDescent="0.3">
      <c r="B150" s="61" t="s">
        <v>224</v>
      </c>
      <c r="C150" s="61" t="s">
        <v>185</v>
      </c>
      <c r="D150" s="61" t="s">
        <v>121</v>
      </c>
      <c r="E150" s="61" t="s">
        <v>194</v>
      </c>
      <c r="F150" s="61" t="s">
        <v>94</v>
      </c>
      <c r="G150" s="62">
        <v>0</v>
      </c>
      <c r="H150" s="61">
        <v>0</v>
      </c>
      <c r="I150" s="61">
        <v>0</v>
      </c>
      <c r="J150" s="61" t="e">
        <v>#N/A</v>
      </c>
      <c r="K150" s="70">
        <v>0</v>
      </c>
      <c r="L150" s="70">
        <v>0</v>
      </c>
      <c r="M150" s="70">
        <v>0</v>
      </c>
      <c r="N150" s="70">
        <v>0</v>
      </c>
      <c r="O150" s="70">
        <v>0</v>
      </c>
      <c r="P150" s="70">
        <v>0</v>
      </c>
      <c r="Q150" s="70">
        <v>0</v>
      </c>
      <c r="R150" s="70">
        <v>0</v>
      </c>
      <c r="S150" s="70">
        <v>0</v>
      </c>
      <c r="T150" s="70">
        <v>0</v>
      </c>
      <c r="U150" s="70">
        <v>0</v>
      </c>
      <c r="V150" s="70">
        <v>0</v>
      </c>
      <c r="W150" s="70">
        <v>0</v>
      </c>
      <c r="X150" s="70">
        <v>0</v>
      </c>
      <c r="Y150" s="70">
        <v>0</v>
      </c>
      <c r="Z150" s="61">
        <v>0</v>
      </c>
      <c r="AA150" s="68">
        <v>0</v>
      </c>
      <c r="AB150" s="69">
        <v>0</v>
      </c>
    </row>
    <row r="151" spans="2:28" x14ac:dyDescent="0.3">
      <c r="B151" s="61" t="s">
        <v>224</v>
      </c>
      <c r="C151" s="61" t="s">
        <v>185</v>
      </c>
      <c r="D151" s="61" t="s">
        <v>121</v>
      </c>
      <c r="E151" s="61" t="s">
        <v>195</v>
      </c>
      <c r="F151" s="61" t="s">
        <v>93</v>
      </c>
      <c r="G151" s="62">
        <v>0</v>
      </c>
      <c r="H151" s="61">
        <v>0</v>
      </c>
      <c r="I151" s="61">
        <v>0</v>
      </c>
      <c r="J151" s="61" t="e">
        <v>#N/A</v>
      </c>
      <c r="K151" s="70">
        <v>0</v>
      </c>
      <c r="L151" s="70">
        <v>0</v>
      </c>
      <c r="M151" s="70">
        <v>0</v>
      </c>
      <c r="N151" s="70">
        <v>0</v>
      </c>
      <c r="O151" s="70">
        <v>0</v>
      </c>
      <c r="P151" s="70">
        <v>0</v>
      </c>
      <c r="Q151" s="70">
        <v>0</v>
      </c>
      <c r="R151" s="70">
        <v>0</v>
      </c>
      <c r="S151" s="70">
        <v>0</v>
      </c>
      <c r="T151" s="70">
        <v>0</v>
      </c>
      <c r="U151" s="70">
        <v>0</v>
      </c>
      <c r="V151" s="70">
        <v>0</v>
      </c>
      <c r="W151" s="70">
        <v>0</v>
      </c>
      <c r="X151" s="70">
        <v>0</v>
      </c>
      <c r="Y151" s="70">
        <v>0</v>
      </c>
      <c r="Z151" s="61">
        <v>0</v>
      </c>
      <c r="AA151" s="68">
        <v>0</v>
      </c>
      <c r="AB151" s="69">
        <v>0</v>
      </c>
    </row>
    <row r="152" spans="2:28" x14ac:dyDescent="0.3">
      <c r="B152" s="61" t="s">
        <v>224</v>
      </c>
      <c r="C152" s="61" t="s">
        <v>185</v>
      </c>
      <c r="D152" s="61" t="s">
        <v>121</v>
      </c>
      <c r="E152" s="61" t="s">
        <v>195</v>
      </c>
      <c r="F152" s="61" t="s">
        <v>94</v>
      </c>
      <c r="G152" s="62">
        <v>0</v>
      </c>
      <c r="H152" s="61">
        <v>0</v>
      </c>
      <c r="I152" s="61">
        <v>0</v>
      </c>
      <c r="J152" s="61" t="e">
        <v>#N/A</v>
      </c>
      <c r="K152" s="70">
        <v>0</v>
      </c>
      <c r="L152" s="70">
        <v>0</v>
      </c>
      <c r="M152" s="70">
        <v>0</v>
      </c>
      <c r="N152" s="70">
        <v>0</v>
      </c>
      <c r="O152" s="70">
        <v>0</v>
      </c>
      <c r="P152" s="70">
        <v>0</v>
      </c>
      <c r="Q152" s="70">
        <v>0</v>
      </c>
      <c r="R152" s="70">
        <v>0</v>
      </c>
      <c r="S152" s="70">
        <v>0</v>
      </c>
      <c r="T152" s="70">
        <v>0</v>
      </c>
      <c r="U152" s="70">
        <v>0</v>
      </c>
      <c r="V152" s="70">
        <v>0</v>
      </c>
      <c r="W152" s="70">
        <v>0</v>
      </c>
      <c r="X152" s="70">
        <v>0</v>
      </c>
      <c r="Y152" s="70">
        <v>0</v>
      </c>
      <c r="Z152" s="61">
        <v>0</v>
      </c>
      <c r="AA152" s="68">
        <v>0</v>
      </c>
      <c r="AB152" s="69">
        <v>0</v>
      </c>
    </row>
    <row r="153" spans="2:28" x14ac:dyDescent="0.3">
      <c r="B153" s="61" t="s">
        <v>224</v>
      </c>
      <c r="C153" s="61" t="s">
        <v>185</v>
      </c>
      <c r="D153" s="61" t="s">
        <v>121</v>
      </c>
      <c r="E153" s="61" t="s">
        <v>196</v>
      </c>
      <c r="F153" s="61" t="s">
        <v>93</v>
      </c>
      <c r="G153" s="62">
        <v>1</v>
      </c>
      <c r="H153" s="61">
        <v>2</v>
      </c>
      <c r="I153" s="61" t="s">
        <v>214</v>
      </c>
      <c r="J153" s="61" t="s">
        <v>215</v>
      </c>
      <c r="K153" s="67">
        <v>0</v>
      </c>
      <c r="L153" s="67">
        <v>0</v>
      </c>
      <c r="M153" s="67">
        <v>0</v>
      </c>
      <c r="N153" s="67">
        <v>0</v>
      </c>
      <c r="O153" s="67">
        <v>0</v>
      </c>
      <c r="P153" s="67">
        <v>0</v>
      </c>
      <c r="Q153" s="67">
        <v>0</v>
      </c>
      <c r="R153" s="67">
        <v>0</v>
      </c>
      <c r="S153" s="67">
        <v>0</v>
      </c>
      <c r="T153" s="67">
        <v>0</v>
      </c>
      <c r="U153" s="67">
        <v>0</v>
      </c>
      <c r="V153" s="67">
        <v>0</v>
      </c>
      <c r="W153" s="67">
        <v>0</v>
      </c>
      <c r="X153" s="67">
        <v>0</v>
      </c>
      <c r="Y153" s="67">
        <v>0</v>
      </c>
      <c r="Z153" s="61">
        <v>0</v>
      </c>
      <c r="AA153" s="68">
        <v>0</v>
      </c>
      <c r="AB153" s="69">
        <v>0</v>
      </c>
    </row>
    <row r="154" spans="2:28" x14ac:dyDescent="0.3">
      <c r="B154" s="61" t="s">
        <v>224</v>
      </c>
      <c r="C154" s="61" t="s">
        <v>185</v>
      </c>
      <c r="D154" s="61" t="s">
        <v>121</v>
      </c>
      <c r="E154" s="61" t="s">
        <v>196</v>
      </c>
      <c r="F154" s="61" t="s">
        <v>94</v>
      </c>
      <c r="G154" s="62">
        <v>1</v>
      </c>
      <c r="H154" s="61">
        <v>2</v>
      </c>
      <c r="I154" s="61" t="s">
        <v>218</v>
      </c>
      <c r="J154" s="61" t="s">
        <v>215</v>
      </c>
      <c r="K154" s="67">
        <v>8.9999999999999993E-3</v>
      </c>
      <c r="L154" s="67">
        <v>8.9999999999999993E-3</v>
      </c>
      <c r="M154" s="67">
        <v>8.9999999999999993E-3</v>
      </c>
      <c r="N154" s="67">
        <v>8.9999999999999993E-3</v>
      </c>
      <c r="O154" s="67">
        <v>8.9999999999999993E-3</v>
      </c>
      <c r="P154" s="67">
        <v>8.9999999999999993E-3</v>
      </c>
      <c r="Q154" s="67">
        <v>8.9999999999999993E-3</v>
      </c>
      <c r="R154" s="67">
        <v>8.9999999999999993E-3</v>
      </c>
      <c r="S154" s="67">
        <v>8.9999999999999993E-3</v>
      </c>
      <c r="T154" s="67">
        <v>8.9999999999999993E-3</v>
      </c>
      <c r="U154" s="67">
        <v>8.9999999999999993E-3</v>
      </c>
      <c r="V154" s="67">
        <v>8.9999999999999993E-3</v>
      </c>
      <c r="W154" s="67">
        <v>8.9999999999999993E-3</v>
      </c>
      <c r="X154" s="67">
        <v>8.9999999999999993E-3</v>
      </c>
      <c r="Y154" s="67">
        <v>8.9999999999999993E-3</v>
      </c>
      <c r="Z154" s="61" t="s">
        <v>216</v>
      </c>
      <c r="AA154" s="68">
        <v>6.1104222681629086</v>
      </c>
      <c r="AB154" s="69">
        <v>0</v>
      </c>
    </row>
    <row r="155" spans="2:28" x14ac:dyDescent="0.3">
      <c r="B155" s="61" t="s">
        <v>224</v>
      </c>
      <c r="C155" s="61" t="s">
        <v>185</v>
      </c>
      <c r="D155" s="61" t="s">
        <v>121</v>
      </c>
      <c r="E155" s="61" t="s">
        <v>197</v>
      </c>
      <c r="F155" s="61" t="s">
        <v>93</v>
      </c>
      <c r="G155" s="62">
        <v>0.63</v>
      </c>
      <c r="H155" s="61">
        <v>2</v>
      </c>
      <c r="I155" s="61" t="s">
        <v>214</v>
      </c>
      <c r="J155" s="61" t="s">
        <v>215</v>
      </c>
      <c r="K155" s="67">
        <v>1.6E-2</v>
      </c>
      <c r="L155" s="67">
        <v>1.6E-2</v>
      </c>
      <c r="M155" s="67">
        <v>1.6E-2</v>
      </c>
      <c r="N155" s="67">
        <v>1.6E-2</v>
      </c>
      <c r="O155" s="67">
        <v>1.6E-2</v>
      </c>
      <c r="P155" s="67">
        <v>1.6E-2</v>
      </c>
      <c r="Q155" s="67">
        <v>1.6E-2</v>
      </c>
      <c r="R155" s="67">
        <v>1.6E-2</v>
      </c>
      <c r="S155" s="67">
        <v>1.6E-2</v>
      </c>
      <c r="T155" s="67">
        <v>1.6E-2</v>
      </c>
      <c r="U155" s="67">
        <v>1.6E-2</v>
      </c>
      <c r="V155" s="67">
        <v>1.6E-2</v>
      </c>
      <c r="W155" s="67">
        <v>1.6E-2</v>
      </c>
      <c r="X155" s="67">
        <v>1.6E-2</v>
      </c>
      <c r="Y155" s="67">
        <v>1.6E-2</v>
      </c>
      <c r="Z155" s="61" t="s">
        <v>216</v>
      </c>
      <c r="AA155" s="68">
        <v>0.2</v>
      </c>
      <c r="AB155" s="69">
        <v>1.260997392571049E-4</v>
      </c>
    </row>
    <row r="156" spans="2:28" x14ac:dyDescent="0.3">
      <c r="B156" s="61" t="s">
        <v>224</v>
      </c>
      <c r="C156" s="61" t="s">
        <v>185</v>
      </c>
      <c r="D156" s="61" t="s">
        <v>121</v>
      </c>
      <c r="E156" s="61" t="s">
        <v>197</v>
      </c>
      <c r="F156" s="61" t="s">
        <v>94</v>
      </c>
      <c r="G156" s="62">
        <v>0.63</v>
      </c>
      <c r="H156" s="61">
        <v>2</v>
      </c>
      <c r="I156" s="61" t="s">
        <v>218</v>
      </c>
      <c r="J156" s="61" t="s">
        <v>215</v>
      </c>
      <c r="K156" s="67">
        <v>0</v>
      </c>
      <c r="L156" s="67">
        <v>0</v>
      </c>
      <c r="M156" s="67">
        <v>0</v>
      </c>
      <c r="N156" s="67">
        <v>0</v>
      </c>
      <c r="O156" s="67">
        <v>0</v>
      </c>
      <c r="P156" s="67">
        <v>0</v>
      </c>
      <c r="Q156" s="67">
        <v>0</v>
      </c>
      <c r="R156" s="67">
        <v>0</v>
      </c>
      <c r="S156" s="67">
        <v>0</v>
      </c>
      <c r="T156" s="67">
        <v>0</v>
      </c>
      <c r="U156" s="67">
        <v>0</v>
      </c>
      <c r="V156" s="67">
        <v>0</v>
      </c>
      <c r="W156" s="67">
        <v>0</v>
      </c>
      <c r="X156" s="67">
        <v>0</v>
      </c>
      <c r="Y156" s="67">
        <v>0</v>
      </c>
      <c r="Z156" s="61">
        <v>0</v>
      </c>
      <c r="AA156" s="68">
        <v>0</v>
      </c>
      <c r="AB156" s="69">
        <v>0</v>
      </c>
    </row>
    <row r="157" spans="2:28" x14ac:dyDescent="0.3">
      <c r="B157" s="61" t="s">
        <v>224</v>
      </c>
      <c r="C157" s="61" t="s">
        <v>185</v>
      </c>
      <c r="D157" s="61" t="s">
        <v>121</v>
      </c>
      <c r="E157" s="61" t="s">
        <v>198</v>
      </c>
      <c r="F157" s="61" t="s">
        <v>93</v>
      </c>
      <c r="G157" s="62">
        <v>0</v>
      </c>
      <c r="H157" s="61">
        <v>0</v>
      </c>
      <c r="I157" s="61">
        <v>0</v>
      </c>
      <c r="J157" s="61" t="e">
        <v>#N/A</v>
      </c>
      <c r="K157" s="70">
        <v>0</v>
      </c>
      <c r="L157" s="70">
        <v>0</v>
      </c>
      <c r="M157" s="70">
        <v>0</v>
      </c>
      <c r="N157" s="70">
        <v>0</v>
      </c>
      <c r="O157" s="70">
        <v>0</v>
      </c>
      <c r="P157" s="70">
        <v>0</v>
      </c>
      <c r="Q157" s="70">
        <v>0</v>
      </c>
      <c r="R157" s="70">
        <v>0</v>
      </c>
      <c r="S157" s="70">
        <v>0</v>
      </c>
      <c r="T157" s="70">
        <v>0</v>
      </c>
      <c r="U157" s="70">
        <v>0</v>
      </c>
      <c r="V157" s="70">
        <v>0</v>
      </c>
      <c r="W157" s="70">
        <v>0</v>
      </c>
      <c r="X157" s="70">
        <v>0</v>
      </c>
      <c r="Y157" s="70">
        <v>0</v>
      </c>
      <c r="Z157" s="61">
        <v>0</v>
      </c>
      <c r="AA157" s="68">
        <v>0</v>
      </c>
      <c r="AB157" s="69">
        <v>0</v>
      </c>
    </row>
    <row r="158" spans="2:28" x14ac:dyDescent="0.3">
      <c r="B158" s="61" t="s">
        <v>224</v>
      </c>
      <c r="C158" s="61" t="s">
        <v>185</v>
      </c>
      <c r="D158" s="61" t="s">
        <v>121</v>
      </c>
      <c r="E158" s="61" t="s">
        <v>198</v>
      </c>
      <c r="F158" s="61" t="s">
        <v>94</v>
      </c>
      <c r="G158" s="62">
        <v>0</v>
      </c>
      <c r="H158" s="61">
        <v>0</v>
      </c>
      <c r="I158" s="61">
        <v>0</v>
      </c>
      <c r="J158" s="61" t="e">
        <v>#N/A</v>
      </c>
      <c r="K158" s="70">
        <v>0</v>
      </c>
      <c r="L158" s="70">
        <v>0</v>
      </c>
      <c r="M158" s="70">
        <v>0</v>
      </c>
      <c r="N158" s="70">
        <v>0</v>
      </c>
      <c r="O158" s="70">
        <v>0</v>
      </c>
      <c r="P158" s="70">
        <v>0</v>
      </c>
      <c r="Q158" s="70">
        <v>0</v>
      </c>
      <c r="R158" s="70">
        <v>0</v>
      </c>
      <c r="S158" s="70">
        <v>0</v>
      </c>
      <c r="T158" s="70">
        <v>0</v>
      </c>
      <c r="U158" s="70">
        <v>0</v>
      </c>
      <c r="V158" s="70">
        <v>0</v>
      </c>
      <c r="W158" s="70">
        <v>0</v>
      </c>
      <c r="X158" s="70">
        <v>0</v>
      </c>
      <c r="Y158" s="70">
        <v>0</v>
      </c>
      <c r="Z158" s="61">
        <v>0</v>
      </c>
      <c r="AA158" s="68">
        <v>0</v>
      </c>
      <c r="AB158" s="69">
        <v>0</v>
      </c>
    </row>
    <row r="159" spans="2:28" x14ac:dyDescent="0.3">
      <c r="B159" s="61" t="s">
        <v>224</v>
      </c>
      <c r="C159" s="61" t="s">
        <v>185</v>
      </c>
      <c r="D159" s="61" t="s">
        <v>121</v>
      </c>
      <c r="E159" s="61" t="s">
        <v>199</v>
      </c>
      <c r="F159" s="61" t="s">
        <v>93</v>
      </c>
      <c r="G159" s="62">
        <v>0</v>
      </c>
      <c r="H159" s="61">
        <v>0</v>
      </c>
      <c r="I159" s="61">
        <v>0</v>
      </c>
      <c r="J159" s="61" t="e">
        <v>#N/A</v>
      </c>
      <c r="K159" s="70">
        <v>0</v>
      </c>
      <c r="L159" s="70">
        <v>0</v>
      </c>
      <c r="M159" s="70">
        <v>0</v>
      </c>
      <c r="N159" s="70">
        <v>0</v>
      </c>
      <c r="O159" s="70">
        <v>0</v>
      </c>
      <c r="P159" s="70">
        <v>0</v>
      </c>
      <c r="Q159" s="70">
        <v>0</v>
      </c>
      <c r="R159" s="70">
        <v>0</v>
      </c>
      <c r="S159" s="70">
        <v>0</v>
      </c>
      <c r="T159" s="70">
        <v>0</v>
      </c>
      <c r="U159" s="70">
        <v>0</v>
      </c>
      <c r="V159" s="70">
        <v>0</v>
      </c>
      <c r="W159" s="70">
        <v>0</v>
      </c>
      <c r="X159" s="70">
        <v>0</v>
      </c>
      <c r="Y159" s="70">
        <v>0</v>
      </c>
      <c r="Z159" s="61">
        <v>0</v>
      </c>
      <c r="AA159" s="68">
        <v>0</v>
      </c>
      <c r="AB159" s="69">
        <v>0</v>
      </c>
    </row>
    <row r="160" spans="2:28" x14ac:dyDescent="0.3">
      <c r="B160" s="61" t="s">
        <v>224</v>
      </c>
      <c r="C160" s="61" t="s">
        <v>185</v>
      </c>
      <c r="D160" s="61" t="s">
        <v>121</v>
      </c>
      <c r="E160" s="61" t="s">
        <v>199</v>
      </c>
      <c r="F160" s="61" t="s">
        <v>94</v>
      </c>
      <c r="G160" s="62">
        <v>0</v>
      </c>
      <c r="H160" s="61">
        <v>0</v>
      </c>
      <c r="I160" s="61">
        <v>0</v>
      </c>
      <c r="J160" s="61" t="e">
        <v>#N/A</v>
      </c>
      <c r="K160" s="70">
        <v>0</v>
      </c>
      <c r="L160" s="70">
        <v>0</v>
      </c>
      <c r="M160" s="70">
        <v>0</v>
      </c>
      <c r="N160" s="70">
        <v>0</v>
      </c>
      <c r="O160" s="70">
        <v>0</v>
      </c>
      <c r="P160" s="70">
        <v>0</v>
      </c>
      <c r="Q160" s="70">
        <v>0</v>
      </c>
      <c r="R160" s="70">
        <v>0</v>
      </c>
      <c r="S160" s="70">
        <v>0</v>
      </c>
      <c r="T160" s="70">
        <v>0</v>
      </c>
      <c r="U160" s="70">
        <v>0</v>
      </c>
      <c r="V160" s="70">
        <v>0</v>
      </c>
      <c r="W160" s="70">
        <v>0</v>
      </c>
      <c r="X160" s="70">
        <v>0</v>
      </c>
      <c r="Y160" s="70">
        <v>0</v>
      </c>
      <c r="Z160" s="61">
        <v>0</v>
      </c>
      <c r="AA160" s="68">
        <v>0</v>
      </c>
      <c r="AB160" s="69">
        <v>0</v>
      </c>
    </row>
    <row r="161" spans="2:28" x14ac:dyDescent="0.3">
      <c r="B161" s="61" t="s">
        <v>224</v>
      </c>
      <c r="C161" s="61" t="s">
        <v>185</v>
      </c>
      <c r="D161" s="61" t="s">
        <v>122</v>
      </c>
      <c r="E161" s="61" t="s">
        <v>186</v>
      </c>
      <c r="F161" s="61" t="s">
        <v>93</v>
      </c>
      <c r="G161" s="62">
        <v>0</v>
      </c>
      <c r="H161" s="61">
        <v>0</v>
      </c>
      <c r="I161" s="61">
        <v>0</v>
      </c>
      <c r="J161" s="61" t="e">
        <v>#N/A</v>
      </c>
      <c r="K161" s="70">
        <v>0</v>
      </c>
      <c r="L161" s="70">
        <v>0</v>
      </c>
      <c r="M161" s="70">
        <v>0</v>
      </c>
      <c r="N161" s="70">
        <v>0</v>
      </c>
      <c r="O161" s="70">
        <v>0</v>
      </c>
      <c r="P161" s="70">
        <v>0</v>
      </c>
      <c r="Q161" s="70">
        <v>0</v>
      </c>
      <c r="R161" s="70">
        <v>0</v>
      </c>
      <c r="S161" s="70">
        <v>0</v>
      </c>
      <c r="T161" s="70">
        <v>0</v>
      </c>
      <c r="U161" s="70">
        <v>0</v>
      </c>
      <c r="V161" s="70">
        <v>0</v>
      </c>
      <c r="W161" s="70">
        <v>0</v>
      </c>
      <c r="X161" s="70">
        <v>0</v>
      </c>
      <c r="Y161" s="70">
        <v>0</v>
      </c>
      <c r="Z161" s="61">
        <v>0</v>
      </c>
      <c r="AA161" s="68">
        <v>0</v>
      </c>
      <c r="AB161" s="69">
        <v>0</v>
      </c>
    </row>
    <row r="162" spans="2:28" x14ac:dyDescent="0.3">
      <c r="B162" s="61" t="s">
        <v>224</v>
      </c>
      <c r="C162" s="61" t="s">
        <v>185</v>
      </c>
      <c r="D162" s="61" t="s">
        <v>122</v>
      </c>
      <c r="E162" s="61" t="s">
        <v>189</v>
      </c>
      <c r="F162" s="61" t="s">
        <v>93</v>
      </c>
      <c r="G162" s="62">
        <v>0</v>
      </c>
      <c r="H162" s="61">
        <v>0</v>
      </c>
      <c r="I162" s="61">
        <v>0</v>
      </c>
      <c r="J162" s="61" t="e">
        <v>#N/A</v>
      </c>
      <c r="K162" s="70">
        <v>0</v>
      </c>
      <c r="L162" s="70">
        <v>0</v>
      </c>
      <c r="M162" s="70">
        <v>0</v>
      </c>
      <c r="N162" s="70">
        <v>0</v>
      </c>
      <c r="O162" s="70">
        <v>0</v>
      </c>
      <c r="P162" s="70">
        <v>0</v>
      </c>
      <c r="Q162" s="70">
        <v>0</v>
      </c>
      <c r="R162" s="70">
        <v>0</v>
      </c>
      <c r="S162" s="70">
        <v>0</v>
      </c>
      <c r="T162" s="70">
        <v>0</v>
      </c>
      <c r="U162" s="70">
        <v>0</v>
      </c>
      <c r="V162" s="70">
        <v>0</v>
      </c>
      <c r="W162" s="70">
        <v>0</v>
      </c>
      <c r="X162" s="70">
        <v>0</v>
      </c>
      <c r="Y162" s="70">
        <v>0</v>
      </c>
      <c r="Z162" s="61">
        <v>0</v>
      </c>
      <c r="AA162" s="68">
        <v>0</v>
      </c>
      <c r="AB162" s="69">
        <v>0</v>
      </c>
    </row>
    <row r="163" spans="2:28" x14ac:dyDescent="0.3">
      <c r="B163" s="61" t="s">
        <v>224</v>
      </c>
      <c r="C163" s="61" t="s">
        <v>185</v>
      </c>
      <c r="D163" s="61" t="s">
        <v>122</v>
      </c>
      <c r="E163" s="61" t="s">
        <v>190</v>
      </c>
      <c r="F163" s="61" t="s">
        <v>93</v>
      </c>
      <c r="G163" s="62">
        <v>0</v>
      </c>
      <c r="H163" s="61">
        <v>0</v>
      </c>
      <c r="I163" s="61">
        <v>0</v>
      </c>
      <c r="J163" s="61" t="e">
        <v>#N/A</v>
      </c>
      <c r="K163" s="70">
        <v>0</v>
      </c>
      <c r="L163" s="70">
        <v>0</v>
      </c>
      <c r="M163" s="70">
        <v>0</v>
      </c>
      <c r="N163" s="70">
        <v>0</v>
      </c>
      <c r="O163" s="70">
        <v>0</v>
      </c>
      <c r="P163" s="70">
        <v>0</v>
      </c>
      <c r="Q163" s="70">
        <v>0</v>
      </c>
      <c r="R163" s="70">
        <v>0</v>
      </c>
      <c r="S163" s="70">
        <v>0</v>
      </c>
      <c r="T163" s="70">
        <v>0</v>
      </c>
      <c r="U163" s="70">
        <v>0</v>
      </c>
      <c r="V163" s="70">
        <v>0</v>
      </c>
      <c r="W163" s="70">
        <v>0</v>
      </c>
      <c r="X163" s="70">
        <v>0</v>
      </c>
      <c r="Y163" s="70">
        <v>0</v>
      </c>
      <c r="Z163" s="61">
        <v>0</v>
      </c>
      <c r="AA163" s="68">
        <v>0</v>
      </c>
      <c r="AB163" s="69">
        <v>0</v>
      </c>
    </row>
    <row r="164" spans="2:28" x14ac:dyDescent="0.3">
      <c r="B164" s="61" t="s">
        <v>224</v>
      </c>
      <c r="C164" s="61" t="s">
        <v>185</v>
      </c>
      <c r="D164" s="61" t="s">
        <v>122</v>
      </c>
      <c r="E164" s="61" t="s">
        <v>191</v>
      </c>
      <c r="F164" s="61" t="s">
        <v>93</v>
      </c>
      <c r="G164" s="62">
        <v>0.5</v>
      </c>
      <c r="H164" s="61">
        <v>2</v>
      </c>
      <c r="I164" s="61" t="s">
        <v>214</v>
      </c>
      <c r="J164" s="61" t="s">
        <v>215</v>
      </c>
      <c r="K164" s="67">
        <v>1.78E-2</v>
      </c>
      <c r="L164" s="67">
        <v>1.78E-2</v>
      </c>
      <c r="M164" s="67">
        <v>1.78E-2</v>
      </c>
      <c r="N164" s="67">
        <v>1.78E-2</v>
      </c>
      <c r="O164" s="67">
        <v>1.78E-2</v>
      </c>
      <c r="P164" s="67">
        <v>1.78E-2</v>
      </c>
      <c r="Q164" s="67">
        <v>1.78E-2</v>
      </c>
      <c r="R164" s="67">
        <v>1.78E-2</v>
      </c>
      <c r="S164" s="67">
        <v>1.78E-2</v>
      </c>
      <c r="T164" s="67">
        <v>1.78E-2</v>
      </c>
      <c r="U164" s="67">
        <v>1.78E-2</v>
      </c>
      <c r="V164" s="67">
        <v>1.78E-2</v>
      </c>
      <c r="W164" s="67">
        <v>1.78E-2</v>
      </c>
      <c r="X164" s="67">
        <v>1.78E-2</v>
      </c>
      <c r="Y164" s="67">
        <v>1.78E-2</v>
      </c>
      <c r="Z164" s="61">
        <v>0</v>
      </c>
      <c r="AA164" s="68">
        <v>0.2</v>
      </c>
      <c r="AB164" s="69">
        <v>0</v>
      </c>
    </row>
    <row r="165" spans="2:28" x14ac:dyDescent="0.3">
      <c r="B165" s="61" t="s">
        <v>224</v>
      </c>
      <c r="C165" s="61" t="s">
        <v>185</v>
      </c>
      <c r="D165" s="61" t="s">
        <v>122</v>
      </c>
      <c r="E165" s="61" t="s">
        <v>192</v>
      </c>
      <c r="F165" s="61" t="s">
        <v>93</v>
      </c>
      <c r="G165" s="62">
        <v>0</v>
      </c>
      <c r="H165" s="61">
        <v>0</v>
      </c>
      <c r="I165" s="61">
        <v>0</v>
      </c>
      <c r="J165" s="61" t="e">
        <v>#N/A</v>
      </c>
      <c r="K165" s="70">
        <v>0</v>
      </c>
      <c r="L165" s="70">
        <v>0</v>
      </c>
      <c r="M165" s="70">
        <v>0</v>
      </c>
      <c r="N165" s="70">
        <v>0</v>
      </c>
      <c r="O165" s="70">
        <v>0</v>
      </c>
      <c r="P165" s="70">
        <v>0</v>
      </c>
      <c r="Q165" s="70">
        <v>0</v>
      </c>
      <c r="R165" s="70">
        <v>0</v>
      </c>
      <c r="S165" s="70">
        <v>0</v>
      </c>
      <c r="T165" s="70">
        <v>0</v>
      </c>
      <c r="U165" s="70">
        <v>0</v>
      </c>
      <c r="V165" s="70">
        <v>0</v>
      </c>
      <c r="W165" s="70">
        <v>0</v>
      </c>
      <c r="X165" s="70">
        <v>0</v>
      </c>
      <c r="Y165" s="70">
        <v>0</v>
      </c>
      <c r="Z165" s="61">
        <v>0</v>
      </c>
      <c r="AA165" s="68">
        <v>0</v>
      </c>
      <c r="AB165" s="69">
        <v>0</v>
      </c>
    </row>
    <row r="166" spans="2:28" x14ac:dyDescent="0.3">
      <c r="B166" s="61" t="s">
        <v>224</v>
      </c>
      <c r="C166" s="61" t="s">
        <v>185</v>
      </c>
      <c r="D166" s="61" t="s">
        <v>122</v>
      </c>
      <c r="E166" s="61" t="s">
        <v>193</v>
      </c>
      <c r="F166" s="61" t="s">
        <v>93</v>
      </c>
      <c r="G166" s="62">
        <v>1</v>
      </c>
      <c r="H166" s="61">
        <v>2</v>
      </c>
      <c r="I166" s="61" t="s">
        <v>214</v>
      </c>
      <c r="J166" s="61" t="s">
        <v>215</v>
      </c>
      <c r="K166" s="67">
        <v>0</v>
      </c>
      <c r="L166" s="67">
        <v>0</v>
      </c>
      <c r="M166" s="67">
        <v>0</v>
      </c>
      <c r="N166" s="67">
        <v>0</v>
      </c>
      <c r="O166" s="67">
        <v>0</v>
      </c>
      <c r="P166" s="67">
        <v>0</v>
      </c>
      <c r="Q166" s="67">
        <v>0</v>
      </c>
      <c r="R166" s="67">
        <v>0</v>
      </c>
      <c r="S166" s="67">
        <v>0</v>
      </c>
      <c r="T166" s="67">
        <v>0</v>
      </c>
      <c r="U166" s="67">
        <v>0</v>
      </c>
      <c r="V166" s="67">
        <v>0</v>
      </c>
      <c r="W166" s="67">
        <v>0</v>
      </c>
      <c r="X166" s="67">
        <v>0</v>
      </c>
      <c r="Y166" s="67">
        <v>0</v>
      </c>
      <c r="Z166" s="61">
        <v>0</v>
      </c>
      <c r="AA166" s="68">
        <v>0</v>
      </c>
      <c r="AB166" s="69">
        <v>0</v>
      </c>
    </row>
    <row r="167" spans="2:28" x14ac:dyDescent="0.3">
      <c r="B167" s="61" t="s">
        <v>224</v>
      </c>
      <c r="C167" s="61" t="s">
        <v>185</v>
      </c>
      <c r="D167" s="61" t="s">
        <v>122</v>
      </c>
      <c r="E167" s="61" t="s">
        <v>194</v>
      </c>
      <c r="F167" s="61" t="s">
        <v>93</v>
      </c>
      <c r="G167" s="62">
        <v>0.25</v>
      </c>
      <c r="H167" s="61">
        <v>2</v>
      </c>
      <c r="I167" s="61" t="s">
        <v>214</v>
      </c>
      <c r="J167" s="61" t="s">
        <v>215</v>
      </c>
      <c r="K167" s="67">
        <v>2.1999999999999999E-2</v>
      </c>
      <c r="L167" s="67">
        <v>2.1999999999999999E-2</v>
      </c>
      <c r="M167" s="67">
        <v>2.1999999999999999E-2</v>
      </c>
      <c r="N167" s="67">
        <v>2.1999999999999999E-2</v>
      </c>
      <c r="O167" s="67">
        <v>2.1999999999999999E-2</v>
      </c>
      <c r="P167" s="67">
        <v>2.1999999999999999E-2</v>
      </c>
      <c r="Q167" s="67">
        <v>2.1999999999999999E-2</v>
      </c>
      <c r="R167" s="67">
        <v>2.1999999999999999E-2</v>
      </c>
      <c r="S167" s="67">
        <v>2.1999999999999999E-2</v>
      </c>
      <c r="T167" s="67">
        <v>2.1999999999999999E-2</v>
      </c>
      <c r="U167" s="67">
        <v>2.1999999999999999E-2</v>
      </c>
      <c r="V167" s="67">
        <v>2.1999999999999999E-2</v>
      </c>
      <c r="W167" s="67">
        <v>2.1999999999999999E-2</v>
      </c>
      <c r="X167" s="67">
        <v>2.1999999999999999E-2</v>
      </c>
      <c r="Y167" s="67">
        <v>2.1999999999999999E-2</v>
      </c>
      <c r="Z167" s="61">
        <v>0</v>
      </c>
      <c r="AA167" s="68">
        <v>0.2</v>
      </c>
      <c r="AB167" s="69">
        <v>0</v>
      </c>
    </row>
    <row r="168" spans="2:28" x14ac:dyDescent="0.3">
      <c r="B168" s="61" t="s">
        <v>224</v>
      </c>
      <c r="C168" s="61" t="s">
        <v>185</v>
      </c>
      <c r="D168" s="61" t="s">
        <v>122</v>
      </c>
      <c r="E168" s="61" t="s">
        <v>195</v>
      </c>
      <c r="F168" s="61" t="s">
        <v>93</v>
      </c>
      <c r="G168" s="62">
        <v>0</v>
      </c>
      <c r="H168" s="61">
        <v>0</v>
      </c>
      <c r="I168" s="61">
        <v>0</v>
      </c>
      <c r="J168" s="61" t="e">
        <v>#N/A</v>
      </c>
      <c r="K168" s="70">
        <v>0</v>
      </c>
      <c r="L168" s="70">
        <v>0</v>
      </c>
      <c r="M168" s="70">
        <v>0</v>
      </c>
      <c r="N168" s="70">
        <v>0</v>
      </c>
      <c r="O168" s="70">
        <v>0</v>
      </c>
      <c r="P168" s="70">
        <v>0</v>
      </c>
      <c r="Q168" s="70">
        <v>0</v>
      </c>
      <c r="R168" s="70">
        <v>0</v>
      </c>
      <c r="S168" s="70">
        <v>0</v>
      </c>
      <c r="T168" s="70">
        <v>0</v>
      </c>
      <c r="U168" s="70">
        <v>0</v>
      </c>
      <c r="V168" s="70">
        <v>0</v>
      </c>
      <c r="W168" s="70">
        <v>0</v>
      </c>
      <c r="X168" s="70">
        <v>0</v>
      </c>
      <c r="Y168" s="70">
        <v>0</v>
      </c>
      <c r="Z168" s="61">
        <v>0</v>
      </c>
      <c r="AA168" s="68">
        <v>0</v>
      </c>
      <c r="AB168" s="69">
        <v>0</v>
      </c>
    </row>
    <row r="169" spans="2:28" x14ac:dyDescent="0.3">
      <c r="B169" s="61" t="s">
        <v>224</v>
      </c>
      <c r="C169" s="61" t="s">
        <v>185</v>
      </c>
      <c r="D169" s="61" t="s">
        <v>122</v>
      </c>
      <c r="E169" s="61" t="s">
        <v>196</v>
      </c>
      <c r="F169" s="61" t="s">
        <v>93</v>
      </c>
      <c r="G169" s="62">
        <v>1</v>
      </c>
      <c r="H169" s="61">
        <v>2</v>
      </c>
      <c r="I169" s="61" t="s">
        <v>214</v>
      </c>
      <c r="J169" s="61" t="s">
        <v>215</v>
      </c>
      <c r="K169" s="67">
        <v>0</v>
      </c>
      <c r="L169" s="67">
        <v>0</v>
      </c>
      <c r="M169" s="67">
        <v>0</v>
      </c>
      <c r="N169" s="67">
        <v>0</v>
      </c>
      <c r="O169" s="67">
        <v>0</v>
      </c>
      <c r="P169" s="67">
        <v>0</v>
      </c>
      <c r="Q169" s="67">
        <v>0</v>
      </c>
      <c r="R169" s="67">
        <v>0</v>
      </c>
      <c r="S169" s="67">
        <v>0</v>
      </c>
      <c r="T169" s="67">
        <v>0</v>
      </c>
      <c r="U169" s="67">
        <v>0</v>
      </c>
      <c r="V169" s="67">
        <v>0</v>
      </c>
      <c r="W169" s="67">
        <v>0</v>
      </c>
      <c r="X169" s="67">
        <v>0</v>
      </c>
      <c r="Y169" s="67">
        <v>0</v>
      </c>
      <c r="Z169" s="61">
        <v>0</v>
      </c>
      <c r="AA169" s="68">
        <v>0</v>
      </c>
      <c r="AB169" s="69">
        <v>0</v>
      </c>
    </row>
    <row r="170" spans="2:28" x14ac:dyDescent="0.3">
      <c r="B170" s="61" t="s">
        <v>224</v>
      </c>
      <c r="C170" s="61" t="s">
        <v>185</v>
      </c>
      <c r="D170" s="61" t="s">
        <v>122</v>
      </c>
      <c r="E170" s="61" t="s">
        <v>197</v>
      </c>
      <c r="F170" s="61" t="s">
        <v>93</v>
      </c>
      <c r="G170" s="62">
        <v>0.63</v>
      </c>
      <c r="H170" s="61">
        <v>2</v>
      </c>
      <c r="I170" s="61" t="s">
        <v>214</v>
      </c>
      <c r="J170" s="61" t="s">
        <v>215</v>
      </c>
      <c r="K170" s="67">
        <v>1.6E-2</v>
      </c>
      <c r="L170" s="67">
        <v>1.6E-2</v>
      </c>
      <c r="M170" s="67">
        <v>1.6E-2</v>
      </c>
      <c r="N170" s="67">
        <v>1.6E-2</v>
      </c>
      <c r="O170" s="67">
        <v>1.6E-2</v>
      </c>
      <c r="P170" s="67">
        <v>1.6E-2</v>
      </c>
      <c r="Q170" s="67">
        <v>1.6E-2</v>
      </c>
      <c r="R170" s="67">
        <v>1.6E-2</v>
      </c>
      <c r="S170" s="67">
        <v>1.6E-2</v>
      </c>
      <c r="T170" s="67">
        <v>1.6E-2</v>
      </c>
      <c r="U170" s="67">
        <v>1.6E-2</v>
      </c>
      <c r="V170" s="67">
        <v>1.6E-2</v>
      </c>
      <c r="W170" s="67">
        <v>1.6E-2</v>
      </c>
      <c r="X170" s="67">
        <v>1.6E-2</v>
      </c>
      <c r="Y170" s="67">
        <v>1.6E-2</v>
      </c>
      <c r="Z170" s="61" t="s">
        <v>216</v>
      </c>
      <c r="AA170" s="68">
        <v>0.2</v>
      </c>
      <c r="AB170" s="69">
        <v>1.260997392571049E-4</v>
      </c>
    </row>
    <row r="171" spans="2:28" x14ac:dyDescent="0.3">
      <c r="B171" s="61" t="s">
        <v>224</v>
      </c>
      <c r="C171" s="61" t="s">
        <v>185</v>
      </c>
      <c r="D171" s="61" t="s">
        <v>122</v>
      </c>
      <c r="E171" s="61" t="s">
        <v>198</v>
      </c>
      <c r="F171" s="61" t="s">
        <v>93</v>
      </c>
      <c r="G171" s="62">
        <v>0</v>
      </c>
      <c r="H171" s="61">
        <v>0</v>
      </c>
      <c r="I171" s="61">
        <v>0</v>
      </c>
      <c r="J171" s="61" t="e">
        <v>#N/A</v>
      </c>
      <c r="K171" s="70">
        <v>0</v>
      </c>
      <c r="L171" s="70">
        <v>0</v>
      </c>
      <c r="M171" s="70">
        <v>0</v>
      </c>
      <c r="N171" s="70">
        <v>0</v>
      </c>
      <c r="O171" s="70">
        <v>0</v>
      </c>
      <c r="P171" s="70">
        <v>0</v>
      </c>
      <c r="Q171" s="70">
        <v>0</v>
      </c>
      <c r="R171" s="70">
        <v>0</v>
      </c>
      <c r="S171" s="70">
        <v>0</v>
      </c>
      <c r="T171" s="70">
        <v>0</v>
      </c>
      <c r="U171" s="70">
        <v>0</v>
      </c>
      <c r="V171" s="70">
        <v>0</v>
      </c>
      <c r="W171" s="70">
        <v>0</v>
      </c>
      <c r="X171" s="70">
        <v>0</v>
      </c>
      <c r="Y171" s="70">
        <v>0</v>
      </c>
      <c r="Z171" s="61">
        <v>0</v>
      </c>
      <c r="AA171" s="68">
        <v>0</v>
      </c>
      <c r="AB171" s="69">
        <v>0</v>
      </c>
    </row>
    <row r="172" spans="2:28" x14ac:dyDescent="0.3">
      <c r="B172" s="61" t="s">
        <v>224</v>
      </c>
      <c r="C172" s="61" t="s">
        <v>185</v>
      </c>
      <c r="D172" s="61" t="s">
        <v>122</v>
      </c>
      <c r="E172" s="61" t="s">
        <v>199</v>
      </c>
      <c r="F172" s="61" t="s">
        <v>93</v>
      </c>
      <c r="G172" s="62">
        <v>0</v>
      </c>
      <c r="H172" s="61">
        <v>0</v>
      </c>
      <c r="I172" s="61">
        <v>0</v>
      </c>
      <c r="J172" s="61" t="e">
        <v>#N/A</v>
      </c>
      <c r="K172" s="70">
        <v>0</v>
      </c>
      <c r="L172" s="70">
        <v>0</v>
      </c>
      <c r="M172" s="70">
        <v>0</v>
      </c>
      <c r="N172" s="70">
        <v>0</v>
      </c>
      <c r="O172" s="70">
        <v>0</v>
      </c>
      <c r="P172" s="70">
        <v>0</v>
      </c>
      <c r="Q172" s="70">
        <v>0</v>
      </c>
      <c r="R172" s="70">
        <v>0</v>
      </c>
      <c r="S172" s="70">
        <v>0</v>
      </c>
      <c r="T172" s="70">
        <v>0</v>
      </c>
      <c r="U172" s="70">
        <v>0</v>
      </c>
      <c r="V172" s="70">
        <v>0</v>
      </c>
      <c r="W172" s="70">
        <v>0</v>
      </c>
      <c r="X172" s="70">
        <v>0</v>
      </c>
      <c r="Y172" s="70">
        <v>0</v>
      </c>
      <c r="Z172" s="61">
        <v>0</v>
      </c>
      <c r="AA172" s="68">
        <v>0</v>
      </c>
      <c r="AB172" s="69">
        <v>0</v>
      </c>
    </row>
    <row r="173" spans="2:28" x14ac:dyDescent="0.3">
      <c r="B173" s="61" t="s">
        <v>224</v>
      </c>
      <c r="C173" s="61" t="s">
        <v>185</v>
      </c>
      <c r="D173" s="61" t="s">
        <v>200</v>
      </c>
      <c r="E173" s="61" t="s">
        <v>186</v>
      </c>
      <c r="F173" s="61" t="s">
        <v>94</v>
      </c>
      <c r="G173" s="62">
        <v>0</v>
      </c>
      <c r="H173" s="61">
        <v>0</v>
      </c>
      <c r="I173" s="61">
        <v>0</v>
      </c>
      <c r="J173" s="61" t="e">
        <v>#N/A</v>
      </c>
      <c r="K173" s="70">
        <v>0</v>
      </c>
      <c r="L173" s="70">
        <v>0</v>
      </c>
      <c r="M173" s="70">
        <v>0</v>
      </c>
      <c r="N173" s="70">
        <v>0</v>
      </c>
      <c r="O173" s="70">
        <v>0</v>
      </c>
      <c r="P173" s="70">
        <v>0</v>
      </c>
      <c r="Q173" s="70">
        <v>0</v>
      </c>
      <c r="R173" s="70">
        <v>0</v>
      </c>
      <c r="S173" s="70">
        <v>0</v>
      </c>
      <c r="T173" s="70">
        <v>0</v>
      </c>
      <c r="U173" s="70">
        <v>0</v>
      </c>
      <c r="V173" s="70">
        <v>0</v>
      </c>
      <c r="W173" s="70">
        <v>0</v>
      </c>
      <c r="X173" s="70">
        <v>0</v>
      </c>
      <c r="Y173" s="70">
        <v>0</v>
      </c>
      <c r="Z173" s="61">
        <v>0</v>
      </c>
      <c r="AA173" s="68">
        <v>0</v>
      </c>
      <c r="AB173" s="69">
        <v>0</v>
      </c>
    </row>
    <row r="174" spans="2:28" x14ac:dyDescent="0.3">
      <c r="B174" s="61" t="s">
        <v>224</v>
      </c>
      <c r="C174" s="61" t="s">
        <v>185</v>
      </c>
      <c r="D174" s="61" t="s">
        <v>200</v>
      </c>
      <c r="E174" s="61" t="s">
        <v>189</v>
      </c>
      <c r="F174" s="61" t="s">
        <v>94</v>
      </c>
      <c r="G174" s="62">
        <v>0</v>
      </c>
      <c r="H174" s="61">
        <v>0</v>
      </c>
      <c r="I174" s="61">
        <v>0</v>
      </c>
      <c r="J174" s="61" t="e">
        <v>#N/A</v>
      </c>
      <c r="K174" s="70">
        <v>0</v>
      </c>
      <c r="L174" s="70">
        <v>0</v>
      </c>
      <c r="M174" s="70">
        <v>0</v>
      </c>
      <c r="N174" s="70">
        <v>0</v>
      </c>
      <c r="O174" s="70">
        <v>0</v>
      </c>
      <c r="P174" s="70">
        <v>0</v>
      </c>
      <c r="Q174" s="70">
        <v>0</v>
      </c>
      <c r="R174" s="70">
        <v>0</v>
      </c>
      <c r="S174" s="70">
        <v>0</v>
      </c>
      <c r="T174" s="70">
        <v>0</v>
      </c>
      <c r="U174" s="70">
        <v>0</v>
      </c>
      <c r="V174" s="70">
        <v>0</v>
      </c>
      <c r="W174" s="70">
        <v>0</v>
      </c>
      <c r="X174" s="70">
        <v>0</v>
      </c>
      <c r="Y174" s="70">
        <v>0</v>
      </c>
      <c r="Z174" s="61">
        <v>0</v>
      </c>
      <c r="AA174" s="68">
        <v>0</v>
      </c>
      <c r="AB174" s="69">
        <v>0</v>
      </c>
    </row>
    <row r="175" spans="2:28" x14ac:dyDescent="0.3">
      <c r="B175" s="61" t="s">
        <v>224</v>
      </c>
      <c r="C175" s="61" t="s">
        <v>185</v>
      </c>
      <c r="D175" s="61" t="s">
        <v>200</v>
      </c>
      <c r="E175" s="61" t="s">
        <v>190</v>
      </c>
      <c r="F175" s="61" t="s">
        <v>94</v>
      </c>
      <c r="G175" s="62">
        <v>0</v>
      </c>
      <c r="H175" s="61">
        <v>0</v>
      </c>
      <c r="I175" s="61">
        <v>0</v>
      </c>
      <c r="J175" s="61" t="e">
        <v>#N/A</v>
      </c>
      <c r="K175" s="70">
        <v>0</v>
      </c>
      <c r="L175" s="70">
        <v>0</v>
      </c>
      <c r="M175" s="70">
        <v>0</v>
      </c>
      <c r="N175" s="70">
        <v>0</v>
      </c>
      <c r="O175" s="70">
        <v>0</v>
      </c>
      <c r="P175" s="70">
        <v>0</v>
      </c>
      <c r="Q175" s="70">
        <v>0</v>
      </c>
      <c r="R175" s="70">
        <v>0</v>
      </c>
      <c r="S175" s="70">
        <v>0</v>
      </c>
      <c r="T175" s="70">
        <v>0</v>
      </c>
      <c r="U175" s="70">
        <v>0</v>
      </c>
      <c r="V175" s="70">
        <v>0</v>
      </c>
      <c r="W175" s="70">
        <v>0</v>
      </c>
      <c r="X175" s="70">
        <v>0</v>
      </c>
      <c r="Y175" s="70">
        <v>0</v>
      </c>
      <c r="Z175" s="61">
        <v>0</v>
      </c>
      <c r="AA175" s="68">
        <v>0</v>
      </c>
      <c r="AB175" s="69">
        <v>0</v>
      </c>
    </row>
    <row r="176" spans="2:28" x14ac:dyDescent="0.3">
      <c r="B176" s="61" t="s">
        <v>224</v>
      </c>
      <c r="C176" s="61" t="s">
        <v>185</v>
      </c>
      <c r="D176" s="61" t="s">
        <v>200</v>
      </c>
      <c r="E176" s="61" t="s">
        <v>191</v>
      </c>
      <c r="F176" s="61" t="s">
        <v>94</v>
      </c>
      <c r="G176" s="62">
        <v>0</v>
      </c>
      <c r="H176" s="61">
        <v>0</v>
      </c>
      <c r="I176" s="61">
        <v>0</v>
      </c>
      <c r="J176" s="61" t="e">
        <v>#N/A</v>
      </c>
      <c r="K176" s="70">
        <v>0</v>
      </c>
      <c r="L176" s="70">
        <v>0</v>
      </c>
      <c r="M176" s="70">
        <v>0</v>
      </c>
      <c r="N176" s="70">
        <v>0</v>
      </c>
      <c r="O176" s="70">
        <v>0</v>
      </c>
      <c r="P176" s="70">
        <v>0</v>
      </c>
      <c r="Q176" s="70">
        <v>0</v>
      </c>
      <c r="R176" s="70">
        <v>0</v>
      </c>
      <c r="S176" s="70">
        <v>0</v>
      </c>
      <c r="T176" s="70">
        <v>0</v>
      </c>
      <c r="U176" s="70">
        <v>0</v>
      </c>
      <c r="V176" s="70">
        <v>0</v>
      </c>
      <c r="W176" s="70">
        <v>0</v>
      </c>
      <c r="X176" s="70">
        <v>0</v>
      </c>
      <c r="Y176" s="70">
        <v>0</v>
      </c>
      <c r="Z176" s="61">
        <v>0</v>
      </c>
      <c r="AA176" s="68">
        <v>0</v>
      </c>
      <c r="AB176" s="69">
        <v>0</v>
      </c>
    </row>
    <row r="177" spans="2:28" x14ac:dyDescent="0.3">
      <c r="B177" s="61" t="s">
        <v>224</v>
      </c>
      <c r="C177" s="61" t="s">
        <v>185</v>
      </c>
      <c r="D177" s="61" t="s">
        <v>200</v>
      </c>
      <c r="E177" s="61" t="s">
        <v>192</v>
      </c>
      <c r="F177" s="61" t="s">
        <v>94</v>
      </c>
      <c r="G177" s="62">
        <v>0</v>
      </c>
      <c r="H177" s="61">
        <v>0</v>
      </c>
      <c r="I177" s="61">
        <v>0</v>
      </c>
      <c r="J177" s="61" t="e">
        <v>#N/A</v>
      </c>
      <c r="K177" s="70">
        <v>0</v>
      </c>
      <c r="L177" s="70">
        <v>0</v>
      </c>
      <c r="M177" s="70">
        <v>0</v>
      </c>
      <c r="N177" s="70">
        <v>0</v>
      </c>
      <c r="O177" s="70">
        <v>0</v>
      </c>
      <c r="P177" s="70">
        <v>0</v>
      </c>
      <c r="Q177" s="70">
        <v>0</v>
      </c>
      <c r="R177" s="70">
        <v>0</v>
      </c>
      <c r="S177" s="70">
        <v>0</v>
      </c>
      <c r="T177" s="70">
        <v>0</v>
      </c>
      <c r="U177" s="70">
        <v>0</v>
      </c>
      <c r="V177" s="70">
        <v>0</v>
      </c>
      <c r="W177" s="70">
        <v>0</v>
      </c>
      <c r="X177" s="70">
        <v>0</v>
      </c>
      <c r="Y177" s="70">
        <v>0</v>
      </c>
      <c r="Z177" s="61">
        <v>0</v>
      </c>
      <c r="AA177" s="68">
        <v>0</v>
      </c>
      <c r="AB177" s="69">
        <v>0</v>
      </c>
    </row>
    <row r="178" spans="2:28" x14ac:dyDescent="0.3">
      <c r="B178" s="61" t="s">
        <v>224</v>
      </c>
      <c r="C178" s="61" t="s">
        <v>185</v>
      </c>
      <c r="D178" s="61" t="s">
        <v>200</v>
      </c>
      <c r="E178" s="61" t="s">
        <v>193</v>
      </c>
      <c r="F178" s="61" t="s">
        <v>94</v>
      </c>
      <c r="G178" s="62">
        <v>1</v>
      </c>
      <c r="H178" s="61">
        <v>2</v>
      </c>
      <c r="I178" s="61" t="s">
        <v>218</v>
      </c>
      <c r="J178" s="61" t="s">
        <v>215</v>
      </c>
      <c r="K178" s="67">
        <v>0</v>
      </c>
      <c r="L178" s="67">
        <v>0</v>
      </c>
      <c r="M178" s="67">
        <v>0</v>
      </c>
      <c r="N178" s="67">
        <v>0</v>
      </c>
      <c r="O178" s="67">
        <v>0</v>
      </c>
      <c r="P178" s="67">
        <v>0</v>
      </c>
      <c r="Q178" s="67">
        <v>0</v>
      </c>
      <c r="R178" s="67">
        <v>0</v>
      </c>
      <c r="S178" s="67">
        <v>0</v>
      </c>
      <c r="T178" s="67">
        <v>0</v>
      </c>
      <c r="U178" s="67">
        <v>0</v>
      </c>
      <c r="V178" s="67">
        <v>0</v>
      </c>
      <c r="W178" s="67">
        <v>0</v>
      </c>
      <c r="X178" s="67">
        <v>0</v>
      </c>
      <c r="Y178" s="67">
        <v>0</v>
      </c>
      <c r="Z178" s="61">
        <v>0</v>
      </c>
      <c r="AA178" s="68">
        <v>0</v>
      </c>
      <c r="AB178" s="69">
        <v>0</v>
      </c>
    </row>
    <row r="179" spans="2:28" x14ac:dyDescent="0.3">
      <c r="B179" s="61" t="s">
        <v>224</v>
      </c>
      <c r="C179" s="61" t="s">
        <v>185</v>
      </c>
      <c r="D179" s="61" t="s">
        <v>200</v>
      </c>
      <c r="E179" s="61" t="s">
        <v>194</v>
      </c>
      <c r="F179" s="61" t="s">
        <v>94</v>
      </c>
      <c r="G179" s="62">
        <v>0</v>
      </c>
      <c r="H179" s="61">
        <v>0</v>
      </c>
      <c r="I179" s="61">
        <v>0</v>
      </c>
      <c r="J179" s="61" t="e">
        <v>#N/A</v>
      </c>
      <c r="K179" s="70">
        <v>0</v>
      </c>
      <c r="L179" s="70">
        <v>0</v>
      </c>
      <c r="M179" s="70">
        <v>0</v>
      </c>
      <c r="N179" s="70">
        <v>0</v>
      </c>
      <c r="O179" s="70">
        <v>0</v>
      </c>
      <c r="P179" s="70">
        <v>0</v>
      </c>
      <c r="Q179" s="70">
        <v>0</v>
      </c>
      <c r="R179" s="70">
        <v>0</v>
      </c>
      <c r="S179" s="70">
        <v>0</v>
      </c>
      <c r="T179" s="70">
        <v>0</v>
      </c>
      <c r="U179" s="70">
        <v>0</v>
      </c>
      <c r="V179" s="70">
        <v>0</v>
      </c>
      <c r="W179" s="70">
        <v>0</v>
      </c>
      <c r="X179" s="70">
        <v>0</v>
      </c>
      <c r="Y179" s="70">
        <v>0</v>
      </c>
      <c r="Z179" s="61">
        <v>0</v>
      </c>
      <c r="AA179" s="68">
        <v>0</v>
      </c>
      <c r="AB179" s="69">
        <v>0</v>
      </c>
    </row>
    <row r="180" spans="2:28" x14ac:dyDescent="0.3">
      <c r="B180" s="61" t="s">
        <v>224</v>
      </c>
      <c r="C180" s="61" t="s">
        <v>185</v>
      </c>
      <c r="D180" s="61" t="s">
        <v>200</v>
      </c>
      <c r="E180" s="61" t="s">
        <v>195</v>
      </c>
      <c r="F180" s="61" t="s">
        <v>94</v>
      </c>
      <c r="G180" s="62">
        <v>0</v>
      </c>
      <c r="H180" s="61">
        <v>0</v>
      </c>
      <c r="I180" s="61">
        <v>0</v>
      </c>
      <c r="J180" s="61" t="e">
        <v>#N/A</v>
      </c>
      <c r="K180" s="70">
        <v>0</v>
      </c>
      <c r="L180" s="70">
        <v>0</v>
      </c>
      <c r="M180" s="70">
        <v>0</v>
      </c>
      <c r="N180" s="70">
        <v>0</v>
      </c>
      <c r="O180" s="70">
        <v>0</v>
      </c>
      <c r="P180" s="70">
        <v>0</v>
      </c>
      <c r="Q180" s="70">
        <v>0</v>
      </c>
      <c r="R180" s="70">
        <v>0</v>
      </c>
      <c r="S180" s="70">
        <v>0</v>
      </c>
      <c r="T180" s="70">
        <v>0</v>
      </c>
      <c r="U180" s="70">
        <v>0</v>
      </c>
      <c r="V180" s="70">
        <v>0</v>
      </c>
      <c r="W180" s="70">
        <v>0</v>
      </c>
      <c r="X180" s="70">
        <v>0</v>
      </c>
      <c r="Y180" s="70">
        <v>0</v>
      </c>
      <c r="Z180" s="61">
        <v>0</v>
      </c>
      <c r="AA180" s="68">
        <v>0</v>
      </c>
      <c r="AB180" s="69">
        <v>0</v>
      </c>
    </row>
    <row r="181" spans="2:28" x14ac:dyDescent="0.3">
      <c r="B181" s="61" t="s">
        <v>224</v>
      </c>
      <c r="C181" s="61" t="s">
        <v>185</v>
      </c>
      <c r="D181" s="61" t="s">
        <v>200</v>
      </c>
      <c r="E181" s="61" t="s">
        <v>196</v>
      </c>
      <c r="F181" s="61" t="s">
        <v>94</v>
      </c>
      <c r="G181" s="62">
        <v>1</v>
      </c>
      <c r="H181" s="61">
        <v>2</v>
      </c>
      <c r="I181" s="61" t="s">
        <v>218</v>
      </c>
      <c r="J181" s="61" t="s">
        <v>215</v>
      </c>
      <c r="K181" s="67">
        <v>8.9999999999999993E-3</v>
      </c>
      <c r="L181" s="67">
        <v>8.9999999999999993E-3</v>
      </c>
      <c r="M181" s="67">
        <v>8.9999999999999993E-3</v>
      </c>
      <c r="N181" s="67">
        <v>8.9999999999999993E-3</v>
      </c>
      <c r="O181" s="67">
        <v>8.9999999999999993E-3</v>
      </c>
      <c r="P181" s="67">
        <v>8.9999999999999993E-3</v>
      </c>
      <c r="Q181" s="67">
        <v>8.9999999999999993E-3</v>
      </c>
      <c r="R181" s="67">
        <v>8.9999999999999993E-3</v>
      </c>
      <c r="S181" s="67">
        <v>8.9999999999999993E-3</v>
      </c>
      <c r="T181" s="67">
        <v>8.9999999999999993E-3</v>
      </c>
      <c r="U181" s="67">
        <v>8.9999999999999993E-3</v>
      </c>
      <c r="V181" s="67">
        <v>8.9999999999999993E-3</v>
      </c>
      <c r="W181" s="67">
        <v>8.9999999999999993E-3</v>
      </c>
      <c r="X181" s="67">
        <v>8.9999999999999993E-3</v>
      </c>
      <c r="Y181" s="67">
        <v>8.9999999999999993E-3</v>
      </c>
      <c r="Z181" s="61" t="s">
        <v>216</v>
      </c>
      <c r="AA181" s="68">
        <v>6.1104222681629086</v>
      </c>
      <c r="AB181" s="69">
        <v>0</v>
      </c>
    </row>
    <row r="182" spans="2:28" x14ac:dyDescent="0.3">
      <c r="B182" s="61" t="s">
        <v>224</v>
      </c>
      <c r="C182" s="61" t="s">
        <v>185</v>
      </c>
      <c r="D182" s="61" t="s">
        <v>200</v>
      </c>
      <c r="E182" s="61" t="s">
        <v>197</v>
      </c>
      <c r="F182" s="61" t="s">
        <v>94</v>
      </c>
      <c r="G182" s="62">
        <v>0</v>
      </c>
      <c r="H182" s="61">
        <v>2</v>
      </c>
      <c r="I182" s="61" t="s">
        <v>218</v>
      </c>
      <c r="J182" s="61" t="s">
        <v>215</v>
      </c>
      <c r="K182" s="67">
        <v>0</v>
      </c>
      <c r="L182" s="67">
        <v>0</v>
      </c>
      <c r="M182" s="67">
        <v>0</v>
      </c>
      <c r="N182" s="67">
        <v>0</v>
      </c>
      <c r="O182" s="67">
        <v>0</v>
      </c>
      <c r="P182" s="67">
        <v>0</v>
      </c>
      <c r="Q182" s="67">
        <v>0</v>
      </c>
      <c r="R182" s="67">
        <v>0</v>
      </c>
      <c r="S182" s="67">
        <v>0</v>
      </c>
      <c r="T182" s="67">
        <v>0</v>
      </c>
      <c r="U182" s="67">
        <v>0</v>
      </c>
      <c r="V182" s="67">
        <v>0</v>
      </c>
      <c r="W182" s="67">
        <v>0</v>
      </c>
      <c r="X182" s="67">
        <v>0</v>
      </c>
      <c r="Y182" s="67">
        <v>0</v>
      </c>
      <c r="Z182" s="61">
        <v>0</v>
      </c>
      <c r="AA182" s="68">
        <v>0</v>
      </c>
      <c r="AB182" s="69">
        <v>0</v>
      </c>
    </row>
    <row r="183" spans="2:28" x14ac:dyDescent="0.3">
      <c r="B183" s="61" t="s">
        <v>224</v>
      </c>
      <c r="C183" s="61" t="s">
        <v>185</v>
      </c>
      <c r="D183" s="61" t="s">
        <v>200</v>
      </c>
      <c r="E183" s="61" t="s">
        <v>198</v>
      </c>
      <c r="F183" s="61" t="s">
        <v>94</v>
      </c>
      <c r="G183" s="62">
        <v>0</v>
      </c>
      <c r="H183" s="61">
        <v>0</v>
      </c>
      <c r="I183" s="61">
        <v>0</v>
      </c>
      <c r="J183" s="61" t="e">
        <v>#N/A</v>
      </c>
      <c r="K183" s="70">
        <v>0</v>
      </c>
      <c r="L183" s="70">
        <v>0</v>
      </c>
      <c r="M183" s="70">
        <v>0</v>
      </c>
      <c r="N183" s="70">
        <v>0</v>
      </c>
      <c r="O183" s="70">
        <v>0</v>
      </c>
      <c r="P183" s="70">
        <v>0</v>
      </c>
      <c r="Q183" s="70">
        <v>0</v>
      </c>
      <c r="R183" s="70">
        <v>0</v>
      </c>
      <c r="S183" s="70">
        <v>0</v>
      </c>
      <c r="T183" s="70">
        <v>0</v>
      </c>
      <c r="U183" s="70">
        <v>0</v>
      </c>
      <c r="V183" s="70">
        <v>0</v>
      </c>
      <c r="W183" s="70">
        <v>0</v>
      </c>
      <c r="X183" s="70">
        <v>0</v>
      </c>
      <c r="Y183" s="70">
        <v>0</v>
      </c>
      <c r="Z183" s="61">
        <v>0</v>
      </c>
      <c r="AA183" s="68">
        <v>0</v>
      </c>
      <c r="AB183" s="69">
        <v>0</v>
      </c>
    </row>
    <row r="184" spans="2:28" x14ac:dyDescent="0.3">
      <c r="B184" s="61" t="s">
        <v>224</v>
      </c>
      <c r="C184" s="61" t="s">
        <v>185</v>
      </c>
      <c r="D184" s="61" t="s">
        <v>200</v>
      </c>
      <c r="E184" s="61" t="s">
        <v>199</v>
      </c>
      <c r="F184" s="61" t="s">
        <v>94</v>
      </c>
      <c r="G184" s="62">
        <v>0</v>
      </c>
      <c r="H184" s="61">
        <v>0</v>
      </c>
      <c r="I184" s="61">
        <v>0</v>
      </c>
      <c r="J184" s="61" t="e">
        <v>#N/A</v>
      </c>
      <c r="K184" s="70">
        <v>0</v>
      </c>
      <c r="L184" s="70">
        <v>0</v>
      </c>
      <c r="M184" s="70">
        <v>0</v>
      </c>
      <c r="N184" s="70">
        <v>0</v>
      </c>
      <c r="O184" s="70">
        <v>0</v>
      </c>
      <c r="P184" s="70">
        <v>0</v>
      </c>
      <c r="Q184" s="70">
        <v>0</v>
      </c>
      <c r="R184" s="70">
        <v>0</v>
      </c>
      <c r="S184" s="70">
        <v>0</v>
      </c>
      <c r="T184" s="70">
        <v>0</v>
      </c>
      <c r="U184" s="70">
        <v>0</v>
      </c>
      <c r="V184" s="70">
        <v>0</v>
      </c>
      <c r="W184" s="70">
        <v>0</v>
      </c>
      <c r="X184" s="70">
        <v>0</v>
      </c>
      <c r="Y184" s="70">
        <v>0</v>
      </c>
      <c r="Z184" s="61">
        <v>0</v>
      </c>
      <c r="AA184" s="68">
        <v>0</v>
      </c>
      <c r="AB184" s="69">
        <v>0</v>
      </c>
    </row>
    <row r="185" spans="2:28" x14ac:dyDescent="0.3">
      <c r="B185" s="61" t="s">
        <v>224</v>
      </c>
      <c r="C185" s="61" t="s">
        <v>185</v>
      </c>
      <c r="D185" s="61" t="s">
        <v>123</v>
      </c>
      <c r="E185" s="61" t="s">
        <v>186</v>
      </c>
      <c r="F185" s="61" t="s">
        <v>93</v>
      </c>
      <c r="G185" s="62">
        <v>0</v>
      </c>
      <c r="H185" s="61">
        <v>0</v>
      </c>
      <c r="I185" s="61">
        <v>0</v>
      </c>
      <c r="J185" s="61" t="e">
        <v>#N/A</v>
      </c>
      <c r="K185" s="70">
        <v>0</v>
      </c>
      <c r="L185" s="70">
        <v>0</v>
      </c>
      <c r="M185" s="70">
        <v>0</v>
      </c>
      <c r="N185" s="70">
        <v>0</v>
      </c>
      <c r="O185" s="70">
        <v>0</v>
      </c>
      <c r="P185" s="70">
        <v>0</v>
      </c>
      <c r="Q185" s="70">
        <v>0</v>
      </c>
      <c r="R185" s="70">
        <v>0</v>
      </c>
      <c r="S185" s="70">
        <v>0</v>
      </c>
      <c r="T185" s="70">
        <v>0</v>
      </c>
      <c r="U185" s="70">
        <v>0</v>
      </c>
      <c r="V185" s="70">
        <v>0</v>
      </c>
      <c r="W185" s="70">
        <v>0</v>
      </c>
      <c r="X185" s="70">
        <v>0</v>
      </c>
      <c r="Y185" s="70">
        <v>0</v>
      </c>
      <c r="Z185" s="61">
        <v>0</v>
      </c>
      <c r="AA185" s="68">
        <v>0</v>
      </c>
      <c r="AB185" s="69">
        <v>0</v>
      </c>
    </row>
    <row r="186" spans="2:28" x14ac:dyDescent="0.3">
      <c r="B186" s="61" t="s">
        <v>224</v>
      </c>
      <c r="C186" s="61" t="s">
        <v>185</v>
      </c>
      <c r="D186" s="61" t="s">
        <v>123</v>
      </c>
      <c r="E186" s="61" t="s">
        <v>186</v>
      </c>
      <c r="F186" s="61" t="s">
        <v>94</v>
      </c>
      <c r="G186" s="62">
        <v>0</v>
      </c>
      <c r="H186" s="61">
        <v>0</v>
      </c>
      <c r="I186" s="61">
        <v>0</v>
      </c>
      <c r="J186" s="61" t="e">
        <v>#N/A</v>
      </c>
      <c r="K186" s="70">
        <v>0</v>
      </c>
      <c r="L186" s="70">
        <v>0</v>
      </c>
      <c r="M186" s="70">
        <v>0</v>
      </c>
      <c r="N186" s="70">
        <v>0</v>
      </c>
      <c r="O186" s="70">
        <v>0</v>
      </c>
      <c r="P186" s="70">
        <v>0</v>
      </c>
      <c r="Q186" s="70">
        <v>0</v>
      </c>
      <c r="R186" s="70">
        <v>0</v>
      </c>
      <c r="S186" s="70">
        <v>0</v>
      </c>
      <c r="T186" s="70">
        <v>0</v>
      </c>
      <c r="U186" s="70">
        <v>0</v>
      </c>
      <c r="V186" s="70">
        <v>0</v>
      </c>
      <c r="W186" s="70">
        <v>0</v>
      </c>
      <c r="X186" s="70">
        <v>0</v>
      </c>
      <c r="Y186" s="70">
        <v>0</v>
      </c>
      <c r="Z186" s="61">
        <v>0</v>
      </c>
      <c r="AA186" s="68">
        <v>0</v>
      </c>
      <c r="AB186" s="69">
        <v>0</v>
      </c>
    </row>
    <row r="187" spans="2:28" x14ac:dyDescent="0.3">
      <c r="B187" s="61" t="s">
        <v>224</v>
      </c>
      <c r="C187" s="61" t="s">
        <v>185</v>
      </c>
      <c r="D187" s="61" t="s">
        <v>123</v>
      </c>
      <c r="E187" s="61" t="s">
        <v>189</v>
      </c>
      <c r="F187" s="61" t="s">
        <v>93</v>
      </c>
      <c r="G187" s="62">
        <v>0</v>
      </c>
      <c r="H187" s="61">
        <v>0</v>
      </c>
      <c r="I187" s="61">
        <v>0</v>
      </c>
      <c r="J187" s="61" t="e">
        <v>#N/A</v>
      </c>
      <c r="K187" s="70">
        <v>0</v>
      </c>
      <c r="L187" s="70">
        <v>0</v>
      </c>
      <c r="M187" s="70">
        <v>0</v>
      </c>
      <c r="N187" s="70">
        <v>0</v>
      </c>
      <c r="O187" s="70">
        <v>0</v>
      </c>
      <c r="P187" s="70">
        <v>0</v>
      </c>
      <c r="Q187" s="70">
        <v>0</v>
      </c>
      <c r="R187" s="70">
        <v>0</v>
      </c>
      <c r="S187" s="70">
        <v>0</v>
      </c>
      <c r="T187" s="70">
        <v>0</v>
      </c>
      <c r="U187" s="70">
        <v>0</v>
      </c>
      <c r="V187" s="70">
        <v>0</v>
      </c>
      <c r="W187" s="70">
        <v>0</v>
      </c>
      <c r="X187" s="70">
        <v>0</v>
      </c>
      <c r="Y187" s="70">
        <v>0</v>
      </c>
      <c r="Z187" s="61">
        <v>0</v>
      </c>
      <c r="AA187" s="68">
        <v>0</v>
      </c>
      <c r="AB187" s="69">
        <v>0</v>
      </c>
    </row>
    <row r="188" spans="2:28" x14ac:dyDescent="0.3">
      <c r="B188" s="61" t="s">
        <v>224</v>
      </c>
      <c r="C188" s="61" t="s">
        <v>185</v>
      </c>
      <c r="D188" s="61" t="s">
        <v>123</v>
      </c>
      <c r="E188" s="61" t="s">
        <v>189</v>
      </c>
      <c r="F188" s="61" t="s">
        <v>94</v>
      </c>
      <c r="G188" s="62">
        <v>0</v>
      </c>
      <c r="H188" s="61">
        <v>0</v>
      </c>
      <c r="I188" s="61">
        <v>0</v>
      </c>
      <c r="J188" s="61" t="e">
        <v>#N/A</v>
      </c>
      <c r="K188" s="70">
        <v>0</v>
      </c>
      <c r="L188" s="70">
        <v>0</v>
      </c>
      <c r="M188" s="70">
        <v>0</v>
      </c>
      <c r="N188" s="70">
        <v>0</v>
      </c>
      <c r="O188" s="70">
        <v>0</v>
      </c>
      <c r="P188" s="70">
        <v>0</v>
      </c>
      <c r="Q188" s="70">
        <v>0</v>
      </c>
      <c r="R188" s="70">
        <v>0</v>
      </c>
      <c r="S188" s="70">
        <v>0</v>
      </c>
      <c r="T188" s="70">
        <v>0</v>
      </c>
      <c r="U188" s="70">
        <v>0</v>
      </c>
      <c r="V188" s="70">
        <v>0</v>
      </c>
      <c r="W188" s="70">
        <v>0</v>
      </c>
      <c r="X188" s="70">
        <v>0</v>
      </c>
      <c r="Y188" s="70">
        <v>0</v>
      </c>
      <c r="Z188" s="61">
        <v>0</v>
      </c>
      <c r="AA188" s="68">
        <v>0</v>
      </c>
      <c r="AB188" s="69">
        <v>0</v>
      </c>
    </row>
    <row r="189" spans="2:28" x14ac:dyDescent="0.3">
      <c r="B189" s="61" t="s">
        <v>224</v>
      </c>
      <c r="C189" s="61" t="s">
        <v>185</v>
      </c>
      <c r="D189" s="61" t="s">
        <v>123</v>
      </c>
      <c r="E189" s="61" t="s">
        <v>190</v>
      </c>
      <c r="F189" s="61" t="s">
        <v>93</v>
      </c>
      <c r="G189" s="62">
        <v>0</v>
      </c>
      <c r="H189" s="61">
        <v>0</v>
      </c>
      <c r="I189" s="61">
        <v>0</v>
      </c>
      <c r="J189" s="61" t="e">
        <v>#N/A</v>
      </c>
      <c r="K189" s="70">
        <v>0</v>
      </c>
      <c r="L189" s="70">
        <v>0</v>
      </c>
      <c r="M189" s="70">
        <v>0</v>
      </c>
      <c r="N189" s="70">
        <v>0</v>
      </c>
      <c r="O189" s="70">
        <v>0</v>
      </c>
      <c r="P189" s="70">
        <v>0</v>
      </c>
      <c r="Q189" s="70">
        <v>0</v>
      </c>
      <c r="R189" s="70">
        <v>0</v>
      </c>
      <c r="S189" s="70">
        <v>0</v>
      </c>
      <c r="T189" s="70">
        <v>0</v>
      </c>
      <c r="U189" s="70">
        <v>0</v>
      </c>
      <c r="V189" s="70">
        <v>0</v>
      </c>
      <c r="W189" s="70">
        <v>0</v>
      </c>
      <c r="X189" s="70">
        <v>0</v>
      </c>
      <c r="Y189" s="70">
        <v>0</v>
      </c>
      <c r="Z189" s="61">
        <v>0</v>
      </c>
      <c r="AA189" s="68">
        <v>0</v>
      </c>
      <c r="AB189" s="69">
        <v>0</v>
      </c>
    </row>
    <row r="190" spans="2:28" x14ac:dyDescent="0.3">
      <c r="B190" s="61" t="s">
        <v>224</v>
      </c>
      <c r="C190" s="61" t="s">
        <v>185</v>
      </c>
      <c r="D190" s="61" t="s">
        <v>123</v>
      </c>
      <c r="E190" s="61" t="s">
        <v>190</v>
      </c>
      <c r="F190" s="61" t="s">
        <v>94</v>
      </c>
      <c r="G190" s="62">
        <v>0</v>
      </c>
      <c r="H190" s="61">
        <v>0</v>
      </c>
      <c r="I190" s="61">
        <v>0</v>
      </c>
      <c r="J190" s="61" t="e">
        <v>#N/A</v>
      </c>
      <c r="K190" s="70">
        <v>0</v>
      </c>
      <c r="L190" s="70">
        <v>0</v>
      </c>
      <c r="M190" s="70">
        <v>0</v>
      </c>
      <c r="N190" s="70">
        <v>0</v>
      </c>
      <c r="O190" s="70">
        <v>0</v>
      </c>
      <c r="P190" s="70">
        <v>0</v>
      </c>
      <c r="Q190" s="70">
        <v>0</v>
      </c>
      <c r="R190" s="70">
        <v>0</v>
      </c>
      <c r="S190" s="70">
        <v>0</v>
      </c>
      <c r="T190" s="70">
        <v>0</v>
      </c>
      <c r="U190" s="70">
        <v>0</v>
      </c>
      <c r="V190" s="70">
        <v>0</v>
      </c>
      <c r="W190" s="70">
        <v>0</v>
      </c>
      <c r="X190" s="70">
        <v>0</v>
      </c>
      <c r="Y190" s="70">
        <v>0</v>
      </c>
      <c r="Z190" s="61">
        <v>0</v>
      </c>
      <c r="AA190" s="68">
        <v>0</v>
      </c>
      <c r="AB190" s="69">
        <v>0</v>
      </c>
    </row>
    <row r="191" spans="2:28" x14ac:dyDescent="0.3">
      <c r="B191" s="61" t="s">
        <v>224</v>
      </c>
      <c r="C191" s="61" t="s">
        <v>185</v>
      </c>
      <c r="D191" s="61" t="s">
        <v>123</v>
      </c>
      <c r="E191" s="61" t="s">
        <v>191</v>
      </c>
      <c r="F191" s="61" t="s">
        <v>93</v>
      </c>
      <c r="G191" s="62">
        <v>0.5</v>
      </c>
      <c r="H191" s="61">
        <v>2</v>
      </c>
      <c r="I191" s="61" t="s">
        <v>214</v>
      </c>
      <c r="J191" s="61" t="s">
        <v>215</v>
      </c>
      <c r="K191" s="67">
        <v>1.78E-2</v>
      </c>
      <c r="L191" s="67">
        <v>1.78E-2</v>
      </c>
      <c r="M191" s="67">
        <v>1.78E-2</v>
      </c>
      <c r="N191" s="67">
        <v>1.78E-2</v>
      </c>
      <c r="O191" s="67">
        <v>1.78E-2</v>
      </c>
      <c r="P191" s="67">
        <v>1.78E-2</v>
      </c>
      <c r="Q191" s="67">
        <v>1.78E-2</v>
      </c>
      <c r="R191" s="67">
        <v>1.78E-2</v>
      </c>
      <c r="S191" s="67">
        <v>1.78E-2</v>
      </c>
      <c r="T191" s="67">
        <v>1.78E-2</v>
      </c>
      <c r="U191" s="67">
        <v>1.78E-2</v>
      </c>
      <c r="V191" s="67">
        <v>1.78E-2</v>
      </c>
      <c r="W191" s="67">
        <v>1.78E-2</v>
      </c>
      <c r="X191" s="67">
        <v>1.78E-2</v>
      </c>
      <c r="Y191" s="67">
        <v>1.78E-2</v>
      </c>
      <c r="Z191" s="61">
        <v>0</v>
      </c>
      <c r="AA191" s="68">
        <v>0.2</v>
      </c>
      <c r="AB191" s="69">
        <v>0</v>
      </c>
    </row>
    <row r="192" spans="2:28" x14ac:dyDescent="0.3">
      <c r="B192" s="61" t="s">
        <v>224</v>
      </c>
      <c r="C192" s="61" t="s">
        <v>185</v>
      </c>
      <c r="D192" s="61" t="s">
        <v>123</v>
      </c>
      <c r="E192" s="61" t="s">
        <v>191</v>
      </c>
      <c r="F192" s="61" t="s">
        <v>94</v>
      </c>
      <c r="G192" s="62">
        <v>0</v>
      </c>
      <c r="H192" s="61">
        <v>0</v>
      </c>
      <c r="I192" s="61">
        <v>0</v>
      </c>
      <c r="J192" s="61" t="e">
        <v>#N/A</v>
      </c>
      <c r="K192" s="70">
        <v>0</v>
      </c>
      <c r="L192" s="70">
        <v>0</v>
      </c>
      <c r="M192" s="70">
        <v>0</v>
      </c>
      <c r="N192" s="70">
        <v>0</v>
      </c>
      <c r="O192" s="70">
        <v>0</v>
      </c>
      <c r="P192" s="70">
        <v>0</v>
      </c>
      <c r="Q192" s="70">
        <v>0</v>
      </c>
      <c r="R192" s="70">
        <v>0</v>
      </c>
      <c r="S192" s="70">
        <v>0</v>
      </c>
      <c r="T192" s="70">
        <v>0</v>
      </c>
      <c r="U192" s="70">
        <v>0</v>
      </c>
      <c r="V192" s="70">
        <v>0</v>
      </c>
      <c r="W192" s="70">
        <v>0</v>
      </c>
      <c r="X192" s="70">
        <v>0</v>
      </c>
      <c r="Y192" s="70">
        <v>0</v>
      </c>
      <c r="Z192" s="61">
        <v>0</v>
      </c>
      <c r="AA192" s="68">
        <v>0</v>
      </c>
      <c r="AB192" s="69">
        <v>0</v>
      </c>
    </row>
    <row r="193" spans="2:28" x14ac:dyDescent="0.3">
      <c r="B193" s="61" t="s">
        <v>224</v>
      </c>
      <c r="C193" s="61" t="s">
        <v>185</v>
      </c>
      <c r="D193" s="61" t="s">
        <v>123</v>
      </c>
      <c r="E193" s="61" t="s">
        <v>192</v>
      </c>
      <c r="F193" s="61" t="s">
        <v>93</v>
      </c>
      <c r="G193" s="62">
        <v>0</v>
      </c>
      <c r="H193" s="61">
        <v>0</v>
      </c>
      <c r="I193" s="61">
        <v>0</v>
      </c>
      <c r="J193" s="61" t="e">
        <v>#N/A</v>
      </c>
      <c r="K193" s="70">
        <v>0</v>
      </c>
      <c r="L193" s="70">
        <v>0</v>
      </c>
      <c r="M193" s="70">
        <v>0</v>
      </c>
      <c r="N193" s="70">
        <v>0</v>
      </c>
      <c r="O193" s="70">
        <v>0</v>
      </c>
      <c r="P193" s="70">
        <v>0</v>
      </c>
      <c r="Q193" s="70">
        <v>0</v>
      </c>
      <c r="R193" s="70">
        <v>0</v>
      </c>
      <c r="S193" s="70">
        <v>0</v>
      </c>
      <c r="T193" s="70">
        <v>0</v>
      </c>
      <c r="U193" s="70">
        <v>0</v>
      </c>
      <c r="V193" s="70">
        <v>0</v>
      </c>
      <c r="W193" s="70">
        <v>0</v>
      </c>
      <c r="X193" s="70">
        <v>0</v>
      </c>
      <c r="Y193" s="70">
        <v>0</v>
      </c>
      <c r="Z193" s="61">
        <v>0</v>
      </c>
      <c r="AA193" s="68">
        <v>0</v>
      </c>
      <c r="AB193" s="69">
        <v>0</v>
      </c>
    </row>
    <row r="194" spans="2:28" x14ac:dyDescent="0.3">
      <c r="B194" s="61" t="s">
        <v>224</v>
      </c>
      <c r="C194" s="61" t="s">
        <v>185</v>
      </c>
      <c r="D194" s="61" t="s">
        <v>123</v>
      </c>
      <c r="E194" s="61" t="s">
        <v>192</v>
      </c>
      <c r="F194" s="61" t="s">
        <v>94</v>
      </c>
      <c r="G194" s="62">
        <v>0</v>
      </c>
      <c r="H194" s="61">
        <v>0</v>
      </c>
      <c r="I194" s="61">
        <v>0</v>
      </c>
      <c r="J194" s="61" t="e">
        <v>#N/A</v>
      </c>
      <c r="K194" s="70">
        <v>0</v>
      </c>
      <c r="L194" s="70">
        <v>0</v>
      </c>
      <c r="M194" s="70">
        <v>0</v>
      </c>
      <c r="N194" s="70">
        <v>0</v>
      </c>
      <c r="O194" s="70">
        <v>0</v>
      </c>
      <c r="P194" s="70">
        <v>0</v>
      </c>
      <c r="Q194" s="70">
        <v>0</v>
      </c>
      <c r="R194" s="70">
        <v>0</v>
      </c>
      <c r="S194" s="70">
        <v>0</v>
      </c>
      <c r="T194" s="70">
        <v>0</v>
      </c>
      <c r="U194" s="70">
        <v>0</v>
      </c>
      <c r="V194" s="70">
        <v>0</v>
      </c>
      <c r="W194" s="70">
        <v>0</v>
      </c>
      <c r="X194" s="70">
        <v>0</v>
      </c>
      <c r="Y194" s="70">
        <v>0</v>
      </c>
      <c r="Z194" s="61">
        <v>0</v>
      </c>
      <c r="AA194" s="68">
        <v>0</v>
      </c>
      <c r="AB194" s="69">
        <v>0</v>
      </c>
    </row>
    <row r="195" spans="2:28" x14ac:dyDescent="0.3">
      <c r="B195" s="61" t="s">
        <v>224</v>
      </c>
      <c r="C195" s="61" t="s">
        <v>185</v>
      </c>
      <c r="D195" s="61" t="s">
        <v>123</v>
      </c>
      <c r="E195" s="61" t="s">
        <v>193</v>
      </c>
      <c r="F195" s="61" t="s">
        <v>93</v>
      </c>
      <c r="G195" s="62">
        <v>1</v>
      </c>
      <c r="H195" s="61">
        <v>2</v>
      </c>
      <c r="I195" s="61" t="s">
        <v>214</v>
      </c>
      <c r="J195" s="61" t="s">
        <v>215</v>
      </c>
      <c r="K195" s="67">
        <v>0</v>
      </c>
      <c r="L195" s="67">
        <v>0</v>
      </c>
      <c r="M195" s="67">
        <v>0</v>
      </c>
      <c r="N195" s="67">
        <v>0</v>
      </c>
      <c r="O195" s="67">
        <v>0</v>
      </c>
      <c r="P195" s="67">
        <v>0</v>
      </c>
      <c r="Q195" s="67">
        <v>0</v>
      </c>
      <c r="R195" s="67">
        <v>0</v>
      </c>
      <c r="S195" s="67">
        <v>0</v>
      </c>
      <c r="T195" s="67">
        <v>0</v>
      </c>
      <c r="U195" s="67">
        <v>0</v>
      </c>
      <c r="V195" s="67">
        <v>0</v>
      </c>
      <c r="W195" s="67">
        <v>0</v>
      </c>
      <c r="X195" s="67">
        <v>0</v>
      </c>
      <c r="Y195" s="67">
        <v>0</v>
      </c>
      <c r="Z195" s="61">
        <v>0</v>
      </c>
      <c r="AA195" s="68">
        <v>0</v>
      </c>
      <c r="AB195" s="69">
        <v>0</v>
      </c>
    </row>
    <row r="196" spans="2:28" x14ac:dyDescent="0.3">
      <c r="B196" s="61" t="s">
        <v>224</v>
      </c>
      <c r="C196" s="61" t="s">
        <v>185</v>
      </c>
      <c r="D196" s="61" t="s">
        <v>123</v>
      </c>
      <c r="E196" s="61" t="s">
        <v>193</v>
      </c>
      <c r="F196" s="61" t="s">
        <v>94</v>
      </c>
      <c r="G196" s="62">
        <v>1</v>
      </c>
      <c r="H196" s="61">
        <v>2</v>
      </c>
      <c r="I196" s="61" t="s">
        <v>218</v>
      </c>
      <c r="J196" s="61" t="s">
        <v>215</v>
      </c>
      <c r="K196" s="67">
        <v>0</v>
      </c>
      <c r="L196" s="67">
        <v>0</v>
      </c>
      <c r="M196" s="67">
        <v>0</v>
      </c>
      <c r="N196" s="67">
        <v>0</v>
      </c>
      <c r="O196" s="67">
        <v>0</v>
      </c>
      <c r="P196" s="67">
        <v>0</v>
      </c>
      <c r="Q196" s="67">
        <v>0</v>
      </c>
      <c r="R196" s="67">
        <v>0</v>
      </c>
      <c r="S196" s="67">
        <v>0</v>
      </c>
      <c r="T196" s="67">
        <v>0</v>
      </c>
      <c r="U196" s="67">
        <v>0</v>
      </c>
      <c r="V196" s="67">
        <v>0</v>
      </c>
      <c r="W196" s="67">
        <v>0</v>
      </c>
      <c r="X196" s="67">
        <v>0</v>
      </c>
      <c r="Y196" s="67">
        <v>0</v>
      </c>
      <c r="Z196" s="61">
        <v>0</v>
      </c>
      <c r="AA196" s="68">
        <v>0</v>
      </c>
      <c r="AB196" s="69">
        <v>0</v>
      </c>
    </row>
    <row r="197" spans="2:28" x14ac:dyDescent="0.3">
      <c r="B197" s="61" t="s">
        <v>224</v>
      </c>
      <c r="C197" s="61" t="s">
        <v>185</v>
      </c>
      <c r="D197" s="61" t="s">
        <v>123</v>
      </c>
      <c r="E197" s="61" t="s">
        <v>194</v>
      </c>
      <c r="F197" s="61" t="s">
        <v>93</v>
      </c>
      <c r="G197" s="62">
        <v>0.25</v>
      </c>
      <c r="H197" s="61">
        <v>2</v>
      </c>
      <c r="I197" s="61" t="s">
        <v>214</v>
      </c>
      <c r="J197" s="61" t="s">
        <v>215</v>
      </c>
      <c r="K197" s="67">
        <v>2.1999999999999999E-2</v>
      </c>
      <c r="L197" s="67">
        <v>2.1999999999999999E-2</v>
      </c>
      <c r="M197" s="67">
        <v>2.1999999999999999E-2</v>
      </c>
      <c r="N197" s="67">
        <v>2.1999999999999999E-2</v>
      </c>
      <c r="O197" s="67">
        <v>2.1999999999999999E-2</v>
      </c>
      <c r="P197" s="67">
        <v>2.1999999999999999E-2</v>
      </c>
      <c r="Q197" s="67">
        <v>2.1999999999999999E-2</v>
      </c>
      <c r="R197" s="67">
        <v>2.1999999999999999E-2</v>
      </c>
      <c r="S197" s="67">
        <v>2.1999999999999999E-2</v>
      </c>
      <c r="T197" s="67">
        <v>2.1999999999999999E-2</v>
      </c>
      <c r="U197" s="67">
        <v>2.1999999999999999E-2</v>
      </c>
      <c r="V197" s="67">
        <v>2.1999999999999999E-2</v>
      </c>
      <c r="W197" s="67">
        <v>2.1999999999999999E-2</v>
      </c>
      <c r="X197" s="67">
        <v>2.1999999999999999E-2</v>
      </c>
      <c r="Y197" s="67">
        <v>2.1999999999999999E-2</v>
      </c>
      <c r="Z197" s="61">
        <v>0</v>
      </c>
      <c r="AA197" s="68">
        <v>0.2</v>
      </c>
      <c r="AB197" s="69">
        <v>0</v>
      </c>
    </row>
    <row r="198" spans="2:28" x14ac:dyDescent="0.3">
      <c r="B198" s="61" t="s">
        <v>224</v>
      </c>
      <c r="C198" s="61" t="s">
        <v>185</v>
      </c>
      <c r="D198" s="61" t="s">
        <v>123</v>
      </c>
      <c r="E198" s="61" t="s">
        <v>194</v>
      </c>
      <c r="F198" s="61" t="s">
        <v>94</v>
      </c>
      <c r="G198" s="62">
        <v>0</v>
      </c>
      <c r="H198" s="61">
        <v>0</v>
      </c>
      <c r="I198" s="61">
        <v>0</v>
      </c>
      <c r="J198" s="61" t="e">
        <v>#N/A</v>
      </c>
      <c r="K198" s="70">
        <v>0</v>
      </c>
      <c r="L198" s="70">
        <v>0</v>
      </c>
      <c r="M198" s="70">
        <v>0</v>
      </c>
      <c r="N198" s="70">
        <v>0</v>
      </c>
      <c r="O198" s="70">
        <v>0</v>
      </c>
      <c r="P198" s="70">
        <v>0</v>
      </c>
      <c r="Q198" s="70">
        <v>0</v>
      </c>
      <c r="R198" s="70">
        <v>0</v>
      </c>
      <c r="S198" s="70">
        <v>0</v>
      </c>
      <c r="T198" s="70">
        <v>0</v>
      </c>
      <c r="U198" s="70">
        <v>0</v>
      </c>
      <c r="V198" s="70">
        <v>0</v>
      </c>
      <c r="W198" s="70">
        <v>0</v>
      </c>
      <c r="X198" s="70">
        <v>0</v>
      </c>
      <c r="Y198" s="70">
        <v>0</v>
      </c>
      <c r="Z198" s="61">
        <v>0</v>
      </c>
      <c r="AA198" s="68">
        <v>0</v>
      </c>
      <c r="AB198" s="69">
        <v>0</v>
      </c>
    </row>
    <row r="199" spans="2:28" x14ac:dyDescent="0.3">
      <c r="B199" s="61" t="s">
        <v>224</v>
      </c>
      <c r="C199" s="61" t="s">
        <v>185</v>
      </c>
      <c r="D199" s="61" t="s">
        <v>123</v>
      </c>
      <c r="E199" s="61" t="s">
        <v>195</v>
      </c>
      <c r="F199" s="61" t="s">
        <v>93</v>
      </c>
      <c r="G199" s="62">
        <v>0</v>
      </c>
      <c r="H199" s="61">
        <v>0</v>
      </c>
      <c r="I199" s="61">
        <v>0</v>
      </c>
      <c r="J199" s="61" t="e">
        <v>#N/A</v>
      </c>
      <c r="K199" s="70">
        <v>0</v>
      </c>
      <c r="L199" s="70">
        <v>0</v>
      </c>
      <c r="M199" s="70">
        <v>0</v>
      </c>
      <c r="N199" s="70">
        <v>0</v>
      </c>
      <c r="O199" s="70">
        <v>0</v>
      </c>
      <c r="P199" s="70">
        <v>0</v>
      </c>
      <c r="Q199" s="70">
        <v>0</v>
      </c>
      <c r="R199" s="70">
        <v>0</v>
      </c>
      <c r="S199" s="70">
        <v>0</v>
      </c>
      <c r="T199" s="70">
        <v>0</v>
      </c>
      <c r="U199" s="70">
        <v>0</v>
      </c>
      <c r="V199" s="70">
        <v>0</v>
      </c>
      <c r="W199" s="70">
        <v>0</v>
      </c>
      <c r="X199" s="70">
        <v>0</v>
      </c>
      <c r="Y199" s="70">
        <v>0</v>
      </c>
      <c r="Z199" s="61">
        <v>0</v>
      </c>
      <c r="AA199" s="68">
        <v>0</v>
      </c>
      <c r="AB199" s="69">
        <v>0</v>
      </c>
    </row>
    <row r="200" spans="2:28" x14ac:dyDescent="0.3">
      <c r="B200" s="61" t="s">
        <v>224</v>
      </c>
      <c r="C200" s="61" t="s">
        <v>185</v>
      </c>
      <c r="D200" s="61" t="s">
        <v>123</v>
      </c>
      <c r="E200" s="61" t="s">
        <v>195</v>
      </c>
      <c r="F200" s="61" t="s">
        <v>94</v>
      </c>
      <c r="G200" s="62">
        <v>0</v>
      </c>
      <c r="H200" s="61">
        <v>0</v>
      </c>
      <c r="I200" s="61">
        <v>0</v>
      </c>
      <c r="J200" s="61" t="e">
        <v>#N/A</v>
      </c>
      <c r="K200" s="70">
        <v>0</v>
      </c>
      <c r="L200" s="70">
        <v>0</v>
      </c>
      <c r="M200" s="70">
        <v>0</v>
      </c>
      <c r="N200" s="70">
        <v>0</v>
      </c>
      <c r="O200" s="70">
        <v>0</v>
      </c>
      <c r="P200" s="70">
        <v>0</v>
      </c>
      <c r="Q200" s="70">
        <v>0</v>
      </c>
      <c r="R200" s="70">
        <v>0</v>
      </c>
      <c r="S200" s="70">
        <v>0</v>
      </c>
      <c r="T200" s="70">
        <v>0</v>
      </c>
      <c r="U200" s="70">
        <v>0</v>
      </c>
      <c r="V200" s="70">
        <v>0</v>
      </c>
      <c r="W200" s="70">
        <v>0</v>
      </c>
      <c r="X200" s="70">
        <v>0</v>
      </c>
      <c r="Y200" s="70">
        <v>0</v>
      </c>
      <c r="Z200" s="61">
        <v>0</v>
      </c>
      <c r="AA200" s="68">
        <v>0</v>
      </c>
      <c r="AB200" s="69">
        <v>0</v>
      </c>
    </row>
    <row r="201" spans="2:28" x14ac:dyDescent="0.3">
      <c r="B201" s="61" t="s">
        <v>224</v>
      </c>
      <c r="C201" s="61" t="s">
        <v>185</v>
      </c>
      <c r="D201" s="61" t="s">
        <v>123</v>
      </c>
      <c r="E201" s="61" t="s">
        <v>196</v>
      </c>
      <c r="F201" s="61" t="s">
        <v>93</v>
      </c>
      <c r="G201" s="62">
        <v>1</v>
      </c>
      <c r="H201" s="61">
        <v>2</v>
      </c>
      <c r="I201" s="61" t="s">
        <v>214</v>
      </c>
      <c r="J201" s="61" t="s">
        <v>215</v>
      </c>
      <c r="K201" s="67">
        <v>0</v>
      </c>
      <c r="L201" s="67">
        <v>0</v>
      </c>
      <c r="M201" s="67">
        <v>0</v>
      </c>
      <c r="N201" s="67">
        <v>0</v>
      </c>
      <c r="O201" s="67">
        <v>0</v>
      </c>
      <c r="P201" s="67">
        <v>0</v>
      </c>
      <c r="Q201" s="67">
        <v>0</v>
      </c>
      <c r="R201" s="67">
        <v>0</v>
      </c>
      <c r="S201" s="67">
        <v>0</v>
      </c>
      <c r="T201" s="67">
        <v>0</v>
      </c>
      <c r="U201" s="67">
        <v>0</v>
      </c>
      <c r="V201" s="67">
        <v>0</v>
      </c>
      <c r="W201" s="67">
        <v>0</v>
      </c>
      <c r="X201" s="67">
        <v>0</v>
      </c>
      <c r="Y201" s="67">
        <v>0</v>
      </c>
      <c r="Z201" s="61">
        <v>0</v>
      </c>
      <c r="AA201" s="68">
        <v>0</v>
      </c>
      <c r="AB201" s="69">
        <v>0</v>
      </c>
    </row>
    <row r="202" spans="2:28" x14ac:dyDescent="0.3">
      <c r="B202" s="61" t="s">
        <v>224</v>
      </c>
      <c r="C202" s="61" t="s">
        <v>185</v>
      </c>
      <c r="D202" s="61" t="s">
        <v>123</v>
      </c>
      <c r="E202" s="61" t="s">
        <v>196</v>
      </c>
      <c r="F202" s="61" t="s">
        <v>94</v>
      </c>
      <c r="G202" s="62">
        <v>1</v>
      </c>
      <c r="H202" s="61">
        <v>2</v>
      </c>
      <c r="I202" s="61" t="s">
        <v>218</v>
      </c>
      <c r="J202" s="61" t="s">
        <v>215</v>
      </c>
      <c r="K202" s="67">
        <v>8.9999999999999993E-3</v>
      </c>
      <c r="L202" s="67">
        <v>8.9999999999999993E-3</v>
      </c>
      <c r="M202" s="67">
        <v>8.9999999999999993E-3</v>
      </c>
      <c r="N202" s="67">
        <v>8.9999999999999993E-3</v>
      </c>
      <c r="O202" s="67">
        <v>8.9999999999999993E-3</v>
      </c>
      <c r="P202" s="67">
        <v>8.9999999999999993E-3</v>
      </c>
      <c r="Q202" s="67">
        <v>8.9999999999999993E-3</v>
      </c>
      <c r="R202" s="67">
        <v>8.9999999999999993E-3</v>
      </c>
      <c r="S202" s="67">
        <v>8.9999999999999993E-3</v>
      </c>
      <c r="T202" s="67">
        <v>8.9999999999999993E-3</v>
      </c>
      <c r="U202" s="67">
        <v>8.9999999999999993E-3</v>
      </c>
      <c r="V202" s="67">
        <v>8.9999999999999993E-3</v>
      </c>
      <c r="W202" s="67">
        <v>8.9999999999999993E-3</v>
      </c>
      <c r="X202" s="67">
        <v>8.9999999999999993E-3</v>
      </c>
      <c r="Y202" s="67">
        <v>8.9999999999999993E-3</v>
      </c>
      <c r="Z202" s="61" t="s">
        <v>216</v>
      </c>
      <c r="AA202" s="68">
        <v>6.1104222681629086</v>
      </c>
      <c r="AB202" s="69">
        <v>0</v>
      </c>
    </row>
    <row r="203" spans="2:28" x14ac:dyDescent="0.3">
      <c r="B203" s="61" t="s">
        <v>224</v>
      </c>
      <c r="C203" s="61" t="s">
        <v>185</v>
      </c>
      <c r="D203" s="61" t="s">
        <v>123</v>
      </c>
      <c r="E203" s="61" t="s">
        <v>197</v>
      </c>
      <c r="F203" s="61" t="s">
        <v>93</v>
      </c>
      <c r="G203" s="62">
        <v>0.63</v>
      </c>
      <c r="H203" s="61">
        <v>2</v>
      </c>
      <c r="I203" s="61" t="s">
        <v>214</v>
      </c>
      <c r="J203" s="61" t="s">
        <v>215</v>
      </c>
      <c r="K203" s="67">
        <v>1.6E-2</v>
      </c>
      <c r="L203" s="67">
        <v>1.6E-2</v>
      </c>
      <c r="M203" s="67">
        <v>1.6E-2</v>
      </c>
      <c r="N203" s="67">
        <v>1.6E-2</v>
      </c>
      <c r="O203" s="67">
        <v>1.6E-2</v>
      </c>
      <c r="P203" s="67">
        <v>1.6E-2</v>
      </c>
      <c r="Q203" s="67">
        <v>1.6E-2</v>
      </c>
      <c r="R203" s="67">
        <v>1.6E-2</v>
      </c>
      <c r="S203" s="67">
        <v>1.6E-2</v>
      </c>
      <c r="T203" s="67">
        <v>1.6E-2</v>
      </c>
      <c r="U203" s="67">
        <v>1.6E-2</v>
      </c>
      <c r="V203" s="67">
        <v>1.6E-2</v>
      </c>
      <c r="W203" s="67">
        <v>1.6E-2</v>
      </c>
      <c r="X203" s="67">
        <v>1.6E-2</v>
      </c>
      <c r="Y203" s="67">
        <v>1.6E-2</v>
      </c>
      <c r="Z203" s="61" t="s">
        <v>216</v>
      </c>
      <c r="AA203" s="68">
        <v>0.2</v>
      </c>
      <c r="AB203" s="69">
        <v>1.260997392571049E-4</v>
      </c>
    </row>
    <row r="204" spans="2:28" x14ac:dyDescent="0.3">
      <c r="B204" s="61" t="s">
        <v>224</v>
      </c>
      <c r="C204" s="61" t="s">
        <v>185</v>
      </c>
      <c r="D204" s="61" t="s">
        <v>123</v>
      </c>
      <c r="E204" s="61" t="s">
        <v>197</v>
      </c>
      <c r="F204" s="61" t="s">
        <v>94</v>
      </c>
      <c r="G204" s="62">
        <v>0.63</v>
      </c>
      <c r="H204" s="61">
        <v>2</v>
      </c>
      <c r="I204" s="61" t="s">
        <v>218</v>
      </c>
      <c r="J204" s="61" t="s">
        <v>215</v>
      </c>
      <c r="K204" s="67">
        <v>0</v>
      </c>
      <c r="L204" s="67">
        <v>0</v>
      </c>
      <c r="M204" s="67">
        <v>0</v>
      </c>
      <c r="N204" s="67">
        <v>0</v>
      </c>
      <c r="O204" s="67">
        <v>0</v>
      </c>
      <c r="P204" s="67">
        <v>0</v>
      </c>
      <c r="Q204" s="67">
        <v>0</v>
      </c>
      <c r="R204" s="67">
        <v>0</v>
      </c>
      <c r="S204" s="67">
        <v>0</v>
      </c>
      <c r="T204" s="67">
        <v>0</v>
      </c>
      <c r="U204" s="67">
        <v>0</v>
      </c>
      <c r="V204" s="67">
        <v>0</v>
      </c>
      <c r="W204" s="67">
        <v>0</v>
      </c>
      <c r="X204" s="67">
        <v>0</v>
      </c>
      <c r="Y204" s="67">
        <v>0</v>
      </c>
      <c r="Z204" s="61">
        <v>0</v>
      </c>
      <c r="AA204" s="68">
        <v>0</v>
      </c>
      <c r="AB204" s="69">
        <v>0</v>
      </c>
    </row>
    <row r="205" spans="2:28" x14ac:dyDescent="0.3">
      <c r="B205" s="61" t="s">
        <v>224</v>
      </c>
      <c r="C205" s="61" t="s">
        <v>185</v>
      </c>
      <c r="D205" s="61" t="s">
        <v>123</v>
      </c>
      <c r="E205" s="61" t="s">
        <v>198</v>
      </c>
      <c r="F205" s="61" t="s">
        <v>93</v>
      </c>
      <c r="G205" s="62">
        <v>0</v>
      </c>
      <c r="H205" s="61">
        <v>0</v>
      </c>
      <c r="I205" s="61">
        <v>0</v>
      </c>
      <c r="J205" s="61" t="e">
        <v>#N/A</v>
      </c>
      <c r="K205" s="70">
        <v>0</v>
      </c>
      <c r="L205" s="70">
        <v>0</v>
      </c>
      <c r="M205" s="70">
        <v>0</v>
      </c>
      <c r="N205" s="70">
        <v>0</v>
      </c>
      <c r="O205" s="70">
        <v>0</v>
      </c>
      <c r="P205" s="70">
        <v>0</v>
      </c>
      <c r="Q205" s="70">
        <v>0</v>
      </c>
      <c r="R205" s="70">
        <v>0</v>
      </c>
      <c r="S205" s="70">
        <v>0</v>
      </c>
      <c r="T205" s="70">
        <v>0</v>
      </c>
      <c r="U205" s="70">
        <v>0</v>
      </c>
      <c r="V205" s="70">
        <v>0</v>
      </c>
      <c r="W205" s="70">
        <v>0</v>
      </c>
      <c r="X205" s="70">
        <v>0</v>
      </c>
      <c r="Y205" s="70">
        <v>0</v>
      </c>
      <c r="Z205" s="61">
        <v>0</v>
      </c>
      <c r="AA205" s="68">
        <v>0</v>
      </c>
      <c r="AB205" s="69">
        <v>0</v>
      </c>
    </row>
    <row r="206" spans="2:28" x14ac:dyDescent="0.3">
      <c r="B206" s="61" t="s">
        <v>224</v>
      </c>
      <c r="C206" s="61" t="s">
        <v>185</v>
      </c>
      <c r="D206" s="61" t="s">
        <v>123</v>
      </c>
      <c r="E206" s="61" t="s">
        <v>198</v>
      </c>
      <c r="F206" s="61" t="s">
        <v>94</v>
      </c>
      <c r="G206" s="62">
        <v>0</v>
      </c>
      <c r="H206" s="61">
        <v>0</v>
      </c>
      <c r="I206" s="61">
        <v>0</v>
      </c>
      <c r="J206" s="61" t="e">
        <v>#N/A</v>
      </c>
      <c r="K206" s="70">
        <v>0</v>
      </c>
      <c r="L206" s="70">
        <v>0</v>
      </c>
      <c r="M206" s="70">
        <v>0</v>
      </c>
      <c r="N206" s="70">
        <v>0</v>
      </c>
      <c r="O206" s="70">
        <v>0</v>
      </c>
      <c r="P206" s="70">
        <v>0</v>
      </c>
      <c r="Q206" s="70">
        <v>0</v>
      </c>
      <c r="R206" s="70">
        <v>0</v>
      </c>
      <c r="S206" s="70">
        <v>0</v>
      </c>
      <c r="T206" s="70">
        <v>0</v>
      </c>
      <c r="U206" s="70">
        <v>0</v>
      </c>
      <c r="V206" s="70">
        <v>0</v>
      </c>
      <c r="W206" s="70">
        <v>0</v>
      </c>
      <c r="X206" s="70">
        <v>0</v>
      </c>
      <c r="Y206" s="70">
        <v>0</v>
      </c>
      <c r="Z206" s="61">
        <v>0</v>
      </c>
      <c r="AA206" s="68">
        <v>0</v>
      </c>
      <c r="AB206" s="69">
        <v>0</v>
      </c>
    </row>
    <row r="207" spans="2:28" x14ac:dyDescent="0.3">
      <c r="B207" s="61" t="s">
        <v>224</v>
      </c>
      <c r="C207" s="61" t="s">
        <v>185</v>
      </c>
      <c r="D207" s="61" t="s">
        <v>123</v>
      </c>
      <c r="E207" s="61" t="s">
        <v>199</v>
      </c>
      <c r="F207" s="61" t="s">
        <v>93</v>
      </c>
      <c r="G207" s="62">
        <v>0</v>
      </c>
      <c r="H207" s="61">
        <v>0</v>
      </c>
      <c r="I207" s="61">
        <v>0</v>
      </c>
      <c r="J207" s="61" t="e">
        <v>#N/A</v>
      </c>
      <c r="K207" s="70">
        <v>0</v>
      </c>
      <c r="L207" s="70">
        <v>0</v>
      </c>
      <c r="M207" s="70">
        <v>0</v>
      </c>
      <c r="N207" s="70">
        <v>0</v>
      </c>
      <c r="O207" s="70">
        <v>0</v>
      </c>
      <c r="P207" s="70">
        <v>0</v>
      </c>
      <c r="Q207" s="70">
        <v>0</v>
      </c>
      <c r="R207" s="70">
        <v>0</v>
      </c>
      <c r="S207" s="70">
        <v>0</v>
      </c>
      <c r="T207" s="70">
        <v>0</v>
      </c>
      <c r="U207" s="70">
        <v>0</v>
      </c>
      <c r="V207" s="70">
        <v>0</v>
      </c>
      <c r="W207" s="70">
        <v>0</v>
      </c>
      <c r="X207" s="70">
        <v>0</v>
      </c>
      <c r="Y207" s="70">
        <v>0</v>
      </c>
      <c r="Z207" s="61">
        <v>0</v>
      </c>
      <c r="AA207" s="68">
        <v>0</v>
      </c>
      <c r="AB207" s="69">
        <v>0</v>
      </c>
    </row>
    <row r="208" spans="2:28" x14ac:dyDescent="0.3">
      <c r="B208" s="61" t="s">
        <v>224</v>
      </c>
      <c r="C208" s="61" t="s">
        <v>185</v>
      </c>
      <c r="D208" s="61" t="s">
        <v>123</v>
      </c>
      <c r="E208" s="61" t="s">
        <v>199</v>
      </c>
      <c r="F208" s="61" t="s">
        <v>94</v>
      </c>
      <c r="G208" s="62">
        <v>0</v>
      </c>
      <c r="H208" s="61">
        <v>0</v>
      </c>
      <c r="I208" s="61">
        <v>0</v>
      </c>
      <c r="J208" s="61" t="e">
        <v>#N/A</v>
      </c>
      <c r="K208" s="70">
        <v>0</v>
      </c>
      <c r="L208" s="70">
        <v>0</v>
      </c>
      <c r="M208" s="70">
        <v>0</v>
      </c>
      <c r="N208" s="70">
        <v>0</v>
      </c>
      <c r="O208" s="70">
        <v>0</v>
      </c>
      <c r="P208" s="70">
        <v>0</v>
      </c>
      <c r="Q208" s="70">
        <v>0</v>
      </c>
      <c r="R208" s="70">
        <v>0</v>
      </c>
      <c r="S208" s="70">
        <v>0</v>
      </c>
      <c r="T208" s="70">
        <v>0</v>
      </c>
      <c r="U208" s="70">
        <v>0</v>
      </c>
      <c r="V208" s="70">
        <v>0</v>
      </c>
      <c r="W208" s="70">
        <v>0</v>
      </c>
      <c r="X208" s="70">
        <v>0</v>
      </c>
      <c r="Y208" s="70">
        <v>0</v>
      </c>
      <c r="Z208" s="61">
        <v>0</v>
      </c>
      <c r="AA208" s="68">
        <v>0</v>
      </c>
      <c r="AB208" s="69">
        <v>0</v>
      </c>
    </row>
    <row r="209" spans="2:28" x14ac:dyDescent="0.3">
      <c r="B209" s="61" t="s">
        <v>225</v>
      </c>
      <c r="C209" s="61" t="s">
        <v>185</v>
      </c>
      <c r="D209" s="61" t="s">
        <v>121</v>
      </c>
      <c r="E209" s="61" t="s">
        <v>186</v>
      </c>
      <c r="F209" s="61" t="s">
        <v>93</v>
      </c>
      <c r="G209" s="62">
        <v>1</v>
      </c>
      <c r="H209" s="61">
        <v>2</v>
      </c>
      <c r="I209" s="61" t="s">
        <v>214</v>
      </c>
      <c r="J209" s="61" t="s">
        <v>215</v>
      </c>
      <c r="K209" s="67">
        <v>2.01E-2</v>
      </c>
      <c r="L209" s="67">
        <v>2.01E-2</v>
      </c>
      <c r="M209" s="67">
        <v>2.01E-2</v>
      </c>
      <c r="N209" s="67">
        <v>2.01E-2</v>
      </c>
      <c r="O209" s="67">
        <v>2.01E-2</v>
      </c>
      <c r="P209" s="67">
        <v>2.01E-2</v>
      </c>
      <c r="Q209" s="67">
        <v>2.01E-2</v>
      </c>
      <c r="R209" s="67">
        <v>2.01E-2</v>
      </c>
      <c r="S209" s="67">
        <v>2.01E-2</v>
      </c>
      <c r="T209" s="67">
        <v>2.01E-2</v>
      </c>
      <c r="U209" s="67">
        <v>2.01E-2</v>
      </c>
      <c r="V209" s="67">
        <v>2.01E-2</v>
      </c>
      <c r="W209" s="67">
        <v>2.01E-2</v>
      </c>
      <c r="X209" s="67">
        <v>2.01E-2</v>
      </c>
      <c r="Y209" s="67">
        <v>2.01E-2</v>
      </c>
      <c r="Z209" s="61" t="s">
        <v>216</v>
      </c>
      <c r="AA209" s="68">
        <v>9.4634758781507889E-4</v>
      </c>
      <c r="AB209" s="69">
        <v>1.260997392571049E-4</v>
      </c>
    </row>
    <row r="210" spans="2:28" x14ac:dyDescent="0.3">
      <c r="B210" s="61" t="s">
        <v>225</v>
      </c>
      <c r="C210" s="61" t="s">
        <v>185</v>
      </c>
      <c r="D210" s="61" t="s">
        <v>121</v>
      </c>
      <c r="E210" s="61" t="s">
        <v>186</v>
      </c>
      <c r="F210" s="61" t="s">
        <v>94</v>
      </c>
      <c r="G210" s="62">
        <v>1</v>
      </c>
      <c r="H210" s="61">
        <v>2</v>
      </c>
      <c r="I210" s="61" t="s">
        <v>218</v>
      </c>
      <c r="J210" s="61" t="s">
        <v>215</v>
      </c>
      <c r="K210" s="67">
        <v>1.3400000000000002E-2</v>
      </c>
      <c r="L210" s="67">
        <v>1.3400000000000002E-2</v>
      </c>
      <c r="M210" s="67">
        <v>1.3400000000000002E-2</v>
      </c>
      <c r="N210" s="67">
        <v>1.3400000000000002E-2</v>
      </c>
      <c r="O210" s="67">
        <v>1.3400000000000002E-2</v>
      </c>
      <c r="P210" s="67">
        <v>1.3400000000000002E-2</v>
      </c>
      <c r="Q210" s="67">
        <v>1.3400000000000002E-2</v>
      </c>
      <c r="R210" s="67">
        <v>1.3400000000000002E-2</v>
      </c>
      <c r="S210" s="67">
        <v>1.3400000000000002E-2</v>
      </c>
      <c r="T210" s="67">
        <v>1.3400000000000002E-2</v>
      </c>
      <c r="U210" s="67">
        <v>1.3400000000000002E-2</v>
      </c>
      <c r="V210" s="67">
        <v>1.3400000000000002E-2</v>
      </c>
      <c r="W210" s="67">
        <v>1.3400000000000002E-2</v>
      </c>
      <c r="X210" s="67">
        <v>1.3400000000000002E-2</v>
      </c>
      <c r="Y210" s="67">
        <v>1.3400000000000002E-2</v>
      </c>
      <c r="Z210" s="61" t="s">
        <v>216</v>
      </c>
      <c r="AA210" s="68">
        <v>1.023756435749126E-3</v>
      </c>
      <c r="AB210" s="69">
        <v>1.260997392571049E-4</v>
      </c>
    </row>
    <row r="211" spans="2:28" x14ac:dyDescent="0.3">
      <c r="B211" s="61" t="s">
        <v>225</v>
      </c>
      <c r="C211" s="61" t="s">
        <v>185</v>
      </c>
      <c r="D211" s="61" t="s">
        <v>121</v>
      </c>
      <c r="E211" s="61" t="s">
        <v>189</v>
      </c>
      <c r="F211" s="61" t="s">
        <v>93</v>
      </c>
      <c r="G211" s="62">
        <v>0</v>
      </c>
      <c r="H211" s="61">
        <v>0</v>
      </c>
      <c r="I211" s="61">
        <v>0</v>
      </c>
      <c r="J211" s="61" t="e">
        <v>#N/A</v>
      </c>
      <c r="K211" s="70">
        <v>0</v>
      </c>
      <c r="L211" s="70">
        <v>0</v>
      </c>
      <c r="M211" s="70">
        <v>0</v>
      </c>
      <c r="N211" s="70">
        <v>0</v>
      </c>
      <c r="O211" s="70">
        <v>0</v>
      </c>
      <c r="P211" s="70">
        <v>0</v>
      </c>
      <c r="Q211" s="70">
        <v>0</v>
      </c>
      <c r="R211" s="70">
        <v>0</v>
      </c>
      <c r="S211" s="70">
        <v>0</v>
      </c>
      <c r="T211" s="70">
        <v>0</v>
      </c>
      <c r="U211" s="70">
        <v>0</v>
      </c>
      <c r="V211" s="70">
        <v>0</v>
      </c>
      <c r="W211" s="70">
        <v>0</v>
      </c>
      <c r="X211" s="70">
        <v>0</v>
      </c>
      <c r="Y211" s="70">
        <v>0</v>
      </c>
      <c r="Z211" s="61">
        <v>0</v>
      </c>
      <c r="AA211" s="68">
        <v>0</v>
      </c>
      <c r="AB211" s="69">
        <v>0</v>
      </c>
    </row>
    <row r="212" spans="2:28" x14ac:dyDescent="0.3">
      <c r="B212" s="61" t="s">
        <v>225</v>
      </c>
      <c r="C212" s="61" t="s">
        <v>185</v>
      </c>
      <c r="D212" s="61" t="s">
        <v>121</v>
      </c>
      <c r="E212" s="61" t="s">
        <v>189</v>
      </c>
      <c r="F212" s="61" t="s">
        <v>94</v>
      </c>
      <c r="G212" s="62">
        <v>0</v>
      </c>
      <c r="H212" s="61">
        <v>0</v>
      </c>
      <c r="I212" s="61">
        <v>0</v>
      </c>
      <c r="J212" s="61" t="e">
        <v>#N/A</v>
      </c>
      <c r="K212" s="70">
        <v>0</v>
      </c>
      <c r="L212" s="70">
        <v>0</v>
      </c>
      <c r="M212" s="70">
        <v>0</v>
      </c>
      <c r="N212" s="70">
        <v>0</v>
      </c>
      <c r="O212" s="70">
        <v>0</v>
      </c>
      <c r="P212" s="70">
        <v>0</v>
      </c>
      <c r="Q212" s="70">
        <v>0</v>
      </c>
      <c r="R212" s="70">
        <v>0</v>
      </c>
      <c r="S212" s="70">
        <v>0</v>
      </c>
      <c r="T212" s="70">
        <v>0</v>
      </c>
      <c r="U212" s="70">
        <v>0</v>
      </c>
      <c r="V212" s="70">
        <v>0</v>
      </c>
      <c r="W212" s="70">
        <v>0</v>
      </c>
      <c r="X212" s="70">
        <v>0</v>
      </c>
      <c r="Y212" s="70">
        <v>0</v>
      </c>
      <c r="Z212" s="61">
        <v>0</v>
      </c>
      <c r="AA212" s="68">
        <v>0</v>
      </c>
      <c r="AB212" s="69">
        <v>0</v>
      </c>
    </row>
    <row r="213" spans="2:28" x14ac:dyDescent="0.3">
      <c r="B213" s="61" t="s">
        <v>225</v>
      </c>
      <c r="C213" s="61" t="s">
        <v>185</v>
      </c>
      <c r="D213" s="61" t="s">
        <v>121</v>
      </c>
      <c r="E213" s="61" t="s">
        <v>190</v>
      </c>
      <c r="F213" s="61" t="s">
        <v>93</v>
      </c>
      <c r="G213" s="62">
        <v>0.69</v>
      </c>
      <c r="H213" s="61">
        <v>2</v>
      </c>
      <c r="I213" s="61" t="s">
        <v>214</v>
      </c>
      <c r="J213" s="61" t="s">
        <v>215</v>
      </c>
      <c r="K213" s="67">
        <v>1.35E-2</v>
      </c>
      <c r="L213" s="67">
        <v>1.35E-2</v>
      </c>
      <c r="M213" s="67">
        <v>1.35E-2</v>
      </c>
      <c r="N213" s="67">
        <v>1.35E-2</v>
      </c>
      <c r="O213" s="67">
        <v>1.35E-2</v>
      </c>
      <c r="P213" s="67">
        <v>1.35E-2</v>
      </c>
      <c r="Q213" s="67">
        <v>1.35E-2</v>
      </c>
      <c r="R213" s="67">
        <v>1.35E-2</v>
      </c>
      <c r="S213" s="67">
        <v>1.35E-2</v>
      </c>
      <c r="T213" s="67">
        <v>1.35E-2</v>
      </c>
      <c r="U213" s="67">
        <v>1.35E-2</v>
      </c>
      <c r="V213" s="67">
        <v>1.35E-2</v>
      </c>
      <c r="W213" s="67">
        <v>1.35E-2</v>
      </c>
      <c r="X213" s="67">
        <v>1.35E-2</v>
      </c>
      <c r="Y213" s="67">
        <v>1.35E-2</v>
      </c>
      <c r="Z213" s="61" t="s">
        <v>216</v>
      </c>
      <c r="AA213" s="68">
        <v>9.4634758781507889E-4</v>
      </c>
      <c r="AB213" s="69">
        <v>1.260997392571049E-4</v>
      </c>
    </row>
    <row r="214" spans="2:28" x14ac:dyDescent="0.3">
      <c r="B214" s="61" t="s">
        <v>225</v>
      </c>
      <c r="C214" s="61" t="s">
        <v>185</v>
      </c>
      <c r="D214" s="61" t="s">
        <v>121</v>
      </c>
      <c r="E214" s="61" t="s">
        <v>190</v>
      </c>
      <c r="F214" s="61" t="s">
        <v>94</v>
      </c>
      <c r="G214" s="62">
        <v>0.82599999999999996</v>
      </c>
      <c r="H214" s="61">
        <v>2</v>
      </c>
      <c r="I214" s="61" t="s">
        <v>218</v>
      </c>
      <c r="J214" s="61" t="s">
        <v>215</v>
      </c>
      <c r="K214" s="67">
        <v>8.9999999999999993E-3</v>
      </c>
      <c r="L214" s="67">
        <v>8.9999999999999993E-3</v>
      </c>
      <c r="M214" s="67">
        <v>8.9999999999999993E-3</v>
      </c>
      <c r="N214" s="67">
        <v>8.9999999999999993E-3</v>
      </c>
      <c r="O214" s="67">
        <v>8.9999999999999993E-3</v>
      </c>
      <c r="P214" s="67">
        <v>8.9999999999999993E-3</v>
      </c>
      <c r="Q214" s="67">
        <v>8.9999999999999993E-3</v>
      </c>
      <c r="R214" s="67">
        <v>8.9999999999999993E-3</v>
      </c>
      <c r="S214" s="67">
        <v>8.9999999999999993E-3</v>
      </c>
      <c r="T214" s="67">
        <v>8.9999999999999993E-3</v>
      </c>
      <c r="U214" s="67">
        <v>8.9999999999999993E-3</v>
      </c>
      <c r="V214" s="67">
        <v>8.9999999999999993E-3</v>
      </c>
      <c r="W214" s="67">
        <v>8.9999999999999993E-3</v>
      </c>
      <c r="X214" s="67">
        <v>8.9999999999999993E-3</v>
      </c>
      <c r="Y214" s="67">
        <v>8.9999999999999993E-3</v>
      </c>
      <c r="Z214" s="61" t="s">
        <v>216</v>
      </c>
      <c r="AA214" s="68">
        <v>1.023756435749126E-3</v>
      </c>
      <c r="AB214" s="69">
        <v>1.260997392571049E-4</v>
      </c>
    </row>
    <row r="215" spans="2:28" x14ac:dyDescent="0.3">
      <c r="B215" s="61" t="s">
        <v>225</v>
      </c>
      <c r="C215" s="61" t="s">
        <v>185</v>
      </c>
      <c r="D215" s="61" t="s">
        <v>121</v>
      </c>
      <c r="E215" s="61" t="s">
        <v>191</v>
      </c>
      <c r="F215" s="61" t="s">
        <v>93</v>
      </c>
      <c r="G215" s="62">
        <v>1</v>
      </c>
      <c r="H215" s="61">
        <v>2</v>
      </c>
      <c r="I215" s="61" t="s">
        <v>214</v>
      </c>
      <c r="J215" s="61" t="s">
        <v>215</v>
      </c>
      <c r="K215" s="67">
        <v>1.0500000000000001E-2</v>
      </c>
      <c r="L215" s="67">
        <v>1.0500000000000001E-2</v>
      </c>
      <c r="M215" s="67">
        <v>1.0500000000000001E-2</v>
      </c>
      <c r="N215" s="67">
        <v>1.0500000000000001E-2</v>
      </c>
      <c r="O215" s="67">
        <v>1.0500000000000001E-2</v>
      </c>
      <c r="P215" s="67">
        <v>1.0500000000000001E-2</v>
      </c>
      <c r="Q215" s="67">
        <v>1.0500000000000001E-2</v>
      </c>
      <c r="R215" s="67">
        <v>1.0500000000000001E-2</v>
      </c>
      <c r="S215" s="67">
        <v>1.0500000000000001E-2</v>
      </c>
      <c r="T215" s="67">
        <v>1.0500000000000001E-2</v>
      </c>
      <c r="U215" s="67">
        <v>1.0500000000000001E-2</v>
      </c>
      <c r="V215" s="67">
        <v>1.0500000000000001E-2</v>
      </c>
      <c r="W215" s="67">
        <v>1.0500000000000001E-2</v>
      </c>
      <c r="X215" s="67">
        <v>1.0500000000000001E-2</v>
      </c>
      <c r="Y215" s="67">
        <v>1.0500000000000001E-2</v>
      </c>
      <c r="Z215" s="61" t="s">
        <v>216</v>
      </c>
      <c r="AA215" s="68">
        <v>9.4634758781507889E-4</v>
      </c>
      <c r="AB215" s="69">
        <v>1.260997392571049E-4</v>
      </c>
    </row>
    <row r="216" spans="2:28" x14ac:dyDescent="0.3">
      <c r="B216" s="61" t="s">
        <v>225</v>
      </c>
      <c r="C216" s="61" t="s">
        <v>185</v>
      </c>
      <c r="D216" s="61" t="s">
        <v>121</v>
      </c>
      <c r="E216" s="61" t="s">
        <v>191</v>
      </c>
      <c r="F216" s="61" t="s">
        <v>94</v>
      </c>
      <c r="G216" s="62">
        <v>1</v>
      </c>
      <c r="H216" s="61">
        <v>2</v>
      </c>
      <c r="I216" s="61" t="s">
        <v>218</v>
      </c>
      <c r="J216" s="61" t="s">
        <v>215</v>
      </c>
      <c r="K216" s="67">
        <v>7.000000000000001E-3</v>
      </c>
      <c r="L216" s="67">
        <v>7.000000000000001E-3</v>
      </c>
      <c r="M216" s="67">
        <v>7.000000000000001E-3</v>
      </c>
      <c r="N216" s="67">
        <v>7.000000000000001E-3</v>
      </c>
      <c r="O216" s="67">
        <v>7.000000000000001E-3</v>
      </c>
      <c r="P216" s="67">
        <v>7.000000000000001E-3</v>
      </c>
      <c r="Q216" s="67">
        <v>7.000000000000001E-3</v>
      </c>
      <c r="R216" s="67">
        <v>7.000000000000001E-3</v>
      </c>
      <c r="S216" s="67">
        <v>7.000000000000001E-3</v>
      </c>
      <c r="T216" s="67">
        <v>7.000000000000001E-3</v>
      </c>
      <c r="U216" s="67">
        <v>7.000000000000001E-3</v>
      </c>
      <c r="V216" s="67">
        <v>7.000000000000001E-3</v>
      </c>
      <c r="W216" s="67">
        <v>7.000000000000001E-3</v>
      </c>
      <c r="X216" s="67">
        <v>7.000000000000001E-3</v>
      </c>
      <c r="Y216" s="67">
        <v>7.000000000000001E-3</v>
      </c>
      <c r="Z216" s="61" t="s">
        <v>216</v>
      </c>
      <c r="AA216" s="68">
        <v>1.023756435749126E-3</v>
      </c>
      <c r="AB216" s="69">
        <v>1.260997392571049E-4</v>
      </c>
    </row>
    <row r="217" spans="2:28" x14ac:dyDescent="0.3">
      <c r="B217" s="61" t="s">
        <v>225</v>
      </c>
      <c r="C217" s="61" t="s">
        <v>185</v>
      </c>
      <c r="D217" s="61" t="s">
        <v>121</v>
      </c>
      <c r="E217" s="61" t="s">
        <v>192</v>
      </c>
      <c r="F217" s="61" t="s">
        <v>93</v>
      </c>
      <c r="G217" s="62">
        <v>1</v>
      </c>
      <c r="H217" s="61">
        <v>2</v>
      </c>
      <c r="I217" s="61" t="s">
        <v>214</v>
      </c>
      <c r="J217" s="61" t="s">
        <v>215</v>
      </c>
      <c r="K217" s="67">
        <v>2.24E-2</v>
      </c>
      <c r="L217" s="67">
        <v>2.24E-2</v>
      </c>
      <c r="M217" s="67">
        <v>2.24E-2</v>
      </c>
      <c r="N217" s="67">
        <v>2.24E-2</v>
      </c>
      <c r="O217" s="67">
        <v>2.24E-2</v>
      </c>
      <c r="P217" s="67">
        <v>2.24E-2</v>
      </c>
      <c r="Q217" s="67">
        <v>2.24E-2</v>
      </c>
      <c r="R217" s="67">
        <v>2.24E-2</v>
      </c>
      <c r="S217" s="67">
        <v>2.24E-2</v>
      </c>
      <c r="T217" s="67">
        <v>2.24E-2</v>
      </c>
      <c r="U217" s="67">
        <v>2.24E-2</v>
      </c>
      <c r="V217" s="67">
        <v>2.24E-2</v>
      </c>
      <c r="W217" s="67">
        <v>2.24E-2</v>
      </c>
      <c r="X217" s="67">
        <v>2.24E-2</v>
      </c>
      <c r="Y217" s="67">
        <v>2.24E-2</v>
      </c>
      <c r="Z217" s="61" t="s">
        <v>216</v>
      </c>
      <c r="AA217" s="68">
        <v>9.4634758781507889E-4</v>
      </c>
      <c r="AB217" s="69">
        <v>1.260997392571049E-4</v>
      </c>
    </row>
    <row r="218" spans="2:28" x14ac:dyDescent="0.3">
      <c r="B218" s="61" t="s">
        <v>225</v>
      </c>
      <c r="C218" s="61" t="s">
        <v>185</v>
      </c>
      <c r="D218" s="61" t="s">
        <v>121</v>
      </c>
      <c r="E218" s="61" t="s">
        <v>192</v>
      </c>
      <c r="F218" s="61" t="s">
        <v>94</v>
      </c>
      <c r="G218" s="62">
        <v>1</v>
      </c>
      <c r="H218" s="61">
        <v>2</v>
      </c>
      <c r="I218" s="61" t="s">
        <v>218</v>
      </c>
      <c r="J218" s="61" t="s">
        <v>215</v>
      </c>
      <c r="K218" s="67">
        <v>9.5999999999999992E-3</v>
      </c>
      <c r="L218" s="67">
        <v>9.5999999999999992E-3</v>
      </c>
      <c r="M218" s="67">
        <v>9.5999999999999992E-3</v>
      </c>
      <c r="N218" s="67">
        <v>9.5999999999999992E-3</v>
      </c>
      <c r="O218" s="67">
        <v>9.5999999999999992E-3</v>
      </c>
      <c r="P218" s="67">
        <v>9.5999999999999992E-3</v>
      </c>
      <c r="Q218" s="67">
        <v>9.5999999999999992E-3</v>
      </c>
      <c r="R218" s="67">
        <v>9.5999999999999992E-3</v>
      </c>
      <c r="S218" s="67">
        <v>9.5999999999999992E-3</v>
      </c>
      <c r="T218" s="67">
        <v>9.5999999999999992E-3</v>
      </c>
      <c r="U218" s="67">
        <v>9.5999999999999992E-3</v>
      </c>
      <c r="V218" s="67">
        <v>9.5999999999999992E-3</v>
      </c>
      <c r="W218" s="67">
        <v>9.5999999999999992E-3</v>
      </c>
      <c r="X218" s="67">
        <v>9.5999999999999992E-3</v>
      </c>
      <c r="Y218" s="67">
        <v>9.5999999999999992E-3</v>
      </c>
      <c r="Z218" s="61" t="s">
        <v>216</v>
      </c>
      <c r="AA218" s="68">
        <v>1.023756435749126E-3</v>
      </c>
      <c r="AB218" s="69">
        <v>1.260997392571049E-4</v>
      </c>
    </row>
    <row r="219" spans="2:28" x14ac:dyDescent="0.3">
      <c r="B219" s="61" t="s">
        <v>225</v>
      </c>
      <c r="C219" s="61" t="s">
        <v>185</v>
      </c>
      <c r="D219" s="61" t="s">
        <v>121</v>
      </c>
      <c r="E219" s="61" t="s">
        <v>193</v>
      </c>
      <c r="F219" s="61" t="s">
        <v>93</v>
      </c>
      <c r="G219" s="62">
        <v>0</v>
      </c>
      <c r="H219" s="61">
        <v>0</v>
      </c>
      <c r="I219" s="61">
        <v>0</v>
      </c>
      <c r="J219" s="61" t="e">
        <v>#N/A</v>
      </c>
      <c r="K219" s="70">
        <v>0</v>
      </c>
      <c r="L219" s="70">
        <v>0</v>
      </c>
      <c r="M219" s="70">
        <v>0</v>
      </c>
      <c r="N219" s="70">
        <v>0</v>
      </c>
      <c r="O219" s="70">
        <v>0</v>
      </c>
      <c r="P219" s="70">
        <v>0</v>
      </c>
      <c r="Q219" s="70">
        <v>0</v>
      </c>
      <c r="R219" s="70">
        <v>0</v>
      </c>
      <c r="S219" s="70">
        <v>0</v>
      </c>
      <c r="T219" s="70">
        <v>0</v>
      </c>
      <c r="U219" s="70">
        <v>0</v>
      </c>
      <c r="V219" s="70">
        <v>0</v>
      </c>
      <c r="W219" s="70">
        <v>0</v>
      </c>
      <c r="X219" s="70">
        <v>0</v>
      </c>
      <c r="Y219" s="70">
        <v>0</v>
      </c>
      <c r="Z219" s="61">
        <v>0</v>
      </c>
      <c r="AA219" s="68">
        <v>0</v>
      </c>
      <c r="AB219" s="69">
        <v>0</v>
      </c>
    </row>
    <row r="220" spans="2:28" x14ac:dyDescent="0.3">
      <c r="B220" s="61" t="s">
        <v>225</v>
      </c>
      <c r="C220" s="61" t="s">
        <v>185</v>
      </c>
      <c r="D220" s="61" t="s">
        <v>121</v>
      </c>
      <c r="E220" s="61" t="s">
        <v>193</v>
      </c>
      <c r="F220" s="61" t="s">
        <v>94</v>
      </c>
      <c r="G220" s="62">
        <v>0</v>
      </c>
      <c r="H220" s="61">
        <v>0</v>
      </c>
      <c r="I220" s="61">
        <v>0</v>
      </c>
      <c r="J220" s="61" t="e">
        <v>#N/A</v>
      </c>
      <c r="K220" s="70">
        <v>0</v>
      </c>
      <c r="L220" s="70">
        <v>0</v>
      </c>
      <c r="M220" s="70">
        <v>0</v>
      </c>
      <c r="N220" s="70">
        <v>0</v>
      </c>
      <c r="O220" s="70">
        <v>0</v>
      </c>
      <c r="P220" s="70">
        <v>0</v>
      </c>
      <c r="Q220" s="70">
        <v>0</v>
      </c>
      <c r="R220" s="70">
        <v>0</v>
      </c>
      <c r="S220" s="70">
        <v>0</v>
      </c>
      <c r="T220" s="70">
        <v>0</v>
      </c>
      <c r="U220" s="70">
        <v>0</v>
      </c>
      <c r="V220" s="70">
        <v>0</v>
      </c>
      <c r="W220" s="70">
        <v>0</v>
      </c>
      <c r="X220" s="70">
        <v>0</v>
      </c>
      <c r="Y220" s="70">
        <v>0</v>
      </c>
      <c r="Z220" s="61">
        <v>0</v>
      </c>
      <c r="AA220" s="68">
        <v>0</v>
      </c>
      <c r="AB220" s="69">
        <v>0</v>
      </c>
    </row>
    <row r="221" spans="2:28" x14ac:dyDescent="0.3">
      <c r="B221" s="61" t="s">
        <v>225</v>
      </c>
      <c r="C221" s="61" t="s">
        <v>185</v>
      </c>
      <c r="D221" s="61" t="s">
        <v>121</v>
      </c>
      <c r="E221" s="61" t="s">
        <v>194</v>
      </c>
      <c r="F221" s="61" t="s">
        <v>93</v>
      </c>
      <c r="G221" s="62">
        <v>0</v>
      </c>
      <c r="H221" s="61">
        <v>0</v>
      </c>
      <c r="I221" s="61">
        <v>0</v>
      </c>
      <c r="J221" s="61" t="e">
        <v>#N/A</v>
      </c>
      <c r="K221" s="70">
        <v>0</v>
      </c>
      <c r="L221" s="70">
        <v>0</v>
      </c>
      <c r="M221" s="70">
        <v>0</v>
      </c>
      <c r="N221" s="70">
        <v>0</v>
      </c>
      <c r="O221" s="70">
        <v>0</v>
      </c>
      <c r="P221" s="70">
        <v>0</v>
      </c>
      <c r="Q221" s="70">
        <v>0</v>
      </c>
      <c r="R221" s="70">
        <v>0</v>
      </c>
      <c r="S221" s="70">
        <v>0</v>
      </c>
      <c r="T221" s="70">
        <v>0</v>
      </c>
      <c r="U221" s="70">
        <v>0</v>
      </c>
      <c r="V221" s="70">
        <v>0</v>
      </c>
      <c r="W221" s="70">
        <v>0</v>
      </c>
      <c r="X221" s="70">
        <v>0</v>
      </c>
      <c r="Y221" s="70">
        <v>0</v>
      </c>
      <c r="Z221" s="61">
        <v>0</v>
      </c>
      <c r="AA221" s="68">
        <v>0</v>
      </c>
      <c r="AB221" s="69">
        <v>0</v>
      </c>
    </row>
    <row r="222" spans="2:28" x14ac:dyDescent="0.3">
      <c r="B222" s="61" t="s">
        <v>225</v>
      </c>
      <c r="C222" s="61" t="s">
        <v>185</v>
      </c>
      <c r="D222" s="61" t="s">
        <v>121</v>
      </c>
      <c r="E222" s="61" t="s">
        <v>194</v>
      </c>
      <c r="F222" s="61" t="s">
        <v>94</v>
      </c>
      <c r="G222" s="62">
        <v>0</v>
      </c>
      <c r="H222" s="61">
        <v>0</v>
      </c>
      <c r="I222" s="61">
        <v>0</v>
      </c>
      <c r="J222" s="61" t="e">
        <v>#N/A</v>
      </c>
      <c r="K222" s="70">
        <v>0</v>
      </c>
      <c r="L222" s="70">
        <v>0</v>
      </c>
      <c r="M222" s="70">
        <v>0</v>
      </c>
      <c r="N222" s="70">
        <v>0</v>
      </c>
      <c r="O222" s="70">
        <v>0</v>
      </c>
      <c r="P222" s="70">
        <v>0</v>
      </c>
      <c r="Q222" s="70">
        <v>0</v>
      </c>
      <c r="R222" s="70">
        <v>0</v>
      </c>
      <c r="S222" s="70">
        <v>0</v>
      </c>
      <c r="T222" s="70">
        <v>0</v>
      </c>
      <c r="U222" s="70">
        <v>0</v>
      </c>
      <c r="V222" s="70">
        <v>0</v>
      </c>
      <c r="W222" s="70">
        <v>0</v>
      </c>
      <c r="X222" s="70">
        <v>0</v>
      </c>
      <c r="Y222" s="70">
        <v>0</v>
      </c>
      <c r="Z222" s="61">
        <v>0</v>
      </c>
      <c r="AA222" s="68">
        <v>0</v>
      </c>
      <c r="AB222" s="69">
        <v>0</v>
      </c>
    </row>
    <row r="223" spans="2:28" x14ac:dyDescent="0.3">
      <c r="B223" s="61" t="s">
        <v>225</v>
      </c>
      <c r="C223" s="61" t="s">
        <v>185</v>
      </c>
      <c r="D223" s="61" t="s">
        <v>121</v>
      </c>
      <c r="E223" s="61" t="s">
        <v>195</v>
      </c>
      <c r="F223" s="61" t="s">
        <v>93</v>
      </c>
      <c r="G223" s="62">
        <v>0</v>
      </c>
      <c r="H223" s="61">
        <v>0</v>
      </c>
      <c r="I223" s="61">
        <v>0</v>
      </c>
      <c r="J223" s="61" t="e">
        <v>#N/A</v>
      </c>
      <c r="K223" s="70">
        <v>0</v>
      </c>
      <c r="L223" s="70">
        <v>0</v>
      </c>
      <c r="M223" s="70">
        <v>0</v>
      </c>
      <c r="N223" s="70">
        <v>0</v>
      </c>
      <c r="O223" s="70">
        <v>0</v>
      </c>
      <c r="P223" s="70">
        <v>0</v>
      </c>
      <c r="Q223" s="70">
        <v>0</v>
      </c>
      <c r="R223" s="70">
        <v>0</v>
      </c>
      <c r="S223" s="70">
        <v>0</v>
      </c>
      <c r="T223" s="70">
        <v>0</v>
      </c>
      <c r="U223" s="70">
        <v>0</v>
      </c>
      <c r="V223" s="70">
        <v>0</v>
      </c>
      <c r="W223" s="70">
        <v>0</v>
      </c>
      <c r="X223" s="70">
        <v>0</v>
      </c>
      <c r="Y223" s="70">
        <v>0</v>
      </c>
      <c r="Z223" s="61">
        <v>0</v>
      </c>
      <c r="AA223" s="68">
        <v>0</v>
      </c>
      <c r="AB223" s="69">
        <v>0</v>
      </c>
    </row>
    <row r="224" spans="2:28" x14ac:dyDescent="0.3">
      <c r="B224" s="61" t="s">
        <v>225</v>
      </c>
      <c r="C224" s="61" t="s">
        <v>185</v>
      </c>
      <c r="D224" s="61" t="s">
        <v>121</v>
      </c>
      <c r="E224" s="61" t="s">
        <v>195</v>
      </c>
      <c r="F224" s="61" t="s">
        <v>94</v>
      </c>
      <c r="G224" s="62">
        <v>0</v>
      </c>
      <c r="H224" s="61">
        <v>0</v>
      </c>
      <c r="I224" s="61">
        <v>0</v>
      </c>
      <c r="J224" s="61" t="e">
        <v>#N/A</v>
      </c>
      <c r="K224" s="70">
        <v>0</v>
      </c>
      <c r="L224" s="70">
        <v>0</v>
      </c>
      <c r="M224" s="70">
        <v>0</v>
      </c>
      <c r="N224" s="70">
        <v>0</v>
      </c>
      <c r="O224" s="70">
        <v>0</v>
      </c>
      <c r="P224" s="70">
        <v>0</v>
      </c>
      <c r="Q224" s="70">
        <v>0</v>
      </c>
      <c r="R224" s="70">
        <v>0</v>
      </c>
      <c r="S224" s="70">
        <v>0</v>
      </c>
      <c r="T224" s="70">
        <v>0</v>
      </c>
      <c r="U224" s="70">
        <v>0</v>
      </c>
      <c r="V224" s="70">
        <v>0</v>
      </c>
      <c r="W224" s="70">
        <v>0</v>
      </c>
      <c r="X224" s="70">
        <v>0</v>
      </c>
      <c r="Y224" s="70">
        <v>0</v>
      </c>
      <c r="Z224" s="61">
        <v>0</v>
      </c>
      <c r="AA224" s="68">
        <v>0</v>
      </c>
      <c r="AB224" s="69">
        <v>0</v>
      </c>
    </row>
    <row r="225" spans="2:28" x14ac:dyDescent="0.3">
      <c r="B225" s="61" t="s">
        <v>225</v>
      </c>
      <c r="C225" s="61" t="s">
        <v>185</v>
      </c>
      <c r="D225" s="61" t="s">
        <v>121</v>
      </c>
      <c r="E225" s="61" t="s">
        <v>196</v>
      </c>
      <c r="F225" s="61" t="s">
        <v>93</v>
      </c>
      <c r="G225" s="62">
        <v>0</v>
      </c>
      <c r="H225" s="61">
        <v>0</v>
      </c>
      <c r="I225" s="61">
        <v>0</v>
      </c>
      <c r="J225" s="61" t="e">
        <v>#N/A</v>
      </c>
      <c r="K225" s="70">
        <v>0</v>
      </c>
      <c r="L225" s="70">
        <v>0</v>
      </c>
      <c r="M225" s="70">
        <v>0</v>
      </c>
      <c r="N225" s="70">
        <v>0</v>
      </c>
      <c r="O225" s="70">
        <v>0</v>
      </c>
      <c r="P225" s="70">
        <v>0</v>
      </c>
      <c r="Q225" s="70">
        <v>0</v>
      </c>
      <c r="R225" s="70">
        <v>0</v>
      </c>
      <c r="S225" s="70">
        <v>0</v>
      </c>
      <c r="T225" s="70">
        <v>0</v>
      </c>
      <c r="U225" s="70">
        <v>0</v>
      </c>
      <c r="V225" s="70">
        <v>0</v>
      </c>
      <c r="W225" s="70">
        <v>0</v>
      </c>
      <c r="X225" s="70">
        <v>0</v>
      </c>
      <c r="Y225" s="70">
        <v>0</v>
      </c>
      <c r="Z225" s="61">
        <v>0</v>
      </c>
      <c r="AA225" s="68">
        <v>0</v>
      </c>
      <c r="AB225" s="69">
        <v>0</v>
      </c>
    </row>
    <row r="226" spans="2:28" x14ac:dyDescent="0.3">
      <c r="B226" s="61" t="s">
        <v>225</v>
      </c>
      <c r="C226" s="61" t="s">
        <v>185</v>
      </c>
      <c r="D226" s="61" t="s">
        <v>121</v>
      </c>
      <c r="E226" s="61" t="s">
        <v>196</v>
      </c>
      <c r="F226" s="61" t="s">
        <v>94</v>
      </c>
      <c r="G226" s="62">
        <v>0</v>
      </c>
      <c r="H226" s="61">
        <v>0</v>
      </c>
      <c r="I226" s="61">
        <v>0</v>
      </c>
      <c r="J226" s="61" t="e">
        <v>#N/A</v>
      </c>
      <c r="K226" s="70">
        <v>0</v>
      </c>
      <c r="L226" s="70">
        <v>0</v>
      </c>
      <c r="M226" s="70">
        <v>0</v>
      </c>
      <c r="N226" s="70">
        <v>0</v>
      </c>
      <c r="O226" s="70">
        <v>0</v>
      </c>
      <c r="P226" s="70">
        <v>0</v>
      </c>
      <c r="Q226" s="70">
        <v>0</v>
      </c>
      <c r="R226" s="70">
        <v>0</v>
      </c>
      <c r="S226" s="70">
        <v>0</v>
      </c>
      <c r="T226" s="70">
        <v>0</v>
      </c>
      <c r="U226" s="70">
        <v>0</v>
      </c>
      <c r="V226" s="70">
        <v>0</v>
      </c>
      <c r="W226" s="70">
        <v>0</v>
      </c>
      <c r="X226" s="70">
        <v>0</v>
      </c>
      <c r="Y226" s="70">
        <v>0</v>
      </c>
      <c r="Z226" s="61">
        <v>0</v>
      </c>
      <c r="AA226" s="68">
        <v>0</v>
      </c>
      <c r="AB226" s="69">
        <v>0</v>
      </c>
    </row>
    <row r="227" spans="2:28" x14ac:dyDescent="0.3">
      <c r="B227" s="61" t="s">
        <v>225</v>
      </c>
      <c r="C227" s="61" t="s">
        <v>185</v>
      </c>
      <c r="D227" s="61" t="s">
        <v>121</v>
      </c>
      <c r="E227" s="61" t="s">
        <v>197</v>
      </c>
      <c r="F227" s="61" t="s">
        <v>93</v>
      </c>
      <c r="G227" s="62">
        <v>0.35</v>
      </c>
      <c r="H227" s="61">
        <v>2</v>
      </c>
      <c r="I227" s="61" t="s">
        <v>214</v>
      </c>
      <c r="J227" s="61" t="s">
        <v>215</v>
      </c>
      <c r="K227" s="67">
        <v>1.575E-2</v>
      </c>
      <c r="L227" s="67">
        <v>1.575E-2</v>
      </c>
      <c r="M227" s="67">
        <v>1.575E-2</v>
      </c>
      <c r="N227" s="67">
        <v>1.575E-2</v>
      </c>
      <c r="O227" s="67">
        <v>1.575E-2</v>
      </c>
      <c r="P227" s="67">
        <v>1.575E-2</v>
      </c>
      <c r="Q227" s="67">
        <v>1.575E-2</v>
      </c>
      <c r="R227" s="67">
        <v>1.575E-2</v>
      </c>
      <c r="S227" s="67">
        <v>1.575E-2</v>
      </c>
      <c r="T227" s="67">
        <v>1.575E-2</v>
      </c>
      <c r="U227" s="67">
        <v>1.575E-2</v>
      </c>
      <c r="V227" s="67">
        <v>1.575E-2</v>
      </c>
      <c r="W227" s="67">
        <v>1.575E-2</v>
      </c>
      <c r="X227" s="67">
        <v>1.575E-2</v>
      </c>
      <c r="Y227" s="67">
        <v>1.575E-2</v>
      </c>
      <c r="Z227" s="61" t="s">
        <v>216</v>
      </c>
      <c r="AA227" s="68">
        <v>9.4634758781507889E-4</v>
      </c>
      <c r="AB227" s="69">
        <v>1.260997392571049E-4</v>
      </c>
    </row>
    <row r="228" spans="2:28" x14ac:dyDescent="0.3">
      <c r="B228" s="61" t="s">
        <v>225</v>
      </c>
      <c r="C228" s="61" t="s">
        <v>185</v>
      </c>
      <c r="D228" s="61" t="s">
        <v>121</v>
      </c>
      <c r="E228" s="61" t="s">
        <v>197</v>
      </c>
      <c r="F228" s="61" t="s">
        <v>94</v>
      </c>
      <c r="G228" s="62">
        <v>0.35</v>
      </c>
      <c r="H228" s="61">
        <v>2</v>
      </c>
      <c r="I228" s="61" t="s">
        <v>218</v>
      </c>
      <c r="J228" s="61" t="s">
        <v>215</v>
      </c>
      <c r="K228" s="67">
        <v>6.7499999999999999E-3</v>
      </c>
      <c r="L228" s="67">
        <v>6.7499999999999999E-3</v>
      </c>
      <c r="M228" s="67">
        <v>6.7499999999999999E-3</v>
      </c>
      <c r="N228" s="67">
        <v>6.7499999999999999E-3</v>
      </c>
      <c r="O228" s="67">
        <v>6.7499999999999999E-3</v>
      </c>
      <c r="P228" s="67">
        <v>6.7499999999999999E-3</v>
      </c>
      <c r="Q228" s="67">
        <v>6.7499999999999999E-3</v>
      </c>
      <c r="R228" s="67">
        <v>6.7499999999999999E-3</v>
      </c>
      <c r="S228" s="67">
        <v>6.7499999999999999E-3</v>
      </c>
      <c r="T228" s="67">
        <v>6.7499999999999999E-3</v>
      </c>
      <c r="U228" s="67">
        <v>6.7499999999999999E-3</v>
      </c>
      <c r="V228" s="67">
        <v>6.7499999999999999E-3</v>
      </c>
      <c r="W228" s="67">
        <v>6.7499999999999999E-3</v>
      </c>
      <c r="X228" s="67">
        <v>6.7499999999999999E-3</v>
      </c>
      <c r="Y228" s="67">
        <v>6.7499999999999999E-3</v>
      </c>
      <c r="Z228" s="61" t="s">
        <v>216</v>
      </c>
      <c r="AA228" s="68">
        <v>1.023756435749126E-3</v>
      </c>
      <c r="AB228" s="69">
        <v>1.260997392571049E-4</v>
      </c>
    </row>
    <row r="229" spans="2:28" x14ac:dyDescent="0.3">
      <c r="B229" s="61" t="s">
        <v>225</v>
      </c>
      <c r="C229" s="61" t="s">
        <v>185</v>
      </c>
      <c r="D229" s="61" t="s">
        <v>121</v>
      </c>
      <c r="E229" s="61" t="s">
        <v>198</v>
      </c>
      <c r="F229" s="61" t="s">
        <v>93</v>
      </c>
      <c r="G229" s="62">
        <v>0.9</v>
      </c>
      <c r="H229" s="61">
        <v>2</v>
      </c>
      <c r="I229" s="61" t="s">
        <v>214</v>
      </c>
      <c r="J229" s="61" t="s">
        <v>215</v>
      </c>
      <c r="K229" s="67">
        <v>1.35E-2</v>
      </c>
      <c r="L229" s="67">
        <v>1.35E-2</v>
      </c>
      <c r="M229" s="67">
        <v>1.35E-2</v>
      </c>
      <c r="N229" s="67">
        <v>1.35E-2</v>
      </c>
      <c r="O229" s="67">
        <v>1.35E-2</v>
      </c>
      <c r="P229" s="67">
        <v>1.35E-2</v>
      </c>
      <c r="Q229" s="67">
        <v>1.35E-2</v>
      </c>
      <c r="R229" s="67">
        <v>1.35E-2</v>
      </c>
      <c r="S229" s="67">
        <v>1.35E-2</v>
      </c>
      <c r="T229" s="67">
        <v>1.35E-2</v>
      </c>
      <c r="U229" s="67">
        <v>1.35E-2</v>
      </c>
      <c r="V229" s="67">
        <v>1.35E-2</v>
      </c>
      <c r="W229" s="67">
        <v>1.35E-2</v>
      </c>
      <c r="X229" s="67">
        <v>1.35E-2</v>
      </c>
      <c r="Y229" s="67">
        <v>1.35E-2</v>
      </c>
      <c r="Z229" s="61" t="s">
        <v>216</v>
      </c>
      <c r="AA229" s="68">
        <v>9.4634758781507889E-4</v>
      </c>
      <c r="AB229" s="69">
        <v>1.260997392571049E-4</v>
      </c>
    </row>
    <row r="230" spans="2:28" x14ac:dyDescent="0.3">
      <c r="B230" s="61" t="s">
        <v>225</v>
      </c>
      <c r="C230" s="61" t="s">
        <v>185</v>
      </c>
      <c r="D230" s="61" t="s">
        <v>121</v>
      </c>
      <c r="E230" s="61" t="s">
        <v>198</v>
      </c>
      <c r="F230" s="61" t="s">
        <v>94</v>
      </c>
      <c r="G230" s="62">
        <v>0.9</v>
      </c>
      <c r="H230" s="61">
        <v>2</v>
      </c>
      <c r="I230" s="61" t="s">
        <v>218</v>
      </c>
      <c r="J230" s="61" t="s">
        <v>215</v>
      </c>
      <c r="K230" s="67">
        <v>8.9999999999999993E-3</v>
      </c>
      <c r="L230" s="67">
        <v>8.9999999999999993E-3</v>
      </c>
      <c r="M230" s="67">
        <v>8.9999999999999993E-3</v>
      </c>
      <c r="N230" s="67">
        <v>8.9999999999999993E-3</v>
      </c>
      <c r="O230" s="67">
        <v>8.9999999999999993E-3</v>
      </c>
      <c r="P230" s="67">
        <v>8.9999999999999993E-3</v>
      </c>
      <c r="Q230" s="67">
        <v>8.9999999999999993E-3</v>
      </c>
      <c r="R230" s="67">
        <v>8.9999999999999993E-3</v>
      </c>
      <c r="S230" s="67">
        <v>8.9999999999999993E-3</v>
      </c>
      <c r="T230" s="67">
        <v>8.9999999999999993E-3</v>
      </c>
      <c r="U230" s="67">
        <v>8.9999999999999993E-3</v>
      </c>
      <c r="V230" s="67">
        <v>8.9999999999999993E-3</v>
      </c>
      <c r="W230" s="67">
        <v>8.9999999999999993E-3</v>
      </c>
      <c r="X230" s="67">
        <v>8.9999999999999993E-3</v>
      </c>
      <c r="Y230" s="67">
        <v>8.9999999999999993E-3</v>
      </c>
      <c r="Z230" s="61" t="s">
        <v>216</v>
      </c>
      <c r="AA230" s="68">
        <v>1.023756435749126E-3</v>
      </c>
      <c r="AB230" s="69">
        <v>1.260997392571049E-4</v>
      </c>
    </row>
    <row r="231" spans="2:28" x14ac:dyDescent="0.3">
      <c r="B231" s="61" t="s">
        <v>225</v>
      </c>
      <c r="C231" s="61" t="s">
        <v>185</v>
      </c>
      <c r="D231" s="61" t="s">
        <v>121</v>
      </c>
      <c r="E231" s="61" t="s">
        <v>199</v>
      </c>
      <c r="F231" s="61" t="s">
        <v>93</v>
      </c>
      <c r="G231" s="62">
        <v>0</v>
      </c>
      <c r="H231" s="61">
        <v>0</v>
      </c>
      <c r="I231" s="61">
        <v>0</v>
      </c>
      <c r="J231" s="61" t="e">
        <v>#N/A</v>
      </c>
      <c r="K231" s="70">
        <v>0</v>
      </c>
      <c r="L231" s="70">
        <v>0</v>
      </c>
      <c r="M231" s="70">
        <v>0</v>
      </c>
      <c r="N231" s="70">
        <v>0</v>
      </c>
      <c r="O231" s="70">
        <v>0</v>
      </c>
      <c r="P231" s="70">
        <v>0</v>
      </c>
      <c r="Q231" s="70">
        <v>0</v>
      </c>
      <c r="R231" s="70">
        <v>0</v>
      </c>
      <c r="S231" s="70">
        <v>0</v>
      </c>
      <c r="T231" s="70">
        <v>0</v>
      </c>
      <c r="U231" s="70">
        <v>0</v>
      </c>
      <c r="V231" s="70">
        <v>0</v>
      </c>
      <c r="W231" s="70">
        <v>0</v>
      </c>
      <c r="X231" s="70">
        <v>0</v>
      </c>
      <c r="Y231" s="70">
        <v>0</v>
      </c>
      <c r="Z231" s="61">
        <v>0</v>
      </c>
      <c r="AA231" s="68">
        <v>0</v>
      </c>
      <c r="AB231" s="69">
        <v>0</v>
      </c>
    </row>
    <row r="232" spans="2:28" x14ac:dyDescent="0.3">
      <c r="B232" s="61" t="s">
        <v>225</v>
      </c>
      <c r="C232" s="61" t="s">
        <v>185</v>
      </c>
      <c r="D232" s="61" t="s">
        <v>121</v>
      </c>
      <c r="E232" s="61" t="s">
        <v>199</v>
      </c>
      <c r="F232" s="61" t="s">
        <v>94</v>
      </c>
      <c r="G232" s="62">
        <v>0</v>
      </c>
      <c r="H232" s="61">
        <v>0</v>
      </c>
      <c r="I232" s="61">
        <v>0</v>
      </c>
      <c r="J232" s="61" t="e">
        <v>#N/A</v>
      </c>
      <c r="K232" s="70">
        <v>0</v>
      </c>
      <c r="L232" s="70">
        <v>0</v>
      </c>
      <c r="M232" s="70">
        <v>0</v>
      </c>
      <c r="N232" s="70">
        <v>0</v>
      </c>
      <c r="O232" s="70">
        <v>0</v>
      </c>
      <c r="P232" s="70">
        <v>0</v>
      </c>
      <c r="Q232" s="70">
        <v>0</v>
      </c>
      <c r="R232" s="70">
        <v>0</v>
      </c>
      <c r="S232" s="70">
        <v>0</v>
      </c>
      <c r="T232" s="70">
        <v>0</v>
      </c>
      <c r="U232" s="70">
        <v>0</v>
      </c>
      <c r="V232" s="70">
        <v>0</v>
      </c>
      <c r="W232" s="70">
        <v>0</v>
      </c>
      <c r="X232" s="70">
        <v>0</v>
      </c>
      <c r="Y232" s="70">
        <v>0</v>
      </c>
      <c r="Z232" s="61">
        <v>0</v>
      </c>
      <c r="AA232" s="68">
        <v>0</v>
      </c>
      <c r="AB232" s="69">
        <v>0</v>
      </c>
    </row>
    <row r="233" spans="2:28" x14ac:dyDescent="0.3">
      <c r="B233" s="61" t="s">
        <v>225</v>
      </c>
      <c r="C233" s="61" t="s">
        <v>185</v>
      </c>
      <c r="D233" s="61" t="s">
        <v>122</v>
      </c>
      <c r="E233" s="61" t="s">
        <v>186</v>
      </c>
      <c r="F233" s="61" t="s">
        <v>93</v>
      </c>
      <c r="G233" s="62">
        <v>1</v>
      </c>
      <c r="H233" s="61">
        <v>2</v>
      </c>
      <c r="I233" s="61" t="s">
        <v>214</v>
      </c>
      <c r="J233" s="61" t="s">
        <v>215</v>
      </c>
      <c r="K233" s="67">
        <v>2.01E-2</v>
      </c>
      <c r="L233" s="67">
        <v>2.01E-2</v>
      </c>
      <c r="M233" s="67">
        <v>2.01E-2</v>
      </c>
      <c r="N233" s="67">
        <v>2.01E-2</v>
      </c>
      <c r="O233" s="67">
        <v>2.01E-2</v>
      </c>
      <c r="P233" s="67">
        <v>2.01E-2</v>
      </c>
      <c r="Q233" s="67">
        <v>2.01E-2</v>
      </c>
      <c r="R233" s="67">
        <v>2.01E-2</v>
      </c>
      <c r="S233" s="67">
        <v>2.01E-2</v>
      </c>
      <c r="T233" s="67">
        <v>2.01E-2</v>
      </c>
      <c r="U233" s="67">
        <v>2.01E-2</v>
      </c>
      <c r="V233" s="67">
        <v>2.01E-2</v>
      </c>
      <c r="W233" s="67">
        <v>2.01E-2</v>
      </c>
      <c r="X233" s="67">
        <v>2.01E-2</v>
      </c>
      <c r="Y233" s="67">
        <v>2.01E-2</v>
      </c>
      <c r="Z233" s="61" t="s">
        <v>216</v>
      </c>
      <c r="AA233" s="68">
        <v>9.2085759278773911E-4</v>
      </c>
      <c r="AB233" s="69">
        <v>1.260997392571049E-4</v>
      </c>
    </row>
    <row r="234" spans="2:28" x14ac:dyDescent="0.3">
      <c r="B234" s="61" t="s">
        <v>225</v>
      </c>
      <c r="C234" s="61" t="s">
        <v>185</v>
      </c>
      <c r="D234" s="61" t="s">
        <v>122</v>
      </c>
      <c r="E234" s="61" t="s">
        <v>189</v>
      </c>
      <c r="F234" s="61" t="s">
        <v>93</v>
      </c>
      <c r="G234" s="62">
        <v>0</v>
      </c>
      <c r="H234" s="61">
        <v>0</v>
      </c>
      <c r="I234" s="61">
        <v>0</v>
      </c>
      <c r="J234" s="61" t="e">
        <v>#N/A</v>
      </c>
      <c r="K234" s="70">
        <v>0</v>
      </c>
      <c r="L234" s="70">
        <v>0</v>
      </c>
      <c r="M234" s="70">
        <v>0</v>
      </c>
      <c r="N234" s="70">
        <v>0</v>
      </c>
      <c r="O234" s="70">
        <v>0</v>
      </c>
      <c r="P234" s="70">
        <v>0</v>
      </c>
      <c r="Q234" s="70">
        <v>0</v>
      </c>
      <c r="R234" s="70">
        <v>0</v>
      </c>
      <c r="S234" s="70">
        <v>0</v>
      </c>
      <c r="T234" s="70">
        <v>0</v>
      </c>
      <c r="U234" s="70">
        <v>0</v>
      </c>
      <c r="V234" s="70">
        <v>0</v>
      </c>
      <c r="W234" s="70">
        <v>0</v>
      </c>
      <c r="X234" s="70">
        <v>0</v>
      </c>
      <c r="Y234" s="70">
        <v>0</v>
      </c>
      <c r="Z234" s="61">
        <v>0</v>
      </c>
      <c r="AA234" s="68">
        <v>0</v>
      </c>
      <c r="AB234" s="69">
        <v>0</v>
      </c>
    </row>
    <row r="235" spans="2:28" x14ac:dyDescent="0.3">
      <c r="B235" s="61" t="s">
        <v>225</v>
      </c>
      <c r="C235" s="61" t="s">
        <v>185</v>
      </c>
      <c r="D235" s="61" t="s">
        <v>122</v>
      </c>
      <c r="E235" s="61" t="s">
        <v>190</v>
      </c>
      <c r="F235" s="61" t="s">
        <v>93</v>
      </c>
      <c r="G235" s="62">
        <v>0.69</v>
      </c>
      <c r="H235" s="61">
        <v>2</v>
      </c>
      <c r="I235" s="61" t="s">
        <v>214</v>
      </c>
      <c r="J235" s="61" t="s">
        <v>215</v>
      </c>
      <c r="K235" s="67">
        <v>1.35E-2</v>
      </c>
      <c r="L235" s="67">
        <v>1.35E-2</v>
      </c>
      <c r="M235" s="67">
        <v>1.35E-2</v>
      </c>
      <c r="N235" s="67">
        <v>1.35E-2</v>
      </c>
      <c r="O235" s="67">
        <v>1.35E-2</v>
      </c>
      <c r="P235" s="67">
        <v>1.35E-2</v>
      </c>
      <c r="Q235" s="67">
        <v>1.35E-2</v>
      </c>
      <c r="R235" s="67">
        <v>1.35E-2</v>
      </c>
      <c r="S235" s="67">
        <v>1.35E-2</v>
      </c>
      <c r="T235" s="67">
        <v>1.35E-2</v>
      </c>
      <c r="U235" s="67">
        <v>1.35E-2</v>
      </c>
      <c r="V235" s="67">
        <v>1.35E-2</v>
      </c>
      <c r="W235" s="67">
        <v>1.35E-2</v>
      </c>
      <c r="X235" s="67">
        <v>1.35E-2</v>
      </c>
      <c r="Y235" s="67">
        <v>1.35E-2</v>
      </c>
      <c r="Z235" s="61" t="s">
        <v>216</v>
      </c>
      <c r="AA235" s="68">
        <v>9.2085759278773911E-4</v>
      </c>
      <c r="AB235" s="69">
        <v>1.260997392571049E-4</v>
      </c>
    </row>
    <row r="236" spans="2:28" x14ac:dyDescent="0.3">
      <c r="B236" s="61" t="s">
        <v>225</v>
      </c>
      <c r="C236" s="61" t="s">
        <v>185</v>
      </c>
      <c r="D236" s="61" t="s">
        <v>122</v>
      </c>
      <c r="E236" s="61" t="s">
        <v>191</v>
      </c>
      <c r="F236" s="61" t="s">
        <v>93</v>
      </c>
      <c r="G236" s="62">
        <v>1</v>
      </c>
      <c r="H236" s="61">
        <v>2</v>
      </c>
      <c r="I236" s="61" t="s">
        <v>214</v>
      </c>
      <c r="J236" s="61" t="s">
        <v>215</v>
      </c>
      <c r="K236" s="67">
        <v>1.0500000000000001E-2</v>
      </c>
      <c r="L236" s="67">
        <v>1.0500000000000001E-2</v>
      </c>
      <c r="M236" s="67">
        <v>1.0500000000000001E-2</v>
      </c>
      <c r="N236" s="67">
        <v>1.0500000000000001E-2</v>
      </c>
      <c r="O236" s="67">
        <v>1.0500000000000001E-2</v>
      </c>
      <c r="P236" s="67">
        <v>1.0500000000000001E-2</v>
      </c>
      <c r="Q236" s="67">
        <v>1.0500000000000001E-2</v>
      </c>
      <c r="R236" s="67">
        <v>1.0500000000000001E-2</v>
      </c>
      <c r="S236" s="67">
        <v>1.0500000000000001E-2</v>
      </c>
      <c r="T236" s="67">
        <v>1.0500000000000001E-2</v>
      </c>
      <c r="U236" s="67">
        <v>1.0500000000000001E-2</v>
      </c>
      <c r="V236" s="67">
        <v>1.0500000000000001E-2</v>
      </c>
      <c r="W236" s="67">
        <v>1.0500000000000001E-2</v>
      </c>
      <c r="X236" s="67">
        <v>1.0500000000000001E-2</v>
      </c>
      <c r="Y236" s="67">
        <v>1.0500000000000001E-2</v>
      </c>
      <c r="Z236" s="61" t="s">
        <v>216</v>
      </c>
      <c r="AA236" s="68">
        <v>9.2085759278773911E-4</v>
      </c>
      <c r="AB236" s="69">
        <v>1.260997392571049E-4</v>
      </c>
    </row>
    <row r="237" spans="2:28" x14ac:dyDescent="0.3">
      <c r="B237" s="61" t="s">
        <v>225</v>
      </c>
      <c r="C237" s="61" t="s">
        <v>185</v>
      </c>
      <c r="D237" s="61" t="s">
        <v>122</v>
      </c>
      <c r="E237" s="61" t="s">
        <v>192</v>
      </c>
      <c r="F237" s="61" t="s">
        <v>93</v>
      </c>
      <c r="G237" s="62">
        <v>1</v>
      </c>
      <c r="H237" s="61">
        <v>2</v>
      </c>
      <c r="I237" s="61" t="s">
        <v>214</v>
      </c>
      <c r="J237" s="61" t="s">
        <v>215</v>
      </c>
      <c r="K237" s="67">
        <v>2.24E-2</v>
      </c>
      <c r="L237" s="67">
        <v>2.24E-2</v>
      </c>
      <c r="M237" s="67">
        <v>2.24E-2</v>
      </c>
      <c r="N237" s="67">
        <v>2.24E-2</v>
      </c>
      <c r="O237" s="67">
        <v>2.24E-2</v>
      </c>
      <c r="P237" s="67">
        <v>2.24E-2</v>
      </c>
      <c r="Q237" s="67">
        <v>2.24E-2</v>
      </c>
      <c r="R237" s="67">
        <v>2.24E-2</v>
      </c>
      <c r="S237" s="67">
        <v>2.24E-2</v>
      </c>
      <c r="T237" s="67">
        <v>2.24E-2</v>
      </c>
      <c r="U237" s="67">
        <v>2.24E-2</v>
      </c>
      <c r="V237" s="67">
        <v>2.24E-2</v>
      </c>
      <c r="W237" s="67">
        <v>2.24E-2</v>
      </c>
      <c r="X237" s="67">
        <v>2.24E-2</v>
      </c>
      <c r="Y237" s="67">
        <v>2.24E-2</v>
      </c>
      <c r="Z237" s="61" t="s">
        <v>216</v>
      </c>
      <c r="AA237" s="68">
        <v>9.2085759278773911E-4</v>
      </c>
      <c r="AB237" s="69">
        <v>1.260997392571049E-4</v>
      </c>
    </row>
    <row r="238" spans="2:28" x14ac:dyDescent="0.3">
      <c r="B238" s="61" t="s">
        <v>225</v>
      </c>
      <c r="C238" s="61" t="s">
        <v>185</v>
      </c>
      <c r="D238" s="61" t="s">
        <v>122</v>
      </c>
      <c r="E238" s="61" t="s">
        <v>193</v>
      </c>
      <c r="F238" s="61" t="s">
        <v>93</v>
      </c>
      <c r="G238" s="62">
        <v>0</v>
      </c>
      <c r="H238" s="61">
        <v>0</v>
      </c>
      <c r="I238" s="61">
        <v>0</v>
      </c>
      <c r="J238" s="61" t="e">
        <v>#N/A</v>
      </c>
      <c r="K238" s="70">
        <v>0</v>
      </c>
      <c r="L238" s="70">
        <v>0</v>
      </c>
      <c r="M238" s="70">
        <v>0</v>
      </c>
      <c r="N238" s="70">
        <v>0</v>
      </c>
      <c r="O238" s="70">
        <v>0</v>
      </c>
      <c r="P238" s="70">
        <v>0</v>
      </c>
      <c r="Q238" s="70">
        <v>0</v>
      </c>
      <c r="R238" s="70">
        <v>0</v>
      </c>
      <c r="S238" s="70">
        <v>0</v>
      </c>
      <c r="T238" s="70">
        <v>0</v>
      </c>
      <c r="U238" s="70">
        <v>0</v>
      </c>
      <c r="V238" s="70">
        <v>0</v>
      </c>
      <c r="W238" s="70">
        <v>0</v>
      </c>
      <c r="X238" s="70">
        <v>0</v>
      </c>
      <c r="Y238" s="70">
        <v>0</v>
      </c>
      <c r="Z238" s="61">
        <v>0</v>
      </c>
      <c r="AA238" s="68">
        <v>0</v>
      </c>
      <c r="AB238" s="69">
        <v>0</v>
      </c>
    </row>
    <row r="239" spans="2:28" x14ac:dyDescent="0.3">
      <c r="B239" s="61" t="s">
        <v>225</v>
      </c>
      <c r="C239" s="61" t="s">
        <v>185</v>
      </c>
      <c r="D239" s="61" t="s">
        <v>122</v>
      </c>
      <c r="E239" s="61" t="s">
        <v>194</v>
      </c>
      <c r="F239" s="61" t="s">
        <v>93</v>
      </c>
      <c r="G239" s="62">
        <v>0</v>
      </c>
      <c r="H239" s="61">
        <v>0</v>
      </c>
      <c r="I239" s="61">
        <v>0</v>
      </c>
      <c r="J239" s="61" t="e">
        <v>#N/A</v>
      </c>
      <c r="K239" s="70">
        <v>0</v>
      </c>
      <c r="L239" s="70">
        <v>0</v>
      </c>
      <c r="M239" s="70">
        <v>0</v>
      </c>
      <c r="N239" s="70">
        <v>0</v>
      </c>
      <c r="O239" s="70">
        <v>0</v>
      </c>
      <c r="P239" s="70">
        <v>0</v>
      </c>
      <c r="Q239" s="70">
        <v>0</v>
      </c>
      <c r="R239" s="70">
        <v>0</v>
      </c>
      <c r="S239" s="70">
        <v>0</v>
      </c>
      <c r="T239" s="70">
        <v>0</v>
      </c>
      <c r="U239" s="70">
        <v>0</v>
      </c>
      <c r="V239" s="70">
        <v>0</v>
      </c>
      <c r="W239" s="70">
        <v>0</v>
      </c>
      <c r="X239" s="70">
        <v>0</v>
      </c>
      <c r="Y239" s="70">
        <v>0</v>
      </c>
      <c r="Z239" s="61">
        <v>0</v>
      </c>
      <c r="AA239" s="68">
        <v>0</v>
      </c>
      <c r="AB239" s="69">
        <v>0</v>
      </c>
    </row>
    <row r="240" spans="2:28" x14ac:dyDescent="0.3">
      <c r="B240" s="61" t="s">
        <v>225</v>
      </c>
      <c r="C240" s="61" t="s">
        <v>185</v>
      </c>
      <c r="D240" s="61" t="s">
        <v>122</v>
      </c>
      <c r="E240" s="61" t="s">
        <v>195</v>
      </c>
      <c r="F240" s="61" t="s">
        <v>93</v>
      </c>
      <c r="G240" s="62">
        <v>0</v>
      </c>
      <c r="H240" s="61">
        <v>0</v>
      </c>
      <c r="I240" s="61">
        <v>0</v>
      </c>
      <c r="J240" s="61" t="e">
        <v>#N/A</v>
      </c>
      <c r="K240" s="70">
        <v>0</v>
      </c>
      <c r="L240" s="70">
        <v>0</v>
      </c>
      <c r="M240" s="70">
        <v>0</v>
      </c>
      <c r="N240" s="70">
        <v>0</v>
      </c>
      <c r="O240" s="70">
        <v>0</v>
      </c>
      <c r="P240" s="70">
        <v>0</v>
      </c>
      <c r="Q240" s="70">
        <v>0</v>
      </c>
      <c r="R240" s="70">
        <v>0</v>
      </c>
      <c r="S240" s="70">
        <v>0</v>
      </c>
      <c r="T240" s="70">
        <v>0</v>
      </c>
      <c r="U240" s="70">
        <v>0</v>
      </c>
      <c r="V240" s="70">
        <v>0</v>
      </c>
      <c r="W240" s="70">
        <v>0</v>
      </c>
      <c r="X240" s="70">
        <v>0</v>
      </c>
      <c r="Y240" s="70">
        <v>0</v>
      </c>
      <c r="Z240" s="61">
        <v>0</v>
      </c>
      <c r="AA240" s="68">
        <v>0</v>
      </c>
      <c r="AB240" s="69">
        <v>0</v>
      </c>
    </row>
    <row r="241" spans="2:28" x14ac:dyDescent="0.3">
      <c r="B241" s="61" t="s">
        <v>225</v>
      </c>
      <c r="C241" s="61" t="s">
        <v>185</v>
      </c>
      <c r="D241" s="61" t="s">
        <v>122</v>
      </c>
      <c r="E241" s="61" t="s">
        <v>196</v>
      </c>
      <c r="F241" s="61" t="s">
        <v>93</v>
      </c>
      <c r="G241" s="62">
        <v>0</v>
      </c>
      <c r="H241" s="61">
        <v>0</v>
      </c>
      <c r="I241" s="61">
        <v>0</v>
      </c>
      <c r="J241" s="61" t="e">
        <v>#N/A</v>
      </c>
      <c r="K241" s="70">
        <v>0</v>
      </c>
      <c r="L241" s="70">
        <v>0</v>
      </c>
      <c r="M241" s="70">
        <v>0</v>
      </c>
      <c r="N241" s="70">
        <v>0</v>
      </c>
      <c r="O241" s="70">
        <v>0</v>
      </c>
      <c r="P241" s="70">
        <v>0</v>
      </c>
      <c r="Q241" s="70">
        <v>0</v>
      </c>
      <c r="R241" s="70">
        <v>0</v>
      </c>
      <c r="S241" s="70">
        <v>0</v>
      </c>
      <c r="T241" s="70">
        <v>0</v>
      </c>
      <c r="U241" s="70">
        <v>0</v>
      </c>
      <c r="V241" s="70">
        <v>0</v>
      </c>
      <c r="W241" s="70">
        <v>0</v>
      </c>
      <c r="X241" s="70">
        <v>0</v>
      </c>
      <c r="Y241" s="70">
        <v>0</v>
      </c>
      <c r="Z241" s="61">
        <v>0</v>
      </c>
      <c r="AA241" s="68">
        <v>0</v>
      </c>
      <c r="AB241" s="69">
        <v>0</v>
      </c>
    </row>
    <row r="242" spans="2:28" x14ac:dyDescent="0.3">
      <c r="B242" s="61" t="s">
        <v>225</v>
      </c>
      <c r="C242" s="61" t="s">
        <v>185</v>
      </c>
      <c r="D242" s="61" t="s">
        <v>122</v>
      </c>
      <c r="E242" s="61" t="s">
        <v>197</v>
      </c>
      <c r="F242" s="61" t="s">
        <v>93</v>
      </c>
      <c r="G242" s="62">
        <v>0.35</v>
      </c>
      <c r="H242" s="61">
        <v>2</v>
      </c>
      <c r="I242" s="61" t="s">
        <v>214</v>
      </c>
      <c r="J242" s="61" t="s">
        <v>215</v>
      </c>
      <c r="K242" s="67">
        <v>1.575E-2</v>
      </c>
      <c r="L242" s="67">
        <v>1.575E-2</v>
      </c>
      <c r="M242" s="67">
        <v>1.575E-2</v>
      </c>
      <c r="N242" s="67">
        <v>1.575E-2</v>
      </c>
      <c r="O242" s="67">
        <v>1.575E-2</v>
      </c>
      <c r="P242" s="67">
        <v>1.575E-2</v>
      </c>
      <c r="Q242" s="67">
        <v>1.575E-2</v>
      </c>
      <c r="R242" s="67">
        <v>1.575E-2</v>
      </c>
      <c r="S242" s="67">
        <v>1.575E-2</v>
      </c>
      <c r="T242" s="67">
        <v>1.575E-2</v>
      </c>
      <c r="U242" s="67">
        <v>1.575E-2</v>
      </c>
      <c r="V242" s="67">
        <v>1.575E-2</v>
      </c>
      <c r="W242" s="67">
        <v>1.575E-2</v>
      </c>
      <c r="X242" s="67">
        <v>1.575E-2</v>
      </c>
      <c r="Y242" s="67">
        <v>1.575E-2</v>
      </c>
      <c r="Z242" s="61" t="s">
        <v>216</v>
      </c>
      <c r="AA242" s="68">
        <v>9.2085759278773911E-4</v>
      </c>
      <c r="AB242" s="69">
        <v>1.260997392571049E-4</v>
      </c>
    </row>
    <row r="243" spans="2:28" x14ac:dyDescent="0.3">
      <c r="B243" s="61" t="s">
        <v>225</v>
      </c>
      <c r="C243" s="61" t="s">
        <v>185</v>
      </c>
      <c r="D243" s="61" t="s">
        <v>122</v>
      </c>
      <c r="E243" s="61" t="s">
        <v>198</v>
      </c>
      <c r="F243" s="61" t="s">
        <v>93</v>
      </c>
      <c r="G243" s="62">
        <v>0.9</v>
      </c>
      <c r="H243" s="61">
        <v>2</v>
      </c>
      <c r="I243" s="61" t="s">
        <v>214</v>
      </c>
      <c r="J243" s="61" t="s">
        <v>215</v>
      </c>
      <c r="K243" s="67">
        <v>1.35E-2</v>
      </c>
      <c r="L243" s="67">
        <v>1.35E-2</v>
      </c>
      <c r="M243" s="67">
        <v>1.35E-2</v>
      </c>
      <c r="N243" s="67">
        <v>1.35E-2</v>
      </c>
      <c r="O243" s="67">
        <v>1.35E-2</v>
      </c>
      <c r="P243" s="67">
        <v>1.35E-2</v>
      </c>
      <c r="Q243" s="67">
        <v>1.35E-2</v>
      </c>
      <c r="R243" s="67">
        <v>1.35E-2</v>
      </c>
      <c r="S243" s="67">
        <v>1.35E-2</v>
      </c>
      <c r="T243" s="67">
        <v>1.35E-2</v>
      </c>
      <c r="U243" s="67">
        <v>1.35E-2</v>
      </c>
      <c r="V243" s="67">
        <v>1.35E-2</v>
      </c>
      <c r="W243" s="67">
        <v>1.35E-2</v>
      </c>
      <c r="X243" s="67">
        <v>1.35E-2</v>
      </c>
      <c r="Y243" s="67">
        <v>1.35E-2</v>
      </c>
      <c r="Z243" s="61" t="s">
        <v>216</v>
      </c>
      <c r="AA243" s="68">
        <v>9.2085759278773911E-4</v>
      </c>
      <c r="AB243" s="69">
        <v>1.260997392571049E-4</v>
      </c>
    </row>
    <row r="244" spans="2:28" x14ac:dyDescent="0.3">
      <c r="B244" s="61" t="s">
        <v>225</v>
      </c>
      <c r="C244" s="61" t="s">
        <v>185</v>
      </c>
      <c r="D244" s="61" t="s">
        <v>122</v>
      </c>
      <c r="E244" s="61" t="s">
        <v>199</v>
      </c>
      <c r="F244" s="61" t="s">
        <v>93</v>
      </c>
      <c r="G244" s="62">
        <v>0</v>
      </c>
      <c r="H244" s="61">
        <v>0</v>
      </c>
      <c r="I244" s="61">
        <v>0</v>
      </c>
      <c r="J244" s="61" t="e">
        <v>#N/A</v>
      </c>
      <c r="K244" s="70">
        <v>0</v>
      </c>
      <c r="L244" s="70">
        <v>0</v>
      </c>
      <c r="M244" s="70">
        <v>0</v>
      </c>
      <c r="N244" s="70">
        <v>0</v>
      </c>
      <c r="O244" s="70">
        <v>0</v>
      </c>
      <c r="P244" s="70">
        <v>0</v>
      </c>
      <c r="Q244" s="70">
        <v>0</v>
      </c>
      <c r="R244" s="70">
        <v>0</v>
      </c>
      <c r="S244" s="70">
        <v>0</v>
      </c>
      <c r="T244" s="70">
        <v>0</v>
      </c>
      <c r="U244" s="70">
        <v>0</v>
      </c>
      <c r="V244" s="70">
        <v>0</v>
      </c>
      <c r="W244" s="70">
        <v>0</v>
      </c>
      <c r="X244" s="70">
        <v>0</v>
      </c>
      <c r="Y244" s="70">
        <v>0</v>
      </c>
      <c r="Z244" s="61">
        <v>0</v>
      </c>
      <c r="AA244" s="68">
        <v>0</v>
      </c>
      <c r="AB244" s="69">
        <v>0</v>
      </c>
    </row>
    <row r="245" spans="2:28" x14ac:dyDescent="0.3">
      <c r="B245" s="61" t="s">
        <v>225</v>
      </c>
      <c r="C245" s="61" t="s">
        <v>185</v>
      </c>
      <c r="D245" s="61" t="s">
        <v>200</v>
      </c>
      <c r="E245" s="61" t="s">
        <v>186</v>
      </c>
      <c r="F245" s="61" t="s">
        <v>94</v>
      </c>
      <c r="G245" s="62">
        <v>1</v>
      </c>
      <c r="H245" s="61">
        <v>2</v>
      </c>
      <c r="I245" s="61" t="s">
        <v>218</v>
      </c>
      <c r="J245" s="61" t="s">
        <v>215</v>
      </c>
      <c r="K245" s="67">
        <v>1.3400000000000002E-2</v>
      </c>
      <c r="L245" s="67">
        <v>1.3400000000000002E-2</v>
      </c>
      <c r="M245" s="67">
        <v>1.3400000000000002E-2</v>
      </c>
      <c r="N245" s="67">
        <v>1.3400000000000002E-2</v>
      </c>
      <c r="O245" s="67">
        <v>1.3400000000000002E-2</v>
      </c>
      <c r="P245" s="67">
        <v>1.3400000000000002E-2</v>
      </c>
      <c r="Q245" s="67">
        <v>1.3400000000000002E-2</v>
      </c>
      <c r="R245" s="67">
        <v>1.3400000000000002E-2</v>
      </c>
      <c r="S245" s="67">
        <v>1.3400000000000002E-2</v>
      </c>
      <c r="T245" s="67">
        <v>1.3400000000000002E-2</v>
      </c>
      <c r="U245" s="67">
        <v>1.3400000000000002E-2</v>
      </c>
      <c r="V245" s="67">
        <v>1.3400000000000002E-2</v>
      </c>
      <c r="W245" s="67">
        <v>1.3400000000000002E-2</v>
      </c>
      <c r="X245" s="67">
        <v>1.3400000000000002E-2</v>
      </c>
      <c r="Y245" s="67">
        <v>1.3400000000000002E-2</v>
      </c>
      <c r="Z245" s="61" t="s">
        <v>216</v>
      </c>
      <c r="AA245" s="68">
        <v>0.14203855994074494</v>
      </c>
      <c r="AB245" s="69">
        <v>1.260997392571049E-4</v>
      </c>
    </row>
    <row r="246" spans="2:28" x14ac:dyDescent="0.3">
      <c r="B246" s="61" t="s">
        <v>225</v>
      </c>
      <c r="C246" s="61" t="s">
        <v>185</v>
      </c>
      <c r="D246" s="61" t="s">
        <v>200</v>
      </c>
      <c r="E246" s="61" t="s">
        <v>189</v>
      </c>
      <c r="F246" s="61" t="s">
        <v>94</v>
      </c>
      <c r="G246" s="62">
        <v>0</v>
      </c>
      <c r="H246" s="61">
        <v>0</v>
      </c>
      <c r="I246" s="61">
        <v>0</v>
      </c>
      <c r="J246" s="61" t="e">
        <v>#N/A</v>
      </c>
      <c r="K246" s="70">
        <v>0</v>
      </c>
      <c r="L246" s="70">
        <v>0</v>
      </c>
      <c r="M246" s="70">
        <v>0</v>
      </c>
      <c r="N246" s="70">
        <v>0</v>
      </c>
      <c r="O246" s="70">
        <v>0</v>
      </c>
      <c r="P246" s="70">
        <v>0</v>
      </c>
      <c r="Q246" s="70">
        <v>0</v>
      </c>
      <c r="R246" s="70">
        <v>0</v>
      </c>
      <c r="S246" s="70">
        <v>0</v>
      </c>
      <c r="T246" s="70">
        <v>0</v>
      </c>
      <c r="U246" s="70">
        <v>0</v>
      </c>
      <c r="V246" s="70">
        <v>0</v>
      </c>
      <c r="W246" s="70">
        <v>0</v>
      </c>
      <c r="X246" s="70">
        <v>0</v>
      </c>
      <c r="Y246" s="70">
        <v>0</v>
      </c>
      <c r="Z246" s="61">
        <v>0</v>
      </c>
      <c r="AA246" s="68">
        <v>0</v>
      </c>
      <c r="AB246" s="69">
        <v>0</v>
      </c>
    </row>
    <row r="247" spans="2:28" x14ac:dyDescent="0.3">
      <c r="B247" s="61" t="s">
        <v>225</v>
      </c>
      <c r="C247" s="61" t="s">
        <v>185</v>
      </c>
      <c r="D247" s="61" t="s">
        <v>200</v>
      </c>
      <c r="E247" s="61" t="s">
        <v>190</v>
      </c>
      <c r="F247" s="61" t="s">
        <v>94</v>
      </c>
      <c r="G247" s="62">
        <v>0.82599999999999996</v>
      </c>
      <c r="H247" s="61">
        <v>2</v>
      </c>
      <c r="I247" s="61" t="s">
        <v>218</v>
      </c>
      <c r="J247" s="61" t="s">
        <v>215</v>
      </c>
      <c r="K247" s="67">
        <v>8.9999999999999993E-3</v>
      </c>
      <c r="L247" s="67">
        <v>8.9999999999999993E-3</v>
      </c>
      <c r="M247" s="67">
        <v>8.9999999999999993E-3</v>
      </c>
      <c r="N247" s="67">
        <v>8.9999999999999993E-3</v>
      </c>
      <c r="O247" s="67">
        <v>8.9999999999999993E-3</v>
      </c>
      <c r="P247" s="67">
        <v>8.9999999999999993E-3</v>
      </c>
      <c r="Q247" s="67">
        <v>8.9999999999999993E-3</v>
      </c>
      <c r="R247" s="67">
        <v>8.9999999999999993E-3</v>
      </c>
      <c r="S247" s="67">
        <v>8.9999999999999993E-3</v>
      </c>
      <c r="T247" s="67">
        <v>8.9999999999999993E-3</v>
      </c>
      <c r="U247" s="67">
        <v>8.9999999999999993E-3</v>
      </c>
      <c r="V247" s="67">
        <v>8.9999999999999993E-3</v>
      </c>
      <c r="W247" s="67">
        <v>8.9999999999999993E-3</v>
      </c>
      <c r="X247" s="67">
        <v>8.9999999999999993E-3</v>
      </c>
      <c r="Y247" s="67">
        <v>8.9999999999999993E-3</v>
      </c>
      <c r="Z247" s="61" t="s">
        <v>216</v>
      </c>
      <c r="AA247" s="68">
        <v>0.14203855994074494</v>
      </c>
      <c r="AB247" s="69">
        <v>1.260997392571049E-4</v>
      </c>
    </row>
    <row r="248" spans="2:28" x14ac:dyDescent="0.3">
      <c r="B248" s="61" t="s">
        <v>225</v>
      </c>
      <c r="C248" s="61" t="s">
        <v>185</v>
      </c>
      <c r="D248" s="61" t="s">
        <v>200</v>
      </c>
      <c r="E248" s="61" t="s">
        <v>191</v>
      </c>
      <c r="F248" s="61" t="s">
        <v>94</v>
      </c>
      <c r="G248" s="62">
        <v>1</v>
      </c>
      <c r="H248" s="61">
        <v>2</v>
      </c>
      <c r="I248" s="61" t="s">
        <v>218</v>
      </c>
      <c r="J248" s="61" t="s">
        <v>215</v>
      </c>
      <c r="K248" s="67">
        <v>7.000000000000001E-3</v>
      </c>
      <c r="L248" s="67">
        <v>7.000000000000001E-3</v>
      </c>
      <c r="M248" s="67">
        <v>7.000000000000001E-3</v>
      </c>
      <c r="N248" s="67">
        <v>7.000000000000001E-3</v>
      </c>
      <c r="O248" s="67">
        <v>7.000000000000001E-3</v>
      </c>
      <c r="P248" s="67">
        <v>7.000000000000001E-3</v>
      </c>
      <c r="Q248" s="67">
        <v>7.000000000000001E-3</v>
      </c>
      <c r="R248" s="67">
        <v>7.000000000000001E-3</v>
      </c>
      <c r="S248" s="67">
        <v>7.000000000000001E-3</v>
      </c>
      <c r="T248" s="67">
        <v>7.000000000000001E-3</v>
      </c>
      <c r="U248" s="67">
        <v>7.000000000000001E-3</v>
      </c>
      <c r="V248" s="67">
        <v>7.000000000000001E-3</v>
      </c>
      <c r="W248" s="67">
        <v>7.000000000000001E-3</v>
      </c>
      <c r="X248" s="67">
        <v>7.000000000000001E-3</v>
      </c>
      <c r="Y248" s="67">
        <v>7.000000000000001E-3</v>
      </c>
      <c r="Z248" s="61" t="s">
        <v>216</v>
      </c>
      <c r="AA248" s="68">
        <v>0.14203855994074494</v>
      </c>
      <c r="AB248" s="69">
        <v>1.260997392571049E-4</v>
      </c>
    </row>
    <row r="249" spans="2:28" x14ac:dyDescent="0.3">
      <c r="B249" s="61" t="s">
        <v>225</v>
      </c>
      <c r="C249" s="61" t="s">
        <v>185</v>
      </c>
      <c r="D249" s="61" t="s">
        <v>200</v>
      </c>
      <c r="E249" s="61" t="s">
        <v>192</v>
      </c>
      <c r="F249" s="61" t="s">
        <v>94</v>
      </c>
      <c r="G249" s="62">
        <v>1</v>
      </c>
      <c r="H249" s="61">
        <v>2</v>
      </c>
      <c r="I249" s="61" t="s">
        <v>218</v>
      </c>
      <c r="J249" s="61" t="s">
        <v>215</v>
      </c>
      <c r="K249" s="67">
        <v>9.5999999999999992E-3</v>
      </c>
      <c r="L249" s="67">
        <v>9.5999999999999992E-3</v>
      </c>
      <c r="M249" s="67">
        <v>9.5999999999999992E-3</v>
      </c>
      <c r="N249" s="67">
        <v>9.5999999999999992E-3</v>
      </c>
      <c r="O249" s="67">
        <v>9.5999999999999992E-3</v>
      </c>
      <c r="P249" s="67">
        <v>9.5999999999999992E-3</v>
      </c>
      <c r="Q249" s="67">
        <v>9.5999999999999992E-3</v>
      </c>
      <c r="R249" s="67">
        <v>9.5999999999999992E-3</v>
      </c>
      <c r="S249" s="67">
        <v>9.5999999999999992E-3</v>
      </c>
      <c r="T249" s="67">
        <v>9.5999999999999992E-3</v>
      </c>
      <c r="U249" s="67">
        <v>9.5999999999999992E-3</v>
      </c>
      <c r="V249" s="67">
        <v>9.5999999999999992E-3</v>
      </c>
      <c r="W249" s="67">
        <v>9.5999999999999992E-3</v>
      </c>
      <c r="X249" s="67">
        <v>9.5999999999999992E-3</v>
      </c>
      <c r="Y249" s="67">
        <v>9.5999999999999992E-3</v>
      </c>
      <c r="Z249" s="61" t="s">
        <v>216</v>
      </c>
      <c r="AA249" s="68">
        <v>0.14203855994074494</v>
      </c>
      <c r="AB249" s="69">
        <v>1.260997392571049E-4</v>
      </c>
    </row>
    <row r="250" spans="2:28" x14ac:dyDescent="0.3">
      <c r="B250" s="61" t="s">
        <v>225</v>
      </c>
      <c r="C250" s="61" t="s">
        <v>185</v>
      </c>
      <c r="D250" s="61" t="s">
        <v>200</v>
      </c>
      <c r="E250" s="61" t="s">
        <v>193</v>
      </c>
      <c r="F250" s="61" t="s">
        <v>94</v>
      </c>
      <c r="G250" s="62">
        <v>0</v>
      </c>
      <c r="H250" s="61">
        <v>0</v>
      </c>
      <c r="I250" s="61">
        <v>0</v>
      </c>
      <c r="J250" s="61" t="e">
        <v>#N/A</v>
      </c>
      <c r="K250" s="70">
        <v>0</v>
      </c>
      <c r="L250" s="70">
        <v>0</v>
      </c>
      <c r="M250" s="70">
        <v>0</v>
      </c>
      <c r="N250" s="70">
        <v>0</v>
      </c>
      <c r="O250" s="70">
        <v>0</v>
      </c>
      <c r="P250" s="70">
        <v>0</v>
      </c>
      <c r="Q250" s="70">
        <v>0</v>
      </c>
      <c r="R250" s="70">
        <v>0</v>
      </c>
      <c r="S250" s="70">
        <v>0</v>
      </c>
      <c r="T250" s="70">
        <v>0</v>
      </c>
      <c r="U250" s="70">
        <v>0</v>
      </c>
      <c r="V250" s="70">
        <v>0</v>
      </c>
      <c r="W250" s="70">
        <v>0</v>
      </c>
      <c r="X250" s="70">
        <v>0</v>
      </c>
      <c r="Y250" s="70">
        <v>0</v>
      </c>
      <c r="Z250" s="61">
        <v>0</v>
      </c>
      <c r="AA250" s="68">
        <v>0</v>
      </c>
      <c r="AB250" s="69">
        <v>0</v>
      </c>
    </row>
    <row r="251" spans="2:28" x14ac:dyDescent="0.3">
      <c r="B251" s="61" t="s">
        <v>225</v>
      </c>
      <c r="C251" s="61" t="s">
        <v>185</v>
      </c>
      <c r="D251" s="61" t="s">
        <v>200</v>
      </c>
      <c r="E251" s="61" t="s">
        <v>194</v>
      </c>
      <c r="F251" s="61" t="s">
        <v>94</v>
      </c>
      <c r="G251" s="62">
        <v>0</v>
      </c>
      <c r="H251" s="61">
        <v>0</v>
      </c>
      <c r="I251" s="61">
        <v>0</v>
      </c>
      <c r="J251" s="61" t="e">
        <v>#N/A</v>
      </c>
      <c r="K251" s="70">
        <v>0</v>
      </c>
      <c r="L251" s="70">
        <v>0</v>
      </c>
      <c r="M251" s="70">
        <v>0</v>
      </c>
      <c r="N251" s="70">
        <v>0</v>
      </c>
      <c r="O251" s="70">
        <v>0</v>
      </c>
      <c r="P251" s="70">
        <v>0</v>
      </c>
      <c r="Q251" s="70">
        <v>0</v>
      </c>
      <c r="R251" s="70">
        <v>0</v>
      </c>
      <c r="S251" s="70">
        <v>0</v>
      </c>
      <c r="T251" s="70">
        <v>0</v>
      </c>
      <c r="U251" s="70">
        <v>0</v>
      </c>
      <c r="V251" s="70">
        <v>0</v>
      </c>
      <c r="W251" s="70">
        <v>0</v>
      </c>
      <c r="X251" s="70">
        <v>0</v>
      </c>
      <c r="Y251" s="70">
        <v>0</v>
      </c>
      <c r="Z251" s="61">
        <v>0</v>
      </c>
      <c r="AA251" s="68">
        <v>0</v>
      </c>
      <c r="AB251" s="69">
        <v>0</v>
      </c>
    </row>
    <row r="252" spans="2:28" x14ac:dyDescent="0.3">
      <c r="B252" s="61" t="s">
        <v>225</v>
      </c>
      <c r="C252" s="61" t="s">
        <v>185</v>
      </c>
      <c r="D252" s="61" t="s">
        <v>200</v>
      </c>
      <c r="E252" s="61" t="s">
        <v>195</v>
      </c>
      <c r="F252" s="61" t="s">
        <v>94</v>
      </c>
      <c r="G252" s="62">
        <v>0</v>
      </c>
      <c r="H252" s="61">
        <v>0</v>
      </c>
      <c r="I252" s="61">
        <v>0</v>
      </c>
      <c r="J252" s="61" t="e">
        <v>#N/A</v>
      </c>
      <c r="K252" s="70">
        <v>0</v>
      </c>
      <c r="L252" s="70">
        <v>0</v>
      </c>
      <c r="M252" s="70">
        <v>0</v>
      </c>
      <c r="N252" s="70">
        <v>0</v>
      </c>
      <c r="O252" s="70">
        <v>0</v>
      </c>
      <c r="P252" s="70">
        <v>0</v>
      </c>
      <c r="Q252" s="70">
        <v>0</v>
      </c>
      <c r="R252" s="70">
        <v>0</v>
      </c>
      <c r="S252" s="70">
        <v>0</v>
      </c>
      <c r="T252" s="70">
        <v>0</v>
      </c>
      <c r="U252" s="70">
        <v>0</v>
      </c>
      <c r="V252" s="70">
        <v>0</v>
      </c>
      <c r="W252" s="70">
        <v>0</v>
      </c>
      <c r="X252" s="70">
        <v>0</v>
      </c>
      <c r="Y252" s="70">
        <v>0</v>
      </c>
      <c r="Z252" s="61">
        <v>0</v>
      </c>
      <c r="AA252" s="68">
        <v>0</v>
      </c>
      <c r="AB252" s="69">
        <v>0</v>
      </c>
    </row>
    <row r="253" spans="2:28" x14ac:dyDescent="0.3">
      <c r="B253" s="61" t="s">
        <v>225</v>
      </c>
      <c r="C253" s="61" t="s">
        <v>185</v>
      </c>
      <c r="D253" s="61" t="s">
        <v>200</v>
      </c>
      <c r="E253" s="61" t="s">
        <v>196</v>
      </c>
      <c r="F253" s="61" t="s">
        <v>94</v>
      </c>
      <c r="G253" s="62">
        <v>0</v>
      </c>
      <c r="H253" s="61">
        <v>0</v>
      </c>
      <c r="I253" s="61">
        <v>0</v>
      </c>
      <c r="J253" s="61" t="e">
        <v>#N/A</v>
      </c>
      <c r="K253" s="70">
        <v>0</v>
      </c>
      <c r="L253" s="70">
        <v>0</v>
      </c>
      <c r="M253" s="70">
        <v>0</v>
      </c>
      <c r="N253" s="70">
        <v>0</v>
      </c>
      <c r="O253" s="70">
        <v>0</v>
      </c>
      <c r="P253" s="70">
        <v>0</v>
      </c>
      <c r="Q253" s="70">
        <v>0</v>
      </c>
      <c r="R253" s="70">
        <v>0</v>
      </c>
      <c r="S253" s="70">
        <v>0</v>
      </c>
      <c r="T253" s="70">
        <v>0</v>
      </c>
      <c r="U253" s="70">
        <v>0</v>
      </c>
      <c r="V253" s="70">
        <v>0</v>
      </c>
      <c r="W253" s="70">
        <v>0</v>
      </c>
      <c r="X253" s="70">
        <v>0</v>
      </c>
      <c r="Y253" s="70">
        <v>0</v>
      </c>
      <c r="Z253" s="61">
        <v>0</v>
      </c>
      <c r="AA253" s="68">
        <v>0</v>
      </c>
      <c r="AB253" s="69">
        <v>0</v>
      </c>
    </row>
    <row r="254" spans="2:28" x14ac:dyDescent="0.3">
      <c r="B254" s="61" t="s">
        <v>225</v>
      </c>
      <c r="C254" s="61" t="s">
        <v>185</v>
      </c>
      <c r="D254" s="61" t="s">
        <v>200</v>
      </c>
      <c r="E254" s="61" t="s">
        <v>197</v>
      </c>
      <c r="F254" s="61" t="s">
        <v>94</v>
      </c>
      <c r="G254" s="62">
        <v>0.35</v>
      </c>
      <c r="H254" s="61">
        <v>2</v>
      </c>
      <c r="I254" s="61" t="s">
        <v>218</v>
      </c>
      <c r="J254" s="61" t="s">
        <v>215</v>
      </c>
      <c r="K254" s="67">
        <v>6.7499999999999999E-3</v>
      </c>
      <c r="L254" s="67">
        <v>6.7499999999999999E-3</v>
      </c>
      <c r="M254" s="67">
        <v>6.7499999999999999E-3</v>
      </c>
      <c r="N254" s="67">
        <v>6.7499999999999999E-3</v>
      </c>
      <c r="O254" s="67">
        <v>6.7499999999999999E-3</v>
      </c>
      <c r="P254" s="67">
        <v>6.7499999999999999E-3</v>
      </c>
      <c r="Q254" s="67">
        <v>6.7499999999999999E-3</v>
      </c>
      <c r="R254" s="67">
        <v>6.7499999999999999E-3</v>
      </c>
      <c r="S254" s="67">
        <v>6.7499999999999999E-3</v>
      </c>
      <c r="T254" s="67">
        <v>6.7499999999999999E-3</v>
      </c>
      <c r="U254" s="67">
        <v>6.7499999999999999E-3</v>
      </c>
      <c r="V254" s="67">
        <v>6.7499999999999999E-3</v>
      </c>
      <c r="W254" s="67">
        <v>6.7499999999999999E-3</v>
      </c>
      <c r="X254" s="67">
        <v>6.7499999999999999E-3</v>
      </c>
      <c r="Y254" s="67">
        <v>6.7499999999999999E-3</v>
      </c>
      <c r="Z254" s="61" t="s">
        <v>216</v>
      </c>
      <c r="AA254" s="68">
        <v>0.14203855994074494</v>
      </c>
      <c r="AB254" s="69">
        <v>1.260997392571049E-4</v>
      </c>
    </row>
    <row r="255" spans="2:28" x14ac:dyDescent="0.3">
      <c r="B255" s="61" t="s">
        <v>225</v>
      </c>
      <c r="C255" s="61" t="s">
        <v>185</v>
      </c>
      <c r="D255" s="61" t="s">
        <v>200</v>
      </c>
      <c r="E255" s="61" t="s">
        <v>198</v>
      </c>
      <c r="F255" s="61" t="s">
        <v>94</v>
      </c>
      <c r="G255" s="62">
        <v>0.9</v>
      </c>
      <c r="H255" s="61">
        <v>2</v>
      </c>
      <c r="I255" s="61" t="s">
        <v>218</v>
      </c>
      <c r="J255" s="61" t="s">
        <v>215</v>
      </c>
      <c r="K255" s="67">
        <v>8.9999999999999993E-3</v>
      </c>
      <c r="L255" s="67">
        <v>8.9999999999999993E-3</v>
      </c>
      <c r="M255" s="67">
        <v>8.9999999999999993E-3</v>
      </c>
      <c r="N255" s="67">
        <v>8.9999999999999993E-3</v>
      </c>
      <c r="O255" s="67">
        <v>8.9999999999999993E-3</v>
      </c>
      <c r="P255" s="67">
        <v>8.9999999999999993E-3</v>
      </c>
      <c r="Q255" s="67">
        <v>8.9999999999999993E-3</v>
      </c>
      <c r="R255" s="67">
        <v>8.9999999999999993E-3</v>
      </c>
      <c r="S255" s="67">
        <v>8.9999999999999993E-3</v>
      </c>
      <c r="T255" s="67">
        <v>8.9999999999999993E-3</v>
      </c>
      <c r="U255" s="67">
        <v>8.9999999999999993E-3</v>
      </c>
      <c r="V255" s="67">
        <v>8.9999999999999993E-3</v>
      </c>
      <c r="W255" s="67">
        <v>8.9999999999999993E-3</v>
      </c>
      <c r="X255" s="67">
        <v>8.9999999999999993E-3</v>
      </c>
      <c r="Y255" s="67">
        <v>8.9999999999999993E-3</v>
      </c>
      <c r="Z255" s="61" t="s">
        <v>216</v>
      </c>
      <c r="AA255" s="68">
        <v>0.14203855994074494</v>
      </c>
      <c r="AB255" s="69">
        <v>1.260997392571049E-4</v>
      </c>
    </row>
    <row r="256" spans="2:28" x14ac:dyDescent="0.3">
      <c r="B256" s="61" t="s">
        <v>225</v>
      </c>
      <c r="C256" s="61" t="s">
        <v>185</v>
      </c>
      <c r="D256" s="61" t="s">
        <v>200</v>
      </c>
      <c r="E256" s="61" t="s">
        <v>199</v>
      </c>
      <c r="F256" s="61" t="s">
        <v>94</v>
      </c>
      <c r="G256" s="62">
        <v>0</v>
      </c>
      <c r="H256" s="61">
        <v>0</v>
      </c>
      <c r="I256" s="61">
        <v>0</v>
      </c>
      <c r="J256" s="61" t="e">
        <v>#N/A</v>
      </c>
      <c r="K256" s="70">
        <v>0</v>
      </c>
      <c r="L256" s="70">
        <v>0</v>
      </c>
      <c r="M256" s="70">
        <v>0</v>
      </c>
      <c r="N256" s="70">
        <v>0</v>
      </c>
      <c r="O256" s="70">
        <v>0</v>
      </c>
      <c r="P256" s="70">
        <v>0</v>
      </c>
      <c r="Q256" s="70">
        <v>0</v>
      </c>
      <c r="R256" s="70">
        <v>0</v>
      </c>
      <c r="S256" s="70">
        <v>0</v>
      </c>
      <c r="T256" s="70">
        <v>0</v>
      </c>
      <c r="U256" s="70">
        <v>0</v>
      </c>
      <c r="V256" s="70">
        <v>0</v>
      </c>
      <c r="W256" s="70">
        <v>0</v>
      </c>
      <c r="X256" s="70">
        <v>0</v>
      </c>
      <c r="Y256" s="70">
        <v>0</v>
      </c>
      <c r="Z256" s="61">
        <v>0</v>
      </c>
      <c r="AA256" s="68">
        <v>0</v>
      </c>
      <c r="AB256" s="69">
        <v>0</v>
      </c>
    </row>
    <row r="257" spans="2:28" x14ac:dyDescent="0.3">
      <c r="B257" s="61" t="s">
        <v>225</v>
      </c>
      <c r="C257" s="61" t="s">
        <v>185</v>
      </c>
      <c r="D257" s="61" t="s">
        <v>123</v>
      </c>
      <c r="E257" s="61" t="s">
        <v>186</v>
      </c>
      <c r="F257" s="61" t="s">
        <v>93</v>
      </c>
      <c r="G257" s="62">
        <v>1</v>
      </c>
      <c r="H257" s="61">
        <v>2</v>
      </c>
      <c r="I257" s="61" t="s">
        <v>214</v>
      </c>
      <c r="J257" s="61" t="s">
        <v>215</v>
      </c>
      <c r="K257" s="67">
        <v>2.01E-2</v>
      </c>
      <c r="L257" s="67">
        <v>2.01E-2</v>
      </c>
      <c r="M257" s="67">
        <v>2.01E-2</v>
      </c>
      <c r="N257" s="67">
        <v>2.01E-2</v>
      </c>
      <c r="O257" s="67">
        <v>2.01E-2</v>
      </c>
      <c r="P257" s="67">
        <v>2.01E-2</v>
      </c>
      <c r="Q257" s="67">
        <v>2.01E-2</v>
      </c>
      <c r="R257" s="67">
        <v>2.01E-2</v>
      </c>
      <c r="S257" s="67">
        <v>2.01E-2</v>
      </c>
      <c r="T257" s="67">
        <v>2.01E-2</v>
      </c>
      <c r="U257" s="67">
        <v>2.01E-2</v>
      </c>
      <c r="V257" s="67">
        <v>2.01E-2</v>
      </c>
      <c r="W257" s="67">
        <v>2.01E-2</v>
      </c>
      <c r="X257" s="67">
        <v>2.01E-2</v>
      </c>
      <c r="Y257" s="67">
        <v>2.01E-2</v>
      </c>
      <c r="Z257" s="61" t="s">
        <v>216</v>
      </c>
      <c r="AA257" s="68">
        <v>3.2362819813579785E-3</v>
      </c>
      <c r="AB257" s="69">
        <v>1.260997392571049E-4</v>
      </c>
    </row>
    <row r="258" spans="2:28" x14ac:dyDescent="0.3">
      <c r="B258" s="61" t="s">
        <v>225</v>
      </c>
      <c r="C258" s="61" t="s">
        <v>185</v>
      </c>
      <c r="D258" s="61" t="s">
        <v>123</v>
      </c>
      <c r="E258" s="61" t="s">
        <v>186</v>
      </c>
      <c r="F258" s="61" t="s">
        <v>94</v>
      </c>
      <c r="G258" s="62">
        <v>1</v>
      </c>
      <c r="H258" s="61">
        <v>2</v>
      </c>
      <c r="I258" s="61" t="s">
        <v>218</v>
      </c>
      <c r="J258" s="61" t="s">
        <v>215</v>
      </c>
      <c r="K258" s="67">
        <v>1.3400000000000002E-2</v>
      </c>
      <c r="L258" s="67">
        <v>1.3400000000000002E-2</v>
      </c>
      <c r="M258" s="67">
        <v>1.3400000000000002E-2</v>
      </c>
      <c r="N258" s="67">
        <v>1.3400000000000002E-2</v>
      </c>
      <c r="O258" s="67">
        <v>1.3400000000000002E-2</v>
      </c>
      <c r="P258" s="67">
        <v>1.3400000000000002E-2</v>
      </c>
      <c r="Q258" s="67">
        <v>1.3400000000000002E-2</v>
      </c>
      <c r="R258" s="67">
        <v>1.3400000000000002E-2</v>
      </c>
      <c r="S258" s="67">
        <v>1.3400000000000002E-2</v>
      </c>
      <c r="T258" s="67">
        <v>1.3400000000000002E-2</v>
      </c>
      <c r="U258" s="67">
        <v>1.3400000000000002E-2</v>
      </c>
      <c r="V258" s="67">
        <v>1.3400000000000002E-2</v>
      </c>
      <c r="W258" s="67">
        <v>1.3400000000000002E-2</v>
      </c>
      <c r="X258" s="67">
        <v>1.3400000000000002E-2</v>
      </c>
      <c r="Y258" s="67">
        <v>1.3400000000000002E-2</v>
      </c>
      <c r="Z258" s="61" t="s">
        <v>216</v>
      </c>
      <c r="AA258" s="68">
        <v>1.1261510504232507E-2</v>
      </c>
      <c r="AB258" s="69">
        <v>1.260997392571049E-4</v>
      </c>
    </row>
    <row r="259" spans="2:28" x14ac:dyDescent="0.3">
      <c r="B259" s="61" t="s">
        <v>225</v>
      </c>
      <c r="C259" s="61" t="s">
        <v>185</v>
      </c>
      <c r="D259" s="61" t="s">
        <v>123</v>
      </c>
      <c r="E259" s="61" t="s">
        <v>189</v>
      </c>
      <c r="F259" s="61" t="s">
        <v>93</v>
      </c>
      <c r="G259" s="62">
        <v>0</v>
      </c>
      <c r="H259" s="61">
        <v>0</v>
      </c>
      <c r="I259" s="61">
        <v>0</v>
      </c>
      <c r="J259" s="61" t="e">
        <v>#N/A</v>
      </c>
      <c r="K259" s="70">
        <v>0</v>
      </c>
      <c r="L259" s="70">
        <v>0</v>
      </c>
      <c r="M259" s="70">
        <v>0</v>
      </c>
      <c r="N259" s="70">
        <v>0</v>
      </c>
      <c r="O259" s="70">
        <v>0</v>
      </c>
      <c r="P259" s="70">
        <v>0</v>
      </c>
      <c r="Q259" s="70">
        <v>0</v>
      </c>
      <c r="R259" s="70">
        <v>0</v>
      </c>
      <c r="S259" s="70">
        <v>0</v>
      </c>
      <c r="T259" s="70">
        <v>0</v>
      </c>
      <c r="U259" s="70">
        <v>0</v>
      </c>
      <c r="V259" s="70">
        <v>0</v>
      </c>
      <c r="W259" s="70">
        <v>0</v>
      </c>
      <c r="X259" s="70">
        <v>0</v>
      </c>
      <c r="Y259" s="70">
        <v>0</v>
      </c>
      <c r="Z259" s="61">
        <v>0</v>
      </c>
      <c r="AA259" s="68">
        <v>0</v>
      </c>
      <c r="AB259" s="69">
        <v>0</v>
      </c>
    </row>
    <row r="260" spans="2:28" x14ac:dyDescent="0.3">
      <c r="B260" s="61" t="s">
        <v>225</v>
      </c>
      <c r="C260" s="61" t="s">
        <v>185</v>
      </c>
      <c r="D260" s="61" t="s">
        <v>123</v>
      </c>
      <c r="E260" s="61" t="s">
        <v>189</v>
      </c>
      <c r="F260" s="61" t="s">
        <v>94</v>
      </c>
      <c r="G260" s="62">
        <v>0</v>
      </c>
      <c r="H260" s="61">
        <v>0</v>
      </c>
      <c r="I260" s="61">
        <v>0</v>
      </c>
      <c r="J260" s="61" t="e">
        <v>#N/A</v>
      </c>
      <c r="K260" s="70">
        <v>0</v>
      </c>
      <c r="L260" s="70">
        <v>0</v>
      </c>
      <c r="M260" s="70">
        <v>0</v>
      </c>
      <c r="N260" s="70">
        <v>0</v>
      </c>
      <c r="O260" s="70">
        <v>0</v>
      </c>
      <c r="P260" s="70">
        <v>0</v>
      </c>
      <c r="Q260" s="70">
        <v>0</v>
      </c>
      <c r="R260" s="70">
        <v>0</v>
      </c>
      <c r="S260" s="70">
        <v>0</v>
      </c>
      <c r="T260" s="70">
        <v>0</v>
      </c>
      <c r="U260" s="70">
        <v>0</v>
      </c>
      <c r="V260" s="70">
        <v>0</v>
      </c>
      <c r="W260" s="70">
        <v>0</v>
      </c>
      <c r="X260" s="70">
        <v>0</v>
      </c>
      <c r="Y260" s="70">
        <v>0</v>
      </c>
      <c r="Z260" s="61">
        <v>0</v>
      </c>
      <c r="AA260" s="68">
        <v>0</v>
      </c>
      <c r="AB260" s="69">
        <v>0</v>
      </c>
    </row>
    <row r="261" spans="2:28" x14ac:dyDescent="0.3">
      <c r="B261" s="61" t="s">
        <v>225</v>
      </c>
      <c r="C261" s="61" t="s">
        <v>185</v>
      </c>
      <c r="D261" s="61" t="s">
        <v>123</v>
      </c>
      <c r="E261" s="61" t="s">
        <v>190</v>
      </c>
      <c r="F261" s="61" t="s">
        <v>93</v>
      </c>
      <c r="G261" s="62">
        <v>0.69</v>
      </c>
      <c r="H261" s="61">
        <v>2</v>
      </c>
      <c r="I261" s="61" t="s">
        <v>214</v>
      </c>
      <c r="J261" s="61" t="s">
        <v>215</v>
      </c>
      <c r="K261" s="67">
        <v>1.35E-2</v>
      </c>
      <c r="L261" s="67">
        <v>1.35E-2</v>
      </c>
      <c r="M261" s="67">
        <v>1.35E-2</v>
      </c>
      <c r="N261" s="67">
        <v>1.35E-2</v>
      </c>
      <c r="O261" s="67">
        <v>1.35E-2</v>
      </c>
      <c r="P261" s="67">
        <v>1.35E-2</v>
      </c>
      <c r="Q261" s="67">
        <v>1.35E-2</v>
      </c>
      <c r="R261" s="67">
        <v>1.35E-2</v>
      </c>
      <c r="S261" s="67">
        <v>1.35E-2</v>
      </c>
      <c r="T261" s="67">
        <v>1.35E-2</v>
      </c>
      <c r="U261" s="67">
        <v>1.35E-2</v>
      </c>
      <c r="V261" s="67">
        <v>1.35E-2</v>
      </c>
      <c r="W261" s="67">
        <v>1.35E-2</v>
      </c>
      <c r="X261" s="67">
        <v>1.35E-2</v>
      </c>
      <c r="Y261" s="67">
        <v>1.35E-2</v>
      </c>
      <c r="Z261" s="61" t="s">
        <v>216</v>
      </c>
      <c r="AA261" s="68">
        <v>3.2362819813579785E-3</v>
      </c>
      <c r="AB261" s="69">
        <v>1.260997392571049E-4</v>
      </c>
    </row>
    <row r="262" spans="2:28" x14ac:dyDescent="0.3">
      <c r="B262" s="61" t="s">
        <v>225</v>
      </c>
      <c r="C262" s="61" t="s">
        <v>185</v>
      </c>
      <c r="D262" s="61" t="s">
        <v>123</v>
      </c>
      <c r="E262" s="61" t="s">
        <v>190</v>
      </c>
      <c r="F262" s="61" t="s">
        <v>94</v>
      </c>
      <c r="G262" s="62">
        <v>0.82599999999999996</v>
      </c>
      <c r="H262" s="61">
        <v>2</v>
      </c>
      <c r="I262" s="61" t="s">
        <v>218</v>
      </c>
      <c r="J262" s="61" t="s">
        <v>215</v>
      </c>
      <c r="K262" s="67">
        <v>8.9999999999999993E-3</v>
      </c>
      <c r="L262" s="67">
        <v>8.9999999999999993E-3</v>
      </c>
      <c r="M262" s="67">
        <v>8.9999999999999993E-3</v>
      </c>
      <c r="N262" s="67">
        <v>8.9999999999999993E-3</v>
      </c>
      <c r="O262" s="67">
        <v>8.9999999999999993E-3</v>
      </c>
      <c r="P262" s="67">
        <v>8.9999999999999993E-3</v>
      </c>
      <c r="Q262" s="67">
        <v>8.9999999999999993E-3</v>
      </c>
      <c r="R262" s="67">
        <v>8.9999999999999993E-3</v>
      </c>
      <c r="S262" s="67">
        <v>8.9999999999999993E-3</v>
      </c>
      <c r="T262" s="67">
        <v>8.9999999999999993E-3</v>
      </c>
      <c r="U262" s="67">
        <v>8.9999999999999993E-3</v>
      </c>
      <c r="V262" s="67">
        <v>8.9999999999999993E-3</v>
      </c>
      <c r="W262" s="67">
        <v>8.9999999999999993E-3</v>
      </c>
      <c r="X262" s="67">
        <v>8.9999999999999993E-3</v>
      </c>
      <c r="Y262" s="67">
        <v>8.9999999999999993E-3</v>
      </c>
      <c r="Z262" s="61" t="s">
        <v>216</v>
      </c>
      <c r="AA262" s="68">
        <v>1.1261510504232507E-2</v>
      </c>
      <c r="AB262" s="69">
        <v>1.260997392571049E-4</v>
      </c>
    </row>
    <row r="263" spans="2:28" x14ac:dyDescent="0.3">
      <c r="B263" s="61" t="s">
        <v>225</v>
      </c>
      <c r="C263" s="61" t="s">
        <v>185</v>
      </c>
      <c r="D263" s="61" t="s">
        <v>123</v>
      </c>
      <c r="E263" s="61" t="s">
        <v>191</v>
      </c>
      <c r="F263" s="61" t="s">
        <v>93</v>
      </c>
      <c r="G263" s="62">
        <v>1</v>
      </c>
      <c r="H263" s="61">
        <v>2</v>
      </c>
      <c r="I263" s="61" t="s">
        <v>214</v>
      </c>
      <c r="J263" s="61" t="s">
        <v>215</v>
      </c>
      <c r="K263" s="67">
        <v>1.0500000000000001E-2</v>
      </c>
      <c r="L263" s="67">
        <v>1.0500000000000001E-2</v>
      </c>
      <c r="M263" s="67">
        <v>1.0500000000000001E-2</v>
      </c>
      <c r="N263" s="67">
        <v>1.0500000000000001E-2</v>
      </c>
      <c r="O263" s="67">
        <v>1.0500000000000001E-2</v>
      </c>
      <c r="P263" s="67">
        <v>1.0500000000000001E-2</v>
      </c>
      <c r="Q263" s="67">
        <v>1.0500000000000001E-2</v>
      </c>
      <c r="R263" s="67">
        <v>1.0500000000000001E-2</v>
      </c>
      <c r="S263" s="67">
        <v>1.0500000000000001E-2</v>
      </c>
      <c r="T263" s="67">
        <v>1.0500000000000001E-2</v>
      </c>
      <c r="U263" s="67">
        <v>1.0500000000000001E-2</v>
      </c>
      <c r="V263" s="67">
        <v>1.0500000000000001E-2</v>
      </c>
      <c r="W263" s="67">
        <v>1.0500000000000001E-2</v>
      </c>
      <c r="X263" s="67">
        <v>1.0500000000000001E-2</v>
      </c>
      <c r="Y263" s="67">
        <v>1.0500000000000001E-2</v>
      </c>
      <c r="Z263" s="61" t="s">
        <v>216</v>
      </c>
      <c r="AA263" s="68">
        <v>3.2362819813579785E-3</v>
      </c>
      <c r="AB263" s="69">
        <v>1.260997392571049E-4</v>
      </c>
    </row>
    <row r="264" spans="2:28" x14ac:dyDescent="0.3">
      <c r="B264" s="61" t="s">
        <v>225</v>
      </c>
      <c r="C264" s="61" t="s">
        <v>185</v>
      </c>
      <c r="D264" s="61" t="s">
        <v>123</v>
      </c>
      <c r="E264" s="61" t="s">
        <v>191</v>
      </c>
      <c r="F264" s="61" t="s">
        <v>94</v>
      </c>
      <c r="G264" s="62">
        <v>1</v>
      </c>
      <c r="H264" s="61">
        <v>2</v>
      </c>
      <c r="I264" s="61" t="s">
        <v>218</v>
      </c>
      <c r="J264" s="61" t="s">
        <v>215</v>
      </c>
      <c r="K264" s="67">
        <v>7.000000000000001E-3</v>
      </c>
      <c r="L264" s="67">
        <v>7.000000000000001E-3</v>
      </c>
      <c r="M264" s="67">
        <v>7.000000000000001E-3</v>
      </c>
      <c r="N264" s="67">
        <v>7.000000000000001E-3</v>
      </c>
      <c r="O264" s="67">
        <v>7.000000000000001E-3</v>
      </c>
      <c r="P264" s="67">
        <v>7.000000000000001E-3</v>
      </c>
      <c r="Q264" s="67">
        <v>7.000000000000001E-3</v>
      </c>
      <c r="R264" s="67">
        <v>7.000000000000001E-3</v>
      </c>
      <c r="S264" s="67">
        <v>7.000000000000001E-3</v>
      </c>
      <c r="T264" s="67">
        <v>7.000000000000001E-3</v>
      </c>
      <c r="U264" s="67">
        <v>7.000000000000001E-3</v>
      </c>
      <c r="V264" s="67">
        <v>7.000000000000001E-3</v>
      </c>
      <c r="W264" s="67">
        <v>7.000000000000001E-3</v>
      </c>
      <c r="X264" s="67">
        <v>7.000000000000001E-3</v>
      </c>
      <c r="Y264" s="67">
        <v>7.000000000000001E-3</v>
      </c>
      <c r="Z264" s="61" t="s">
        <v>216</v>
      </c>
      <c r="AA264" s="68">
        <v>1.1261510504232507E-2</v>
      </c>
      <c r="AB264" s="69">
        <v>1.260997392571049E-4</v>
      </c>
    </row>
    <row r="265" spans="2:28" x14ac:dyDescent="0.3">
      <c r="B265" s="61" t="s">
        <v>225</v>
      </c>
      <c r="C265" s="61" t="s">
        <v>185</v>
      </c>
      <c r="D265" s="61" t="s">
        <v>123</v>
      </c>
      <c r="E265" s="61" t="s">
        <v>192</v>
      </c>
      <c r="F265" s="61" t="s">
        <v>93</v>
      </c>
      <c r="G265" s="62">
        <v>1</v>
      </c>
      <c r="H265" s="61">
        <v>2</v>
      </c>
      <c r="I265" s="61" t="s">
        <v>214</v>
      </c>
      <c r="J265" s="61" t="s">
        <v>215</v>
      </c>
      <c r="K265" s="67">
        <v>2.24E-2</v>
      </c>
      <c r="L265" s="67">
        <v>2.24E-2</v>
      </c>
      <c r="M265" s="67">
        <v>2.24E-2</v>
      </c>
      <c r="N265" s="67">
        <v>2.24E-2</v>
      </c>
      <c r="O265" s="67">
        <v>2.24E-2</v>
      </c>
      <c r="P265" s="67">
        <v>2.24E-2</v>
      </c>
      <c r="Q265" s="67">
        <v>2.24E-2</v>
      </c>
      <c r="R265" s="67">
        <v>2.24E-2</v>
      </c>
      <c r="S265" s="67">
        <v>2.24E-2</v>
      </c>
      <c r="T265" s="67">
        <v>2.24E-2</v>
      </c>
      <c r="U265" s="67">
        <v>2.24E-2</v>
      </c>
      <c r="V265" s="67">
        <v>2.24E-2</v>
      </c>
      <c r="W265" s="67">
        <v>2.24E-2</v>
      </c>
      <c r="X265" s="67">
        <v>2.24E-2</v>
      </c>
      <c r="Y265" s="67">
        <v>2.24E-2</v>
      </c>
      <c r="Z265" s="61" t="s">
        <v>216</v>
      </c>
      <c r="AA265" s="68">
        <v>3.2362819813579785E-3</v>
      </c>
      <c r="AB265" s="69">
        <v>1.260997392571049E-4</v>
      </c>
    </row>
    <row r="266" spans="2:28" x14ac:dyDescent="0.3">
      <c r="B266" s="61" t="s">
        <v>225</v>
      </c>
      <c r="C266" s="61" t="s">
        <v>185</v>
      </c>
      <c r="D266" s="61" t="s">
        <v>123</v>
      </c>
      <c r="E266" s="61" t="s">
        <v>192</v>
      </c>
      <c r="F266" s="61" t="s">
        <v>94</v>
      </c>
      <c r="G266" s="62">
        <v>1</v>
      </c>
      <c r="H266" s="61">
        <v>2</v>
      </c>
      <c r="I266" s="61" t="s">
        <v>218</v>
      </c>
      <c r="J266" s="61" t="s">
        <v>215</v>
      </c>
      <c r="K266" s="67">
        <v>9.5999999999999992E-3</v>
      </c>
      <c r="L266" s="67">
        <v>9.5999999999999992E-3</v>
      </c>
      <c r="M266" s="67">
        <v>9.5999999999999992E-3</v>
      </c>
      <c r="N266" s="67">
        <v>9.5999999999999992E-3</v>
      </c>
      <c r="O266" s="67">
        <v>9.5999999999999992E-3</v>
      </c>
      <c r="P266" s="67">
        <v>9.5999999999999992E-3</v>
      </c>
      <c r="Q266" s="67">
        <v>9.5999999999999992E-3</v>
      </c>
      <c r="R266" s="67">
        <v>9.5999999999999992E-3</v>
      </c>
      <c r="S266" s="67">
        <v>9.5999999999999992E-3</v>
      </c>
      <c r="T266" s="67">
        <v>9.5999999999999992E-3</v>
      </c>
      <c r="U266" s="67">
        <v>9.5999999999999992E-3</v>
      </c>
      <c r="V266" s="67">
        <v>9.5999999999999992E-3</v>
      </c>
      <c r="W266" s="67">
        <v>9.5999999999999992E-3</v>
      </c>
      <c r="X266" s="67">
        <v>9.5999999999999992E-3</v>
      </c>
      <c r="Y266" s="67">
        <v>9.5999999999999992E-3</v>
      </c>
      <c r="Z266" s="61" t="s">
        <v>216</v>
      </c>
      <c r="AA266" s="68">
        <v>1.1261510504232507E-2</v>
      </c>
      <c r="AB266" s="69">
        <v>1.260997392571049E-4</v>
      </c>
    </row>
    <row r="267" spans="2:28" x14ac:dyDescent="0.3">
      <c r="B267" s="61" t="s">
        <v>225</v>
      </c>
      <c r="C267" s="61" t="s">
        <v>185</v>
      </c>
      <c r="D267" s="61" t="s">
        <v>123</v>
      </c>
      <c r="E267" s="61" t="s">
        <v>193</v>
      </c>
      <c r="F267" s="61" t="s">
        <v>93</v>
      </c>
      <c r="G267" s="62">
        <v>0</v>
      </c>
      <c r="H267" s="61">
        <v>0</v>
      </c>
      <c r="I267" s="61">
        <v>0</v>
      </c>
      <c r="J267" s="61" t="e">
        <v>#N/A</v>
      </c>
      <c r="K267" s="70">
        <v>0</v>
      </c>
      <c r="L267" s="70">
        <v>0</v>
      </c>
      <c r="M267" s="70">
        <v>0</v>
      </c>
      <c r="N267" s="70">
        <v>0</v>
      </c>
      <c r="O267" s="70">
        <v>0</v>
      </c>
      <c r="P267" s="70">
        <v>0</v>
      </c>
      <c r="Q267" s="70">
        <v>0</v>
      </c>
      <c r="R267" s="70">
        <v>0</v>
      </c>
      <c r="S267" s="70">
        <v>0</v>
      </c>
      <c r="T267" s="70">
        <v>0</v>
      </c>
      <c r="U267" s="70">
        <v>0</v>
      </c>
      <c r="V267" s="70">
        <v>0</v>
      </c>
      <c r="W267" s="70">
        <v>0</v>
      </c>
      <c r="X267" s="70">
        <v>0</v>
      </c>
      <c r="Y267" s="70">
        <v>0</v>
      </c>
      <c r="Z267" s="61">
        <v>0</v>
      </c>
      <c r="AA267" s="68">
        <v>0</v>
      </c>
      <c r="AB267" s="69">
        <v>0</v>
      </c>
    </row>
    <row r="268" spans="2:28" x14ac:dyDescent="0.3">
      <c r="B268" s="61" t="s">
        <v>225</v>
      </c>
      <c r="C268" s="61" t="s">
        <v>185</v>
      </c>
      <c r="D268" s="61" t="s">
        <v>123</v>
      </c>
      <c r="E268" s="61" t="s">
        <v>193</v>
      </c>
      <c r="F268" s="61" t="s">
        <v>94</v>
      </c>
      <c r="G268" s="62">
        <v>0</v>
      </c>
      <c r="H268" s="61">
        <v>0</v>
      </c>
      <c r="I268" s="61">
        <v>0</v>
      </c>
      <c r="J268" s="61" t="e">
        <v>#N/A</v>
      </c>
      <c r="K268" s="70">
        <v>0</v>
      </c>
      <c r="L268" s="70">
        <v>0</v>
      </c>
      <c r="M268" s="70">
        <v>0</v>
      </c>
      <c r="N268" s="70">
        <v>0</v>
      </c>
      <c r="O268" s="70">
        <v>0</v>
      </c>
      <c r="P268" s="70">
        <v>0</v>
      </c>
      <c r="Q268" s="70">
        <v>0</v>
      </c>
      <c r="R268" s="70">
        <v>0</v>
      </c>
      <c r="S268" s="70">
        <v>0</v>
      </c>
      <c r="T268" s="70">
        <v>0</v>
      </c>
      <c r="U268" s="70">
        <v>0</v>
      </c>
      <c r="V268" s="70">
        <v>0</v>
      </c>
      <c r="W268" s="70">
        <v>0</v>
      </c>
      <c r="X268" s="70">
        <v>0</v>
      </c>
      <c r="Y268" s="70">
        <v>0</v>
      </c>
      <c r="Z268" s="61">
        <v>0</v>
      </c>
      <c r="AA268" s="68">
        <v>0</v>
      </c>
      <c r="AB268" s="69">
        <v>0</v>
      </c>
    </row>
    <row r="269" spans="2:28" x14ac:dyDescent="0.3">
      <c r="B269" s="61" t="s">
        <v>225</v>
      </c>
      <c r="C269" s="61" t="s">
        <v>185</v>
      </c>
      <c r="D269" s="61" t="s">
        <v>123</v>
      </c>
      <c r="E269" s="61" t="s">
        <v>194</v>
      </c>
      <c r="F269" s="61" t="s">
        <v>93</v>
      </c>
      <c r="G269" s="62">
        <v>0</v>
      </c>
      <c r="H269" s="61">
        <v>0</v>
      </c>
      <c r="I269" s="61">
        <v>0</v>
      </c>
      <c r="J269" s="61" t="e">
        <v>#N/A</v>
      </c>
      <c r="K269" s="70">
        <v>0</v>
      </c>
      <c r="L269" s="70">
        <v>0</v>
      </c>
      <c r="M269" s="70">
        <v>0</v>
      </c>
      <c r="N269" s="70">
        <v>0</v>
      </c>
      <c r="O269" s="70">
        <v>0</v>
      </c>
      <c r="P269" s="70">
        <v>0</v>
      </c>
      <c r="Q269" s="70">
        <v>0</v>
      </c>
      <c r="R269" s="70">
        <v>0</v>
      </c>
      <c r="S269" s="70">
        <v>0</v>
      </c>
      <c r="T269" s="70">
        <v>0</v>
      </c>
      <c r="U269" s="70">
        <v>0</v>
      </c>
      <c r="V269" s="70">
        <v>0</v>
      </c>
      <c r="W269" s="70">
        <v>0</v>
      </c>
      <c r="X269" s="70">
        <v>0</v>
      </c>
      <c r="Y269" s="70">
        <v>0</v>
      </c>
      <c r="Z269" s="61">
        <v>0</v>
      </c>
      <c r="AA269" s="68">
        <v>0</v>
      </c>
      <c r="AB269" s="69">
        <v>0</v>
      </c>
    </row>
    <row r="270" spans="2:28" x14ac:dyDescent="0.3">
      <c r="B270" s="61" t="s">
        <v>225</v>
      </c>
      <c r="C270" s="61" t="s">
        <v>185</v>
      </c>
      <c r="D270" s="61" t="s">
        <v>123</v>
      </c>
      <c r="E270" s="61" t="s">
        <v>194</v>
      </c>
      <c r="F270" s="61" t="s">
        <v>94</v>
      </c>
      <c r="G270" s="62">
        <v>0</v>
      </c>
      <c r="H270" s="61">
        <v>0</v>
      </c>
      <c r="I270" s="61">
        <v>0</v>
      </c>
      <c r="J270" s="61" t="e">
        <v>#N/A</v>
      </c>
      <c r="K270" s="70">
        <v>0</v>
      </c>
      <c r="L270" s="70">
        <v>0</v>
      </c>
      <c r="M270" s="70">
        <v>0</v>
      </c>
      <c r="N270" s="70">
        <v>0</v>
      </c>
      <c r="O270" s="70">
        <v>0</v>
      </c>
      <c r="P270" s="70">
        <v>0</v>
      </c>
      <c r="Q270" s="70">
        <v>0</v>
      </c>
      <c r="R270" s="70">
        <v>0</v>
      </c>
      <c r="S270" s="70">
        <v>0</v>
      </c>
      <c r="T270" s="70">
        <v>0</v>
      </c>
      <c r="U270" s="70">
        <v>0</v>
      </c>
      <c r="V270" s="70">
        <v>0</v>
      </c>
      <c r="W270" s="70">
        <v>0</v>
      </c>
      <c r="X270" s="70">
        <v>0</v>
      </c>
      <c r="Y270" s="70">
        <v>0</v>
      </c>
      <c r="Z270" s="61">
        <v>0</v>
      </c>
      <c r="AA270" s="68">
        <v>0</v>
      </c>
      <c r="AB270" s="69">
        <v>0</v>
      </c>
    </row>
    <row r="271" spans="2:28" x14ac:dyDescent="0.3">
      <c r="B271" s="61" t="s">
        <v>225</v>
      </c>
      <c r="C271" s="61" t="s">
        <v>185</v>
      </c>
      <c r="D271" s="61" t="s">
        <v>123</v>
      </c>
      <c r="E271" s="61" t="s">
        <v>195</v>
      </c>
      <c r="F271" s="61" t="s">
        <v>93</v>
      </c>
      <c r="G271" s="62">
        <v>0</v>
      </c>
      <c r="H271" s="61">
        <v>0</v>
      </c>
      <c r="I271" s="61">
        <v>0</v>
      </c>
      <c r="J271" s="61" t="e">
        <v>#N/A</v>
      </c>
      <c r="K271" s="70">
        <v>0</v>
      </c>
      <c r="L271" s="70">
        <v>0</v>
      </c>
      <c r="M271" s="70">
        <v>0</v>
      </c>
      <c r="N271" s="70">
        <v>0</v>
      </c>
      <c r="O271" s="70">
        <v>0</v>
      </c>
      <c r="P271" s="70">
        <v>0</v>
      </c>
      <c r="Q271" s="70">
        <v>0</v>
      </c>
      <c r="R271" s="70">
        <v>0</v>
      </c>
      <c r="S271" s="70">
        <v>0</v>
      </c>
      <c r="T271" s="70">
        <v>0</v>
      </c>
      <c r="U271" s="70">
        <v>0</v>
      </c>
      <c r="V271" s="70">
        <v>0</v>
      </c>
      <c r="W271" s="70">
        <v>0</v>
      </c>
      <c r="X271" s="70">
        <v>0</v>
      </c>
      <c r="Y271" s="70">
        <v>0</v>
      </c>
      <c r="Z271" s="61">
        <v>0</v>
      </c>
      <c r="AA271" s="68">
        <v>0</v>
      </c>
      <c r="AB271" s="69">
        <v>0</v>
      </c>
    </row>
    <row r="272" spans="2:28" x14ac:dyDescent="0.3">
      <c r="B272" s="61" t="s">
        <v>225</v>
      </c>
      <c r="C272" s="61" t="s">
        <v>185</v>
      </c>
      <c r="D272" s="61" t="s">
        <v>123</v>
      </c>
      <c r="E272" s="61" t="s">
        <v>195</v>
      </c>
      <c r="F272" s="61" t="s">
        <v>94</v>
      </c>
      <c r="G272" s="62">
        <v>0</v>
      </c>
      <c r="H272" s="61">
        <v>0</v>
      </c>
      <c r="I272" s="61">
        <v>0</v>
      </c>
      <c r="J272" s="61" t="e">
        <v>#N/A</v>
      </c>
      <c r="K272" s="70">
        <v>0</v>
      </c>
      <c r="L272" s="70">
        <v>0</v>
      </c>
      <c r="M272" s="70">
        <v>0</v>
      </c>
      <c r="N272" s="70">
        <v>0</v>
      </c>
      <c r="O272" s="70">
        <v>0</v>
      </c>
      <c r="P272" s="70">
        <v>0</v>
      </c>
      <c r="Q272" s="70">
        <v>0</v>
      </c>
      <c r="R272" s="70">
        <v>0</v>
      </c>
      <c r="S272" s="70">
        <v>0</v>
      </c>
      <c r="T272" s="70">
        <v>0</v>
      </c>
      <c r="U272" s="70">
        <v>0</v>
      </c>
      <c r="V272" s="70">
        <v>0</v>
      </c>
      <c r="W272" s="70">
        <v>0</v>
      </c>
      <c r="X272" s="70">
        <v>0</v>
      </c>
      <c r="Y272" s="70">
        <v>0</v>
      </c>
      <c r="Z272" s="61">
        <v>0</v>
      </c>
      <c r="AA272" s="68">
        <v>0</v>
      </c>
      <c r="AB272" s="69">
        <v>0</v>
      </c>
    </row>
    <row r="273" spans="2:28" x14ac:dyDescent="0.3">
      <c r="B273" s="61" t="s">
        <v>225</v>
      </c>
      <c r="C273" s="61" t="s">
        <v>185</v>
      </c>
      <c r="D273" s="61" t="s">
        <v>123</v>
      </c>
      <c r="E273" s="61" t="s">
        <v>196</v>
      </c>
      <c r="F273" s="61" t="s">
        <v>93</v>
      </c>
      <c r="G273" s="62">
        <v>0</v>
      </c>
      <c r="H273" s="61">
        <v>0</v>
      </c>
      <c r="I273" s="61">
        <v>0</v>
      </c>
      <c r="J273" s="61" t="e">
        <v>#N/A</v>
      </c>
      <c r="K273" s="70">
        <v>0</v>
      </c>
      <c r="L273" s="70">
        <v>0</v>
      </c>
      <c r="M273" s="70">
        <v>0</v>
      </c>
      <c r="N273" s="70">
        <v>0</v>
      </c>
      <c r="O273" s="70">
        <v>0</v>
      </c>
      <c r="P273" s="70">
        <v>0</v>
      </c>
      <c r="Q273" s="70">
        <v>0</v>
      </c>
      <c r="R273" s="70">
        <v>0</v>
      </c>
      <c r="S273" s="70">
        <v>0</v>
      </c>
      <c r="T273" s="70">
        <v>0</v>
      </c>
      <c r="U273" s="70">
        <v>0</v>
      </c>
      <c r="V273" s="70">
        <v>0</v>
      </c>
      <c r="W273" s="70">
        <v>0</v>
      </c>
      <c r="X273" s="70">
        <v>0</v>
      </c>
      <c r="Y273" s="70">
        <v>0</v>
      </c>
      <c r="Z273" s="61">
        <v>0</v>
      </c>
      <c r="AA273" s="68">
        <v>0</v>
      </c>
      <c r="AB273" s="69">
        <v>0</v>
      </c>
    </row>
    <row r="274" spans="2:28" x14ac:dyDescent="0.3">
      <c r="B274" s="61" t="s">
        <v>225</v>
      </c>
      <c r="C274" s="61" t="s">
        <v>185</v>
      </c>
      <c r="D274" s="61" t="s">
        <v>123</v>
      </c>
      <c r="E274" s="61" t="s">
        <v>196</v>
      </c>
      <c r="F274" s="61" t="s">
        <v>94</v>
      </c>
      <c r="G274" s="62">
        <v>0</v>
      </c>
      <c r="H274" s="61">
        <v>0</v>
      </c>
      <c r="I274" s="61">
        <v>0</v>
      </c>
      <c r="J274" s="61" t="e">
        <v>#N/A</v>
      </c>
      <c r="K274" s="70">
        <v>0</v>
      </c>
      <c r="L274" s="70">
        <v>0</v>
      </c>
      <c r="M274" s="70">
        <v>0</v>
      </c>
      <c r="N274" s="70">
        <v>0</v>
      </c>
      <c r="O274" s="70">
        <v>0</v>
      </c>
      <c r="P274" s="70">
        <v>0</v>
      </c>
      <c r="Q274" s="70">
        <v>0</v>
      </c>
      <c r="R274" s="70">
        <v>0</v>
      </c>
      <c r="S274" s="70">
        <v>0</v>
      </c>
      <c r="T274" s="70">
        <v>0</v>
      </c>
      <c r="U274" s="70">
        <v>0</v>
      </c>
      <c r="V274" s="70">
        <v>0</v>
      </c>
      <c r="W274" s="70">
        <v>0</v>
      </c>
      <c r="X274" s="70">
        <v>0</v>
      </c>
      <c r="Y274" s="70">
        <v>0</v>
      </c>
      <c r="Z274" s="61">
        <v>0</v>
      </c>
      <c r="AA274" s="68">
        <v>0</v>
      </c>
      <c r="AB274" s="69">
        <v>0</v>
      </c>
    </row>
    <row r="275" spans="2:28" x14ac:dyDescent="0.3">
      <c r="B275" s="61" t="s">
        <v>225</v>
      </c>
      <c r="C275" s="61" t="s">
        <v>185</v>
      </c>
      <c r="D275" s="61" t="s">
        <v>123</v>
      </c>
      <c r="E275" s="61" t="s">
        <v>197</v>
      </c>
      <c r="F275" s="61" t="s">
        <v>93</v>
      </c>
      <c r="G275" s="62">
        <v>0.35</v>
      </c>
      <c r="H275" s="61">
        <v>2</v>
      </c>
      <c r="I275" s="61" t="s">
        <v>214</v>
      </c>
      <c r="J275" s="61" t="s">
        <v>215</v>
      </c>
      <c r="K275" s="67">
        <v>1.575E-2</v>
      </c>
      <c r="L275" s="67">
        <v>1.575E-2</v>
      </c>
      <c r="M275" s="67">
        <v>1.575E-2</v>
      </c>
      <c r="N275" s="67">
        <v>1.575E-2</v>
      </c>
      <c r="O275" s="67">
        <v>1.575E-2</v>
      </c>
      <c r="P275" s="67">
        <v>1.575E-2</v>
      </c>
      <c r="Q275" s="67">
        <v>1.575E-2</v>
      </c>
      <c r="R275" s="67">
        <v>1.575E-2</v>
      </c>
      <c r="S275" s="67">
        <v>1.575E-2</v>
      </c>
      <c r="T275" s="67">
        <v>1.575E-2</v>
      </c>
      <c r="U275" s="67">
        <v>1.575E-2</v>
      </c>
      <c r="V275" s="67">
        <v>1.575E-2</v>
      </c>
      <c r="W275" s="67">
        <v>1.575E-2</v>
      </c>
      <c r="X275" s="67">
        <v>1.575E-2</v>
      </c>
      <c r="Y275" s="67">
        <v>1.575E-2</v>
      </c>
      <c r="Z275" s="61" t="s">
        <v>216</v>
      </c>
      <c r="AA275" s="68">
        <v>3.2362819813579785E-3</v>
      </c>
      <c r="AB275" s="69">
        <v>1.260997392571049E-4</v>
      </c>
    </row>
    <row r="276" spans="2:28" x14ac:dyDescent="0.3">
      <c r="B276" s="61" t="s">
        <v>225</v>
      </c>
      <c r="C276" s="61" t="s">
        <v>185</v>
      </c>
      <c r="D276" s="61" t="s">
        <v>123</v>
      </c>
      <c r="E276" s="61" t="s">
        <v>197</v>
      </c>
      <c r="F276" s="61" t="s">
        <v>94</v>
      </c>
      <c r="G276" s="62">
        <v>0.35</v>
      </c>
      <c r="H276" s="61">
        <v>2</v>
      </c>
      <c r="I276" s="61" t="s">
        <v>218</v>
      </c>
      <c r="J276" s="61" t="s">
        <v>215</v>
      </c>
      <c r="K276" s="67">
        <v>6.7499999999999999E-3</v>
      </c>
      <c r="L276" s="67">
        <v>6.7499999999999999E-3</v>
      </c>
      <c r="M276" s="67">
        <v>6.7499999999999999E-3</v>
      </c>
      <c r="N276" s="67">
        <v>6.7499999999999999E-3</v>
      </c>
      <c r="O276" s="67">
        <v>6.7499999999999999E-3</v>
      </c>
      <c r="P276" s="67">
        <v>6.7499999999999999E-3</v>
      </c>
      <c r="Q276" s="67">
        <v>6.7499999999999999E-3</v>
      </c>
      <c r="R276" s="67">
        <v>6.7499999999999999E-3</v>
      </c>
      <c r="S276" s="67">
        <v>6.7499999999999999E-3</v>
      </c>
      <c r="T276" s="67">
        <v>6.7499999999999999E-3</v>
      </c>
      <c r="U276" s="67">
        <v>6.7499999999999999E-3</v>
      </c>
      <c r="V276" s="67">
        <v>6.7499999999999999E-3</v>
      </c>
      <c r="W276" s="67">
        <v>6.7499999999999999E-3</v>
      </c>
      <c r="X276" s="67">
        <v>6.7499999999999999E-3</v>
      </c>
      <c r="Y276" s="67">
        <v>6.7499999999999999E-3</v>
      </c>
      <c r="Z276" s="61" t="s">
        <v>216</v>
      </c>
      <c r="AA276" s="68">
        <v>1.1261510504232507E-2</v>
      </c>
      <c r="AB276" s="69">
        <v>1.260997392571049E-4</v>
      </c>
    </row>
    <row r="277" spans="2:28" x14ac:dyDescent="0.3">
      <c r="B277" s="61" t="s">
        <v>225</v>
      </c>
      <c r="C277" s="61" t="s">
        <v>185</v>
      </c>
      <c r="D277" s="61" t="s">
        <v>123</v>
      </c>
      <c r="E277" s="61" t="s">
        <v>198</v>
      </c>
      <c r="F277" s="61" t="s">
        <v>93</v>
      </c>
      <c r="G277" s="62">
        <v>0.9</v>
      </c>
      <c r="H277" s="61">
        <v>2</v>
      </c>
      <c r="I277" s="61" t="s">
        <v>214</v>
      </c>
      <c r="J277" s="61" t="s">
        <v>215</v>
      </c>
      <c r="K277" s="67">
        <v>1.35E-2</v>
      </c>
      <c r="L277" s="67">
        <v>1.35E-2</v>
      </c>
      <c r="M277" s="67">
        <v>1.35E-2</v>
      </c>
      <c r="N277" s="67">
        <v>1.35E-2</v>
      </c>
      <c r="O277" s="67">
        <v>1.35E-2</v>
      </c>
      <c r="P277" s="67">
        <v>1.35E-2</v>
      </c>
      <c r="Q277" s="67">
        <v>1.35E-2</v>
      </c>
      <c r="R277" s="67">
        <v>1.35E-2</v>
      </c>
      <c r="S277" s="67">
        <v>1.35E-2</v>
      </c>
      <c r="T277" s="67">
        <v>1.35E-2</v>
      </c>
      <c r="U277" s="67">
        <v>1.35E-2</v>
      </c>
      <c r="V277" s="67">
        <v>1.35E-2</v>
      </c>
      <c r="W277" s="67">
        <v>1.35E-2</v>
      </c>
      <c r="X277" s="67">
        <v>1.35E-2</v>
      </c>
      <c r="Y277" s="67">
        <v>1.35E-2</v>
      </c>
      <c r="Z277" s="61" t="s">
        <v>216</v>
      </c>
      <c r="AA277" s="68">
        <v>3.2362819813579785E-3</v>
      </c>
      <c r="AB277" s="69">
        <v>1.260997392571049E-4</v>
      </c>
    </row>
    <row r="278" spans="2:28" x14ac:dyDescent="0.3">
      <c r="B278" s="61" t="s">
        <v>225</v>
      </c>
      <c r="C278" s="61" t="s">
        <v>185</v>
      </c>
      <c r="D278" s="61" t="s">
        <v>123</v>
      </c>
      <c r="E278" s="61" t="s">
        <v>198</v>
      </c>
      <c r="F278" s="61" t="s">
        <v>94</v>
      </c>
      <c r="G278" s="62">
        <v>0.9</v>
      </c>
      <c r="H278" s="61">
        <v>2</v>
      </c>
      <c r="I278" s="61" t="s">
        <v>218</v>
      </c>
      <c r="J278" s="61" t="s">
        <v>215</v>
      </c>
      <c r="K278" s="67">
        <v>8.9999999999999993E-3</v>
      </c>
      <c r="L278" s="67">
        <v>8.9999999999999993E-3</v>
      </c>
      <c r="M278" s="67">
        <v>8.9999999999999993E-3</v>
      </c>
      <c r="N278" s="67">
        <v>8.9999999999999993E-3</v>
      </c>
      <c r="O278" s="67">
        <v>8.9999999999999993E-3</v>
      </c>
      <c r="P278" s="67">
        <v>8.9999999999999993E-3</v>
      </c>
      <c r="Q278" s="67">
        <v>8.9999999999999993E-3</v>
      </c>
      <c r="R278" s="67">
        <v>8.9999999999999993E-3</v>
      </c>
      <c r="S278" s="67">
        <v>8.9999999999999993E-3</v>
      </c>
      <c r="T278" s="67">
        <v>8.9999999999999993E-3</v>
      </c>
      <c r="U278" s="67">
        <v>8.9999999999999993E-3</v>
      </c>
      <c r="V278" s="67">
        <v>8.9999999999999993E-3</v>
      </c>
      <c r="W278" s="67">
        <v>8.9999999999999993E-3</v>
      </c>
      <c r="X278" s="67">
        <v>8.9999999999999993E-3</v>
      </c>
      <c r="Y278" s="67">
        <v>8.9999999999999993E-3</v>
      </c>
      <c r="Z278" s="61" t="s">
        <v>216</v>
      </c>
      <c r="AA278" s="68">
        <v>1.1261510504232507E-2</v>
      </c>
      <c r="AB278" s="69">
        <v>1.260997392571049E-4</v>
      </c>
    </row>
    <row r="279" spans="2:28" x14ac:dyDescent="0.3">
      <c r="B279" s="61" t="s">
        <v>225</v>
      </c>
      <c r="C279" s="61" t="s">
        <v>185</v>
      </c>
      <c r="D279" s="61" t="s">
        <v>123</v>
      </c>
      <c r="E279" s="61" t="s">
        <v>199</v>
      </c>
      <c r="F279" s="61" t="s">
        <v>93</v>
      </c>
      <c r="G279" s="62">
        <v>0</v>
      </c>
      <c r="H279" s="61">
        <v>0</v>
      </c>
      <c r="I279" s="61">
        <v>0</v>
      </c>
      <c r="J279" s="61" t="e">
        <v>#N/A</v>
      </c>
      <c r="K279" s="70">
        <v>0</v>
      </c>
      <c r="L279" s="70">
        <v>0</v>
      </c>
      <c r="M279" s="70">
        <v>0</v>
      </c>
      <c r="N279" s="70">
        <v>0</v>
      </c>
      <c r="O279" s="70">
        <v>0</v>
      </c>
      <c r="P279" s="70">
        <v>0</v>
      </c>
      <c r="Q279" s="70">
        <v>0</v>
      </c>
      <c r="R279" s="70">
        <v>0</v>
      </c>
      <c r="S279" s="70">
        <v>0</v>
      </c>
      <c r="T279" s="70">
        <v>0</v>
      </c>
      <c r="U279" s="70">
        <v>0</v>
      </c>
      <c r="V279" s="70">
        <v>0</v>
      </c>
      <c r="W279" s="70">
        <v>0</v>
      </c>
      <c r="X279" s="70">
        <v>0</v>
      </c>
      <c r="Y279" s="70">
        <v>0</v>
      </c>
      <c r="Z279" s="61">
        <v>0</v>
      </c>
      <c r="AA279" s="68">
        <v>0</v>
      </c>
      <c r="AB279" s="69">
        <v>0</v>
      </c>
    </row>
    <row r="280" spans="2:28" x14ac:dyDescent="0.3">
      <c r="B280" s="61" t="s">
        <v>225</v>
      </c>
      <c r="C280" s="61" t="s">
        <v>185</v>
      </c>
      <c r="D280" s="61" t="s">
        <v>123</v>
      </c>
      <c r="E280" s="61" t="s">
        <v>199</v>
      </c>
      <c r="F280" s="61" t="s">
        <v>94</v>
      </c>
      <c r="G280" s="62">
        <v>0</v>
      </c>
      <c r="H280" s="61">
        <v>0</v>
      </c>
      <c r="I280" s="61">
        <v>0</v>
      </c>
      <c r="J280" s="61" t="e">
        <v>#N/A</v>
      </c>
      <c r="K280" s="70">
        <v>0</v>
      </c>
      <c r="L280" s="70">
        <v>0</v>
      </c>
      <c r="M280" s="70">
        <v>0</v>
      </c>
      <c r="N280" s="70">
        <v>0</v>
      </c>
      <c r="O280" s="70">
        <v>0</v>
      </c>
      <c r="P280" s="70">
        <v>0</v>
      </c>
      <c r="Q280" s="70">
        <v>0</v>
      </c>
      <c r="R280" s="70">
        <v>0</v>
      </c>
      <c r="S280" s="70">
        <v>0</v>
      </c>
      <c r="T280" s="70">
        <v>0</v>
      </c>
      <c r="U280" s="70">
        <v>0</v>
      </c>
      <c r="V280" s="70">
        <v>0</v>
      </c>
      <c r="W280" s="70">
        <v>0</v>
      </c>
      <c r="X280" s="70">
        <v>0</v>
      </c>
      <c r="Y280" s="70">
        <v>0</v>
      </c>
      <c r="Z280" s="61">
        <v>0</v>
      </c>
      <c r="AA280" s="68">
        <v>0</v>
      </c>
      <c r="AB280" s="69">
        <v>0</v>
      </c>
    </row>
    <row r="281" spans="2:28" x14ac:dyDescent="0.3">
      <c r="B281" s="61" t="s">
        <v>226</v>
      </c>
      <c r="C281" s="61" t="s">
        <v>185</v>
      </c>
      <c r="D281" s="61" t="s">
        <v>121</v>
      </c>
      <c r="E281" s="61" t="s">
        <v>186</v>
      </c>
      <c r="F281" s="61" t="s">
        <v>93</v>
      </c>
      <c r="G281" s="62">
        <v>0.85</v>
      </c>
      <c r="H281" s="61">
        <v>15</v>
      </c>
      <c r="I281" s="61" t="s">
        <v>214</v>
      </c>
      <c r="J281" s="61" t="s">
        <v>215</v>
      </c>
      <c r="K281" s="67">
        <v>0</v>
      </c>
      <c r="L281" s="67">
        <v>0</v>
      </c>
      <c r="M281" s="67">
        <v>0</v>
      </c>
      <c r="N281" s="67">
        <v>0.03</v>
      </c>
      <c r="O281" s="67">
        <v>0.03</v>
      </c>
      <c r="P281" s="67">
        <v>0.03</v>
      </c>
      <c r="Q281" s="67">
        <v>0.03</v>
      </c>
      <c r="R281" s="67">
        <v>0.03</v>
      </c>
      <c r="S281" s="67">
        <v>0.03</v>
      </c>
      <c r="T281" s="67">
        <v>0.03</v>
      </c>
      <c r="U281" s="67">
        <v>0.03</v>
      </c>
      <c r="V281" s="67">
        <v>0.03</v>
      </c>
      <c r="W281" s="67">
        <v>0.03</v>
      </c>
      <c r="X281" s="67">
        <v>0.03</v>
      </c>
      <c r="Y281" s="67">
        <v>0.03</v>
      </c>
      <c r="Z281" s="61" t="s">
        <v>216</v>
      </c>
      <c r="AA281" s="68">
        <v>0.26532869729928493</v>
      </c>
      <c r="AB281" s="69">
        <v>1.2623229055619222E-4</v>
      </c>
    </row>
    <row r="282" spans="2:28" x14ac:dyDescent="0.3">
      <c r="B282" s="61" t="s">
        <v>226</v>
      </c>
      <c r="C282" s="61" t="s">
        <v>185</v>
      </c>
      <c r="D282" s="61" t="s">
        <v>121</v>
      </c>
      <c r="E282" s="61" t="s">
        <v>186</v>
      </c>
      <c r="F282" s="61" t="s">
        <v>94</v>
      </c>
      <c r="G282" s="62">
        <v>0.85</v>
      </c>
      <c r="H282" s="61">
        <v>15</v>
      </c>
      <c r="I282" s="61" t="s">
        <v>218</v>
      </c>
      <c r="J282" s="61" t="s">
        <v>215</v>
      </c>
      <c r="K282" s="67">
        <v>0</v>
      </c>
      <c r="L282" s="67">
        <v>0</v>
      </c>
      <c r="M282" s="67">
        <v>0</v>
      </c>
      <c r="N282" s="67">
        <v>0.03</v>
      </c>
      <c r="O282" s="67">
        <v>0.03</v>
      </c>
      <c r="P282" s="67">
        <v>0.03</v>
      </c>
      <c r="Q282" s="67">
        <v>0.03</v>
      </c>
      <c r="R282" s="67">
        <v>0.03</v>
      </c>
      <c r="S282" s="67">
        <v>0.03</v>
      </c>
      <c r="T282" s="67">
        <v>0.03</v>
      </c>
      <c r="U282" s="67">
        <v>0.03</v>
      </c>
      <c r="V282" s="67">
        <v>0.03</v>
      </c>
      <c r="W282" s="67">
        <v>0.03</v>
      </c>
      <c r="X282" s="67">
        <v>0.03</v>
      </c>
      <c r="Y282" s="67">
        <v>0.03</v>
      </c>
      <c r="Z282" s="61" t="s">
        <v>216</v>
      </c>
      <c r="AA282" s="68">
        <v>3.6534583368262386</v>
      </c>
      <c r="AB282" s="69">
        <v>0</v>
      </c>
    </row>
    <row r="283" spans="2:28" x14ac:dyDescent="0.3">
      <c r="B283" s="61" t="s">
        <v>226</v>
      </c>
      <c r="C283" s="61" t="s">
        <v>185</v>
      </c>
      <c r="D283" s="61" t="s">
        <v>121</v>
      </c>
      <c r="E283" s="61" t="s">
        <v>189</v>
      </c>
      <c r="F283" s="61" t="s">
        <v>93</v>
      </c>
      <c r="G283" s="62">
        <v>0</v>
      </c>
      <c r="H283" s="61">
        <v>0</v>
      </c>
      <c r="I283" s="61">
        <v>0</v>
      </c>
      <c r="J283" s="61" t="e">
        <v>#N/A</v>
      </c>
      <c r="K283" s="70">
        <v>0</v>
      </c>
      <c r="L283" s="70">
        <v>0</v>
      </c>
      <c r="M283" s="70">
        <v>0</v>
      </c>
      <c r="N283" s="70">
        <v>0</v>
      </c>
      <c r="O283" s="70">
        <v>0</v>
      </c>
      <c r="P283" s="70">
        <v>0</v>
      </c>
      <c r="Q283" s="70">
        <v>0</v>
      </c>
      <c r="R283" s="70">
        <v>0</v>
      </c>
      <c r="S283" s="70">
        <v>0</v>
      </c>
      <c r="T283" s="70">
        <v>0</v>
      </c>
      <c r="U283" s="70">
        <v>0</v>
      </c>
      <c r="V283" s="70">
        <v>0</v>
      </c>
      <c r="W283" s="70">
        <v>0</v>
      </c>
      <c r="X283" s="70">
        <v>0</v>
      </c>
      <c r="Y283" s="70">
        <v>0</v>
      </c>
      <c r="Z283" s="61" t="s">
        <v>216</v>
      </c>
      <c r="AA283" s="68">
        <v>0</v>
      </c>
      <c r="AB283" s="69">
        <v>0</v>
      </c>
    </row>
    <row r="284" spans="2:28" x14ac:dyDescent="0.3">
      <c r="B284" s="61" t="s">
        <v>226</v>
      </c>
      <c r="C284" s="61" t="s">
        <v>185</v>
      </c>
      <c r="D284" s="61" t="s">
        <v>121</v>
      </c>
      <c r="E284" s="61" t="s">
        <v>189</v>
      </c>
      <c r="F284" s="61" t="s">
        <v>94</v>
      </c>
      <c r="G284" s="62">
        <v>0</v>
      </c>
      <c r="H284" s="61">
        <v>0</v>
      </c>
      <c r="I284" s="61">
        <v>0</v>
      </c>
      <c r="J284" s="61" t="e">
        <v>#N/A</v>
      </c>
      <c r="K284" s="70">
        <v>0</v>
      </c>
      <c r="L284" s="70">
        <v>0</v>
      </c>
      <c r="M284" s="70">
        <v>0</v>
      </c>
      <c r="N284" s="70">
        <v>0</v>
      </c>
      <c r="O284" s="70">
        <v>0</v>
      </c>
      <c r="P284" s="70">
        <v>0</v>
      </c>
      <c r="Q284" s="70">
        <v>0</v>
      </c>
      <c r="R284" s="70">
        <v>0</v>
      </c>
      <c r="S284" s="70">
        <v>0</v>
      </c>
      <c r="T284" s="70">
        <v>0</v>
      </c>
      <c r="U284" s="70">
        <v>0</v>
      </c>
      <c r="V284" s="70">
        <v>0</v>
      </c>
      <c r="W284" s="70">
        <v>0</v>
      </c>
      <c r="X284" s="70">
        <v>0</v>
      </c>
      <c r="Y284" s="70">
        <v>0</v>
      </c>
      <c r="Z284" s="61" t="s">
        <v>216</v>
      </c>
      <c r="AA284" s="68">
        <v>0</v>
      </c>
      <c r="AB284" s="69">
        <v>0</v>
      </c>
    </row>
    <row r="285" spans="2:28" x14ac:dyDescent="0.3">
      <c r="B285" s="61" t="s">
        <v>226</v>
      </c>
      <c r="C285" s="61" t="s">
        <v>185</v>
      </c>
      <c r="D285" s="61" t="s">
        <v>121</v>
      </c>
      <c r="E285" s="61" t="s">
        <v>190</v>
      </c>
      <c r="F285" s="61" t="s">
        <v>93</v>
      </c>
      <c r="G285" s="62">
        <v>0.44999999999999996</v>
      </c>
      <c r="H285" s="61">
        <v>15</v>
      </c>
      <c r="I285" s="61" t="s">
        <v>214</v>
      </c>
      <c r="J285" s="61" t="s">
        <v>215</v>
      </c>
      <c r="K285" s="67">
        <v>0</v>
      </c>
      <c r="L285" s="67">
        <v>0</v>
      </c>
      <c r="M285" s="67">
        <v>0</v>
      </c>
      <c r="N285" s="67">
        <v>0.03</v>
      </c>
      <c r="O285" s="67">
        <v>0.03</v>
      </c>
      <c r="P285" s="67">
        <v>0.03</v>
      </c>
      <c r="Q285" s="67">
        <v>0.03</v>
      </c>
      <c r="R285" s="67">
        <v>0.03</v>
      </c>
      <c r="S285" s="67">
        <v>0.03</v>
      </c>
      <c r="T285" s="67">
        <v>0.03</v>
      </c>
      <c r="U285" s="67">
        <v>0.03</v>
      </c>
      <c r="V285" s="67">
        <v>0.03</v>
      </c>
      <c r="W285" s="67">
        <v>0.03</v>
      </c>
      <c r="X285" s="67">
        <v>0.03</v>
      </c>
      <c r="Y285" s="67">
        <v>0.03</v>
      </c>
      <c r="Z285" s="61" t="s">
        <v>216</v>
      </c>
      <c r="AA285" s="68">
        <v>0.26532869729928493</v>
      </c>
      <c r="AB285" s="69">
        <v>1.2623229055619222E-4</v>
      </c>
    </row>
    <row r="286" spans="2:28" x14ac:dyDescent="0.3">
      <c r="B286" s="61" t="s">
        <v>226</v>
      </c>
      <c r="C286" s="61" t="s">
        <v>185</v>
      </c>
      <c r="D286" s="61" t="s">
        <v>121</v>
      </c>
      <c r="E286" s="61" t="s">
        <v>190</v>
      </c>
      <c r="F286" s="61" t="s">
        <v>94</v>
      </c>
      <c r="G286" s="62">
        <v>0.44999999999999996</v>
      </c>
      <c r="H286" s="61">
        <v>15</v>
      </c>
      <c r="I286" s="61" t="s">
        <v>218</v>
      </c>
      <c r="J286" s="61" t="s">
        <v>215</v>
      </c>
      <c r="K286" s="67">
        <v>0</v>
      </c>
      <c r="L286" s="67">
        <v>0</v>
      </c>
      <c r="M286" s="67">
        <v>0</v>
      </c>
      <c r="N286" s="67">
        <v>0.03</v>
      </c>
      <c r="O286" s="67">
        <v>0.03</v>
      </c>
      <c r="P286" s="67">
        <v>0.03</v>
      </c>
      <c r="Q286" s="67">
        <v>0.03</v>
      </c>
      <c r="R286" s="67">
        <v>0.03</v>
      </c>
      <c r="S286" s="67">
        <v>0.03</v>
      </c>
      <c r="T286" s="67">
        <v>0.03</v>
      </c>
      <c r="U286" s="67">
        <v>0.03</v>
      </c>
      <c r="V286" s="67">
        <v>0.03</v>
      </c>
      <c r="W286" s="67">
        <v>0.03</v>
      </c>
      <c r="X286" s="67">
        <v>0.03</v>
      </c>
      <c r="Y286" s="67">
        <v>0.03</v>
      </c>
      <c r="Z286" s="61" t="s">
        <v>216</v>
      </c>
      <c r="AA286" s="68">
        <v>3.6534583368262386</v>
      </c>
      <c r="AB286" s="69">
        <v>0</v>
      </c>
    </row>
    <row r="287" spans="2:28" x14ac:dyDescent="0.3">
      <c r="B287" s="61" t="s">
        <v>226</v>
      </c>
      <c r="C287" s="61" t="s">
        <v>185</v>
      </c>
      <c r="D287" s="61" t="s">
        <v>121</v>
      </c>
      <c r="E287" s="61" t="s">
        <v>191</v>
      </c>
      <c r="F287" s="61" t="s">
        <v>93</v>
      </c>
      <c r="G287" s="62">
        <v>0</v>
      </c>
      <c r="H287" s="61">
        <v>0</v>
      </c>
      <c r="I287" s="61">
        <v>0</v>
      </c>
      <c r="J287" s="61" t="e">
        <v>#N/A</v>
      </c>
      <c r="K287" s="70">
        <v>0</v>
      </c>
      <c r="L287" s="70">
        <v>0</v>
      </c>
      <c r="M287" s="70">
        <v>0</v>
      </c>
      <c r="N287" s="70">
        <v>0</v>
      </c>
      <c r="O287" s="70">
        <v>0</v>
      </c>
      <c r="P287" s="70">
        <v>0</v>
      </c>
      <c r="Q287" s="70">
        <v>0</v>
      </c>
      <c r="R287" s="70">
        <v>0</v>
      </c>
      <c r="S287" s="70">
        <v>0</v>
      </c>
      <c r="T287" s="70">
        <v>0</v>
      </c>
      <c r="U287" s="70">
        <v>0</v>
      </c>
      <c r="V287" s="70">
        <v>0</v>
      </c>
      <c r="W287" s="70">
        <v>0</v>
      </c>
      <c r="X287" s="70">
        <v>0</v>
      </c>
      <c r="Y287" s="70">
        <v>0</v>
      </c>
      <c r="Z287" s="61" t="s">
        <v>216</v>
      </c>
      <c r="AA287" s="68">
        <v>0</v>
      </c>
      <c r="AB287" s="69">
        <v>0</v>
      </c>
    </row>
    <row r="288" spans="2:28" x14ac:dyDescent="0.3">
      <c r="B288" s="61" t="s">
        <v>226</v>
      </c>
      <c r="C288" s="61" t="s">
        <v>185</v>
      </c>
      <c r="D288" s="61" t="s">
        <v>121</v>
      </c>
      <c r="E288" s="61" t="s">
        <v>191</v>
      </c>
      <c r="F288" s="61" t="s">
        <v>94</v>
      </c>
      <c r="G288" s="62">
        <v>0</v>
      </c>
      <c r="H288" s="61">
        <v>0</v>
      </c>
      <c r="I288" s="61">
        <v>0</v>
      </c>
      <c r="J288" s="61" t="e">
        <v>#N/A</v>
      </c>
      <c r="K288" s="70">
        <v>0</v>
      </c>
      <c r="L288" s="70">
        <v>0</v>
      </c>
      <c r="M288" s="70">
        <v>0</v>
      </c>
      <c r="N288" s="70">
        <v>0</v>
      </c>
      <c r="O288" s="70">
        <v>0</v>
      </c>
      <c r="P288" s="70">
        <v>0</v>
      </c>
      <c r="Q288" s="70">
        <v>0</v>
      </c>
      <c r="R288" s="70">
        <v>0</v>
      </c>
      <c r="S288" s="70">
        <v>0</v>
      </c>
      <c r="T288" s="70">
        <v>0</v>
      </c>
      <c r="U288" s="70">
        <v>0</v>
      </c>
      <c r="V288" s="70">
        <v>0</v>
      </c>
      <c r="W288" s="70">
        <v>0</v>
      </c>
      <c r="X288" s="70">
        <v>0</v>
      </c>
      <c r="Y288" s="70">
        <v>0</v>
      </c>
      <c r="Z288" s="61" t="s">
        <v>216</v>
      </c>
      <c r="AA288" s="68">
        <v>0</v>
      </c>
      <c r="AB288" s="69">
        <v>0</v>
      </c>
    </row>
    <row r="289" spans="2:28" x14ac:dyDescent="0.3">
      <c r="B289" s="61" t="s">
        <v>226</v>
      </c>
      <c r="C289" s="61" t="s">
        <v>185</v>
      </c>
      <c r="D289" s="61" t="s">
        <v>121</v>
      </c>
      <c r="E289" s="61" t="s">
        <v>192</v>
      </c>
      <c r="F289" s="61" t="s">
        <v>93</v>
      </c>
      <c r="G289" s="62">
        <v>0.9</v>
      </c>
      <c r="H289" s="61">
        <v>15</v>
      </c>
      <c r="I289" s="61" t="s">
        <v>214</v>
      </c>
      <c r="J289" s="61" t="s">
        <v>215</v>
      </c>
      <c r="K289" s="67">
        <v>0</v>
      </c>
      <c r="L289" s="67">
        <v>0</v>
      </c>
      <c r="M289" s="67">
        <v>0</v>
      </c>
      <c r="N289" s="67">
        <v>0.03</v>
      </c>
      <c r="O289" s="67">
        <v>0.03</v>
      </c>
      <c r="P289" s="67">
        <v>0.03</v>
      </c>
      <c r="Q289" s="67">
        <v>0.03</v>
      </c>
      <c r="R289" s="67">
        <v>0.03</v>
      </c>
      <c r="S289" s="67">
        <v>0.03</v>
      </c>
      <c r="T289" s="67">
        <v>0.03</v>
      </c>
      <c r="U289" s="67">
        <v>0.03</v>
      </c>
      <c r="V289" s="67">
        <v>0.03</v>
      </c>
      <c r="W289" s="67">
        <v>0.03</v>
      </c>
      <c r="X289" s="67">
        <v>0.03</v>
      </c>
      <c r="Y289" s="67">
        <v>0.03</v>
      </c>
      <c r="Z289" s="61" t="s">
        <v>216</v>
      </c>
      <c r="AA289" s="68">
        <v>0.26532869729928493</v>
      </c>
      <c r="AB289" s="69">
        <v>1.2623229055619222E-4</v>
      </c>
    </row>
    <row r="290" spans="2:28" x14ac:dyDescent="0.3">
      <c r="B290" s="61" t="s">
        <v>226</v>
      </c>
      <c r="C290" s="61" t="s">
        <v>185</v>
      </c>
      <c r="D290" s="61" t="s">
        <v>121</v>
      </c>
      <c r="E290" s="61" t="s">
        <v>192</v>
      </c>
      <c r="F290" s="61" t="s">
        <v>94</v>
      </c>
      <c r="G290" s="62">
        <v>0.9</v>
      </c>
      <c r="H290" s="61">
        <v>15</v>
      </c>
      <c r="I290" s="61" t="s">
        <v>218</v>
      </c>
      <c r="J290" s="61" t="s">
        <v>215</v>
      </c>
      <c r="K290" s="67">
        <v>0</v>
      </c>
      <c r="L290" s="67">
        <v>0</v>
      </c>
      <c r="M290" s="67">
        <v>0</v>
      </c>
      <c r="N290" s="67">
        <v>0.03</v>
      </c>
      <c r="O290" s="67">
        <v>0.03</v>
      </c>
      <c r="P290" s="67">
        <v>0.03</v>
      </c>
      <c r="Q290" s="67">
        <v>0.03</v>
      </c>
      <c r="R290" s="67">
        <v>0.03</v>
      </c>
      <c r="S290" s="67">
        <v>0.03</v>
      </c>
      <c r="T290" s="67">
        <v>0.03</v>
      </c>
      <c r="U290" s="67">
        <v>0.03</v>
      </c>
      <c r="V290" s="67">
        <v>0.03</v>
      </c>
      <c r="W290" s="67">
        <v>0.03</v>
      </c>
      <c r="X290" s="67">
        <v>0.03</v>
      </c>
      <c r="Y290" s="67">
        <v>0.03</v>
      </c>
      <c r="Z290" s="61" t="s">
        <v>216</v>
      </c>
      <c r="AA290" s="68">
        <v>3.6534583368262386</v>
      </c>
      <c r="AB290" s="69">
        <v>0</v>
      </c>
    </row>
    <row r="291" spans="2:28" x14ac:dyDescent="0.3">
      <c r="B291" s="61" t="s">
        <v>226</v>
      </c>
      <c r="C291" s="61" t="s">
        <v>185</v>
      </c>
      <c r="D291" s="61" t="s">
        <v>121</v>
      </c>
      <c r="E291" s="61" t="s">
        <v>193</v>
      </c>
      <c r="F291" s="61" t="s">
        <v>93</v>
      </c>
      <c r="G291" s="62">
        <v>0</v>
      </c>
      <c r="H291" s="61">
        <v>0</v>
      </c>
      <c r="I291" s="61">
        <v>0</v>
      </c>
      <c r="J291" s="61" t="e">
        <v>#N/A</v>
      </c>
      <c r="K291" s="70">
        <v>0</v>
      </c>
      <c r="L291" s="70">
        <v>0</v>
      </c>
      <c r="M291" s="70">
        <v>0</v>
      </c>
      <c r="N291" s="70">
        <v>0</v>
      </c>
      <c r="O291" s="70">
        <v>0</v>
      </c>
      <c r="P291" s="70">
        <v>0</v>
      </c>
      <c r="Q291" s="70">
        <v>0</v>
      </c>
      <c r="R291" s="70">
        <v>0</v>
      </c>
      <c r="S291" s="70">
        <v>0</v>
      </c>
      <c r="T291" s="70">
        <v>0</v>
      </c>
      <c r="U291" s="70">
        <v>0</v>
      </c>
      <c r="V291" s="70">
        <v>0</v>
      </c>
      <c r="W291" s="70">
        <v>0</v>
      </c>
      <c r="X291" s="70">
        <v>0</v>
      </c>
      <c r="Y291" s="70">
        <v>0</v>
      </c>
      <c r="Z291" s="61" t="s">
        <v>216</v>
      </c>
      <c r="AA291" s="68">
        <v>0</v>
      </c>
      <c r="AB291" s="69">
        <v>0</v>
      </c>
    </row>
    <row r="292" spans="2:28" x14ac:dyDescent="0.3">
      <c r="B292" s="61" t="s">
        <v>226</v>
      </c>
      <c r="C292" s="61" t="s">
        <v>185</v>
      </c>
      <c r="D292" s="61" t="s">
        <v>121</v>
      </c>
      <c r="E292" s="61" t="s">
        <v>193</v>
      </c>
      <c r="F292" s="61" t="s">
        <v>94</v>
      </c>
      <c r="G292" s="62">
        <v>0</v>
      </c>
      <c r="H292" s="61">
        <v>0</v>
      </c>
      <c r="I292" s="61">
        <v>0</v>
      </c>
      <c r="J292" s="61" t="e">
        <v>#N/A</v>
      </c>
      <c r="K292" s="70">
        <v>0</v>
      </c>
      <c r="L292" s="70">
        <v>0</v>
      </c>
      <c r="M292" s="70">
        <v>0</v>
      </c>
      <c r="N292" s="70">
        <v>0</v>
      </c>
      <c r="O292" s="70">
        <v>0</v>
      </c>
      <c r="P292" s="70">
        <v>0</v>
      </c>
      <c r="Q292" s="70">
        <v>0</v>
      </c>
      <c r="R292" s="70">
        <v>0</v>
      </c>
      <c r="S292" s="70">
        <v>0</v>
      </c>
      <c r="T292" s="70">
        <v>0</v>
      </c>
      <c r="U292" s="70">
        <v>0</v>
      </c>
      <c r="V292" s="70">
        <v>0</v>
      </c>
      <c r="W292" s="70">
        <v>0</v>
      </c>
      <c r="X292" s="70">
        <v>0</v>
      </c>
      <c r="Y292" s="70">
        <v>0</v>
      </c>
      <c r="Z292" s="61" t="s">
        <v>216</v>
      </c>
      <c r="AA292" s="68">
        <v>0</v>
      </c>
      <c r="AB292" s="69">
        <v>0</v>
      </c>
    </row>
    <row r="293" spans="2:28" x14ac:dyDescent="0.3">
      <c r="B293" s="61" t="s">
        <v>226</v>
      </c>
      <c r="C293" s="61" t="s">
        <v>185</v>
      </c>
      <c r="D293" s="61" t="s">
        <v>121</v>
      </c>
      <c r="E293" s="61" t="s">
        <v>194</v>
      </c>
      <c r="F293" s="61" t="s">
        <v>93</v>
      </c>
      <c r="G293" s="62">
        <v>0</v>
      </c>
      <c r="H293" s="61">
        <v>0</v>
      </c>
      <c r="I293" s="61">
        <v>0</v>
      </c>
      <c r="J293" s="61" t="e">
        <v>#N/A</v>
      </c>
      <c r="K293" s="70">
        <v>0</v>
      </c>
      <c r="L293" s="70">
        <v>0</v>
      </c>
      <c r="M293" s="70">
        <v>0</v>
      </c>
      <c r="N293" s="70">
        <v>0</v>
      </c>
      <c r="O293" s="70">
        <v>0</v>
      </c>
      <c r="P293" s="70">
        <v>0</v>
      </c>
      <c r="Q293" s="70">
        <v>0</v>
      </c>
      <c r="R293" s="70">
        <v>0</v>
      </c>
      <c r="S293" s="70">
        <v>0</v>
      </c>
      <c r="T293" s="70">
        <v>0</v>
      </c>
      <c r="U293" s="70">
        <v>0</v>
      </c>
      <c r="V293" s="70">
        <v>0</v>
      </c>
      <c r="W293" s="70">
        <v>0</v>
      </c>
      <c r="X293" s="70">
        <v>0</v>
      </c>
      <c r="Y293" s="70">
        <v>0</v>
      </c>
      <c r="Z293" s="61" t="s">
        <v>216</v>
      </c>
      <c r="AA293" s="68">
        <v>0</v>
      </c>
      <c r="AB293" s="69">
        <v>0</v>
      </c>
    </row>
    <row r="294" spans="2:28" x14ac:dyDescent="0.3">
      <c r="B294" s="61" t="s">
        <v>226</v>
      </c>
      <c r="C294" s="61" t="s">
        <v>185</v>
      </c>
      <c r="D294" s="61" t="s">
        <v>121</v>
      </c>
      <c r="E294" s="61" t="s">
        <v>194</v>
      </c>
      <c r="F294" s="61" t="s">
        <v>94</v>
      </c>
      <c r="G294" s="62">
        <v>0</v>
      </c>
      <c r="H294" s="61">
        <v>0</v>
      </c>
      <c r="I294" s="61">
        <v>0</v>
      </c>
      <c r="J294" s="61" t="e">
        <v>#N/A</v>
      </c>
      <c r="K294" s="70">
        <v>0</v>
      </c>
      <c r="L294" s="70">
        <v>0</v>
      </c>
      <c r="M294" s="70">
        <v>0</v>
      </c>
      <c r="N294" s="70">
        <v>0</v>
      </c>
      <c r="O294" s="70">
        <v>0</v>
      </c>
      <c r="P294" s="70">
        <v>0</v>
      </c>
      <c r="Q294" s="70">
        <v>0</v>
      </c>
      <c r="R294" s="70">
        <v>0</v>
      </c>
      <c r="S294" s="70">
        <v>0</v>
      </c>
      <c r="T294" s="70">
        <v>0</v>
      </c>
      <c r="U294" s="70">
        <v>0</v>
      </c>
      <c r="V294" s="70">
        <v>0</v>
      </c>
      <c r="W294" s="70">
        <v>0</v>
      </c>
      <c r="X294" s="70">
        <v>0</v>
      </c>
      <c r="Y294" s="70">
        <v>0</v>
      </c>
      <c r="Z294" s="61" t="s">
        <v>216</v>
      </c>
      <c r="AA294" s="68">
        <v>0</v>
      </c>
      <c r="AB294" s="69">
        <v>0</v>
      </c>
    </row>
    <row r="295" spans="2:28" x14ac:dyDescent="0.3">
      <c r="B295" s="61" t="s">
        <v>226</v>
      </c>
      <c r="C295" s="61" t="s">
        <v>185</v>
      </c>
      <c r="D295" s="61" t="s">
        <v>121</v>
      </c>
      <c r="E295" s="61" t="s">
        <v>195</v>
      </c>
      <c r="F295" s="61" t="s">
        <v>93</v>
      </c>
      <c r="G295" s="62">
        <v>0</v>
      </c>
      <c r="H295" s="61">
        <v>0</v>
      </c>
      <c r="I295" s="61">
        <v>0</v>
      </c>
      <c r="J295" s="61" t="e">
        <v>#N/A</v>
      </c>
      <c r="K295" s="70">
        <v>0</v>
      </c>
      <c r="L295" s="70">
        <v>0</v>
      </c>
      <c r="M295" s="70">
        <v>0</v>
      </c>
      <c r="N295" s="70">
        <v>0</v>
      </c>
      <c r="O295" s="70">
        <v>0</v>
      </c>
      <c r="P295" s="70">
        <v>0</v>
      </c>
      <c r="Q295" s="70">
        <v>0</v>
      </c>
      <c r="R295" s="70">
        <v>0</v>
      </c>
      <c r="S295" s="70">
        <v>0</v>
      </c>
      <c r="T295" s="70">
        <v>0</v>
      </c>
      <c r="U295" s="70">
        <v>0</v>
      </c>
      <c r="V295" s="70">
        <v>0</v>
      </c>
      <c r="W295" s="70">
        <v>0</v>
      </c>
      <c r="X295" s="70">
        <v>0</v>
      </c>
      <c r="Y295" s="70">
        <v>0</v>
      </c>
      <c r="Z295" s="61" t="s">
        <v>216</v>
      </c>
      <c r="AA295" s="68">
        <v>0</v>
      </c>
      <c r="AB295" s="69">
        <v>0</v>
      </c>
    </row>
    <row r="296" spans="2:28" x14ac:dyDescent="0.3">
      <c r="B296" s="61" t="s">
        <v>226</v>
      </c>
      <c r="C296" s="61" t="s">
        <v>185</v>
      </c>
      <c r="D296" s="61" t="s">
        <v>121</v>
      </c>
      <c r="E296" s="61" t="s">
        <v>195</v>
      </c>
      <c r="F296" s="61" t="s">
        <v>94</v>
      </c>
      <c r="G296" s="62">
        <v>0</v>
      </c>
      <c r="H296" s="61">
        <v>0</v>
      </c>
      <c r="I296" s="61">
        <v>0</v>
      </c>
      <c r="J296" s="61" t="e">
        <v>#N/A</v>
      </c>
      <c r="K296" s="70">
        <v>0</v>
      </c>
      <c r="L296" s="70">
        <v>0</v>
      </c>
      <c r="M296" s="70">
        <v>0</v>
      </c>
      <c r="N296" s="70">
        <v>0</v>
      </c>
      <c r="O296" s="70">
        <v>0</v>
      </c>
      <c r="P296" s="70">
        <v>0</v>
      </c>
      <c r="Q296" s="70">
        <v>0</v>
      </c>
      <c r="R296" s="70">
        <v>0</v>
      </c>
      <c r="S296" s="70">
        <v>0</v>
      </c>
      <c r="T296" s="70">
        <v>0</v>
      </c>
      <c r="U296" s="70">
        <v>0</v>
      </c>
      <c r="V296" s="70">
        <v>0</v>
      </c>
      <c r="W296" s="70">
        <v>0</v>
      </c>
      <c r="X296" s="70">
        <v>0</v>
      </c>
      <c r="Y296" s="70">
        <v>0</v>
      </c>
      <c r="Z296" s="61" t="s">
        <v>216</v>
      </c>
      <c r="AA296" s="68">
        <v>0</v>
      </c>
      <c r="AB296" s="69">
        <v>0</v>
      </c>
    </row>
    <row r="297" spans="2:28" x14ac:dyDescent="0.3">
      <c r="B297" s="61" t="s">
        <v>226</v>
      </c>
      <c r="C297" s="61" t="s">
        <v>185</v>
      </c>
      <c r="D297" s="61" t="s">
        <v>121</v>
      </c>
      <c r="E297" s="61" t="s">
        <v>196</v>
      </c>
      <c r="F297" s="61" t="s">
        <v>93</v>
      </c>
      <c r="G297" s="62">
        <v>0</v>
      </c>
      <c r="H297" s="61">
        <v>0</v>
      </c>
      <c r="I297" s="61">
        <v>0</v>
      </c>
      <c r="J297" s="61" t="e">
        <v>#N/A</v>
      </c>
      <c r="K297" s="70">
        <v>0</v>
      </c>
      <c r="L297" s="70">
        <v>0</v>
      </c>
      <c r="M297" s="70">
        <v>0</v>
      </c>
      <c r="N297" s="70">
        <v>0</v>
      </c>
      <c r="O297" s="70">
        <v>0</v>
      </c>
      <c r="P297" s="70">
        <v>0</v>
      </c>
      <c r="Q297" s="70">
        <v>0</v>
      </c>
      <c r="R297" s="70">
        <v>0</v>
      </c>
      <c r="S297" s="70">
        <v>0</v>
      </c>
      <c r="T297" s="70">
        <v>0</v>
      </c>
      <c r="U297" s="70">
        <v>0</v>
      </c>
      <c r="V297" s="70">
        <v>0</v>
      </c>
      <c r="W297" s="70">
        <v>0</v>
      </c>
      <c r="X297" s="70">
        <v>0</v>
      </c>
      <c r="Y297" s="70">
        <v>0</v>
      </c>
      <c r="Z297" s="61" t="s">
        <v>216</v>
      </c>
      <c r="AA297" s="68">
        <v>0</v>
      </c>
      <c r="AB297" s="69">
        <v>0</v>
      </c>
    </row>
    <row r="298" spans="2:28" x14ac:dyDescent="0.3">
      <c r="B298" s="61" t="s">
        <v>226</v>
      </c>
      <c r="C298" s="61" t="s">
        <v>185</v>
      </c>
      <c r="D298" s="61" t="s">
        <v>121</v>
      </c>
      <c r="E298" s="61" t="s">
        <v>196</v>
      </c>
      <c r="F298" s="61" t="s">
        <v>94</v>
      </c>
      <c r="G298" s="62">
        <v>0</v>
      </c>
      <c r="H298" s="61">
        <v>0</v>
      </c>
      <c r="I298" s="61">
        <v>0</v>
      </c>
      <c r="J298" s="61" t="e">
        <v>#N/A</v>
      </c>
      <c r="K298" s="70">
        <v>0</v>
      </c>
      <c r="L298" s="70">
        <v>0</v>
      </c>
      <c r="M298" s="70">
        <v>0</v>
      </c>
      <c r="N298" s="70">
        <v>0</v>
      </c>
      <c r="O298" s="70">
        <v>0</v>
      </c>
      <c r="P298" s="70">
        <v>0</v>
      </c>
      <c r="Q298" s="70">
        <v>0</v>
      </c>
      <c r="R298" s="70">
        <v>0</v>
      </c>
      <c r="S298" s="70">
        <v>0</v>
      </c>
      <c r="T298" s="70">
        <v>0</v>
      </c>
      <c r="U298" s="70">
        <v>0</v>
      </c>
      <c r="V298" s="70">
        <v>0</v>
      </c>
      <c r="W298" s="70">
        <v>0</v>
      </c>
      <c r="X298" s="70">
        <v>0</v>
      </c>
      <c r="Y298" s="70">
        <v>0</v>
      </c>
      <c r="Z298" s="61" t="s">
        <v>216</v>
      </c>
      <c r="AA298" s="68">
        <v>0</v>
      </c>
      <c r="AB298" s="69">
        <v>0</v>
      </c>
    </row>
    <row r="299" spans="2:28" x14ac:dyDescent="0.3">
      <c r="B299" s="61" t="s">
        <v>226</v>
      </c>
      <c r="C299" s="61" t="s">
        <v>185</v>
      </c>
      <c r="D299" s="61" t="s">
        <v>121</v>
      </c>
      <c r="E299" s="61" t="s">
        <v>197</v>
      </c>
      <c r="F299" s="61" t="s">
        <v>93</v>
      </c>
      <c r="G299" s="62">
        <v>0</v>
      </c>
      <c r="H299" s="61">
        <v>0</v>
      </c>
      <c r="I299" s="61">
        <v>0</v>
      </c>
      <c r="J299" s="61" t="e">
        <v>#N/A</v>
      </c>
      <c r="K299" s="70">
        <v>0</v>
      </c>
      <c r="L299" s="70">
        <v>0</v>
      </c>
      <c r="M299" s="70">
        <v>0</v>
      </c>
      <c r="N299" s="70">
        <v>0</v>
      </c>
      <c r="O299" s="70">
        <v>0</v>
      </c>
      <c r="P299" s="70">
        <v>0</v>
      </c>
      <c r="Q299" s="70">
        <v>0</v>
      </c>
      <c r="R299" s="70">
        <v>0</v>
      </c>
      <c r="S299" s="70">
        <v>0</v>
      </c>
      <c r="T299" s="70">
        <v>0</v>
      </c>
      <c r="U299" s="70">
        <v>0</v>
      </c>
      <c r="V299" s="70">
        <v>0</v>
      </c>
      <c r="W299" s="70">
        <v>0</v>
      </c>
      <c r="X299" s="70">
        <v>0</v>
      </c>
      <c r="Y299" s="70">
        <v>0</v>
      </c>
      <c r="Z299" s="61" t="s">
        <v>216</v>
      </c>
      <c r="AA299" s="68">
        <v>0</v>
      </c>
      <c r="AB299" s="69">
        <v>0</v>
      </c>
    </row>
    <row r="300" spans="2:28" x14ac:dyDescent="0.3">
      <c r="B300" s="61" t="s">
        <v>226</v>
      </c>
      <c r="C300" s="61" t="s">
        <v>185</v>
      </c>
      <c r="D300" s="61" t="s">
        <v>121</v>
      </c>
      <c r="E300" s="61" t="s">
        <v>197</v>
      </c>
      <c r="F300" s="61" t="s">
        <v>94</v>
      </c>
      <c r="G300" s="62">
        <v>0</v>
      </c>
      <c r="H300" s="61">
        <v>0</v>
      </c>
      <c r="I300" s="61">
        <v>0</v>
      </c>
      <c r="J300" s="61" t="e">
        <v>#N/A</v>
      </c>
      <c r="K300" s="70">
        <v>0</v>
      </c>
      <c r="L300" s="70">
        <v>0</v>
      </c>
      <c r="M300" s="70">
        <v>0</v>
      </c>
      <c r="N300" s="70">
        <v>0</v>
      </c>
      <c r="O300" s="70">
        <v>0</v>
      </c>
      <c r="P300" s="70">
        <v>0</v>
      </c>
      <c r="Q300" s="70">
        <v>0</v>
      </c>
      <c r="R300" s="70">
        <v>0</v>
      </c>
      <c r="S300" s="70">
        <v>0</v>
      </c>
      <c r="T300" s="70">
        <v>0</v>
      </c>
      <c r="U300" s="70">
        <v>0</v>
      </c>
      <c r="V300" s="70">
        <v>0</v>
      </c>
      <c r="W300" s="70">
        <v>0</v>
      </c>
      <c r="X300" s="70">
        <v>0</v>
      </c>
      <c r="Y300" s="70">
        <v>0</v>
      </c>
      <c r="Z300" s="61" t="s">
        <v>216</v>
      </c>
      <c r="AA300" s="68">
        <v>0</v>
      </c>
      <c r="AB300" s="69">
        <v>0</v>
      </c>
    </row>
    <row r="301" spans="2:28" x14ac:dyDescent="0.3">
      <c r="B301" s="61" t="s">
        <v>226</v>
      </c>
      <c r="C301" s="61" t="s">
        <v>185</v>
      </c>
      <c r="D301" s="61" t="s">
        <v>121</v>
      </c>
      <c r="E301" s="61" t="s">
        <v>198</v>
      </c>
      <c r="F301" s="61" t="s">
        <v>93</v>
      </c>
      <c r="G301" s="62">
        <v>0.9</v>
      </c>
      <c r="H301" s="61">
        <v>15</v>
      </c>
      <c r="I301" s="61" t="s">
        <v>214</v>
      </c>
      <c r="J301" s="61" t="s">
        <v>215</v>
      </c>
      <c r="K301" s="67">
        <v>0</v>
      </c>
      <c r="L301" s="67">
        <v>0</v>
      </c>
      <c r="M301" s="67">
        <v>0</v>
      </c>
      <c r="N301" s="67">
        <v>0.03</v>
      </c>
      <c r="O301" s="67">
        <v>0.03</v>
      </c>
      <c r="P301" s="67">
        <v>0.03</v>
      </c>
      <c r="Q301" s="67">
        <v>0.03</v>
      </c>
      <c r="R301" s="67">
        <v>0.03</v>
      </c>
      <c r="S301" s="67">
        <v>0.03</v>
      </c>
      <c r="T301" s="67">
        <v>0.03</v>
      </c>
      <c r="U301" s="67">
        <v>0.03</v>
      </c>
      <c r="V301" s="67">
        <v>0.03</v>
      </c>
      <c r="W301" s="67">
        <v>0.03</v>
      </c>
      <c r="X301" s="67">
        <v>0.03</v>
      </c>
      <c r="Y301" s="67">
        <v>0.03</v>
      </c>
      <c r="Z301" s="61" t="s">
        <v>216</v>
      </c>
      <c r="AA301" s="68">
        <v>0.26532869729928493</v>
      </c>
      <c r="AB301" s="69">
        <v>1.2623229055619222E-4</v>
      </c>
    </row>
    <row r="302" spans="2:28" x14ac:dyDescent="0.3">
      <c r="B302" s="61" t="s">
        <v>226</v>
      </c>
      <c r="C302" s="61" t="s">
        <v>185</v>
      </c>
      <c r="D302" s="61" t="s">
        <v>121</v>
      </c>
      <c r="E302" s="61" t="s">
        <v>198</v>
      </c>
      <c r="F302" s="61" t="s">
        <v>94</v>
      </c>
      <c r="G302" s="62">
        <v>0.9</v>
      </c>
      <c r="H302" s="61">
        <v>15</v>
      </c>
      <c r="I302" s="61" t="s">
        <v>218</v>
      </c>
      <c r="J302" s="61" t="s">
        <v>215</v>
      </c>
      <c r="K302" s="67">
        <v>0</v>
      </c>
      <c r="L302" s="67">
        <v>0</v>
      </c>
      <c r="M302" s="67">
        <v>0</v>
      </c>
      <c r="N302" s="67">
        <v>0.03</v>
      </c>
      <c r="O302" s="67">
        <v>0.03</v>
      </c>
      <c r="P302" s="67">
        <v>0.03</v>
      </c>
      <c r="Q302" s="67">
        <v>0.03</v>
      </c>
      <c r="R302" s="67">
        <v>0.03</v>
      </c>
      <c r="S302" s="67">
        <v>0.03</v>
      </c>
      <c r="T302" s="67">
        <v>0.03</v>
      </c>
      <c r="U302" s="67">
        <v>0.03</v>
      </c>
      <c r="V302" s="67">
        <v>0.03</v>
      </c>
      <c r="W302" s="67">
        <v>0.03</v>
      </c>
      <c r="X302" s="67">
        <v>0.03</v>
      </c>
      <c r="Y302" s="67">
        <v>0.03</v>
      </c>
      <c r="Z302" s="61" t="s">
        <v>216</v>
      </c>
      <c r="AA302" s="68">
        <v>3.6534583368262386</v>
      </c>
      <c r="AB302" s="69">
        <v>0</v>
      </c>
    </row>
    <row r="303" spans="2:28" x14ac:dyDescent="0.3">
      <c r="B303" s="61" t="s">
        <v>226</v>
      </c>
      <c r="C303" s="61" t="s">
        <v>185</v>
      </c>
      <c r="D303" s="61" t="s">
        <v>121</v>
      </c>
      <c r="E303" s="61" t="s">
        <v>199</v>
      </c>
      <c r="F303" s="61" t="s">
        <v>93</v>
      </c>
      <c r="G303" s="62">
        <v>0</v>
      </c>
      <c r="H303" s="61">
        <v>0</v>
      </c>
      <c r="I303" s="61">
        <v>0</v>
      </c>
      <c r="J303" s="61" t="e">
        <v>#N/A</v>
      </c>
      <c r="K303" s="70">
        <v>0</v>
      </c>
      <c r="L303" s="70">
        <v>0</v>
      </c>
      <c r="M303" s="70">
        <v>0</v>
      </c>
      <c r="N303" s="70">
        <v>0</v>
      </c>
      <c r="O303" s="70">
        <v>0</v>
      </c>
      <c r="P303" s="70">
        <v>0</v>
      </c>
      <c r="Q303" s="70">
        <v>0</v>
      </c>
      <c r="R303" s="70">
        <v>0</v>
      </c>
      <c r="S303" s="70">
        <v>0</v>
      </c>
      <c r="T303" s="70">
        <v>0</v>
      </c>
      <c r="U303" s="70">
        <v>0</v>
      </c>
      <c r="V303" s="70">
        <v>0</v>
      </c>
      <c r="W303" s="70">
        <v>0</v>
      </c>
      <c r="X303" s="70">
        <v>0</v>
      </c>
      <c r="Y303" s="70">
        <v>0</v>
      </c>
      <c r="Z303" s="61" t="s">
        <v>216</v>
      </c>
      <c r="AA303" s="68">
        <v>0</v>
      </c>
      <c r="AB303" s="69">
        <v>0</v>
      </c>
    </row>
    <row r="304" spans="2:28" x14ac:dyDescent="0.3">
      <c r="B304" s="61" t="s">
        <v>226</v>
      </c>
      <c r="C304" s="61" t="s">
        <v>185</v>
      </c>
      <c r="D304" s="61" t="s">
        <v>121</v>
      </c>
      <c r="E304" s="61" t="s">
        <v>199</v>
      </c>
      <c r="F304" s="61" t="s">
        <v>94</v>
      </c>
      <c r="G304" s="62">
        <v>0</v>
      </c>
      <c r="H304" s="61">
        <v>0</v>
      </c>
      <c r="I304" s="61">
        <v>0</v>
      </c>
      <c r="J304" s="61" t="e">
        <v>#N/A</v>
      </c>
      <c r="K304" s="70">
        <v>0</v>
      </c>
      <c r="L304" s="70">
        <v>0</v>
      </c>
      <c r="M304" s="70">
        <v>0</v>
      </c>
      <c r="N304" s="70">
        <v>0</v>
      </c>
      <c r="O304" s="70">
        <v>0</v>
      </c>
      <c r="P304" s="70">
        <v>0</v>
      </c>
      <c r="Q304" s="70">
        <v>0</v>
      </c>
      <c r="R304" s="70">
        <v>0</v>
      </c>
      <c r="S304" s="70">
        <v>0</v>
      </c>
      <c r="T304" s="70">
        <v>0</v>
      </c>
      <c r="U304" s="70">
        <v>0</v>
      </c>
      <c r="V304" s="70">
        <v>0</v>
      </c>
      <c r="W304" s="70">
        <v>0</v>
      </c>
      <c r="X304" s="70">
        <v>0</v>
      </c>
      <c r="Y304" s="70">
        <v>0</v>
      </c>
      <c r="Z304" s="61" t="s">
        <v>216</v>
      </c>
      <c r="AA304" s="68">
        <v>0</v>
      </c>
      <c r="AB304" s="69">
        <v>0</v>
      </c>
    </row>
    <row r="305" spans="2:28" x14ac:dyDescent="0.3">
      <c r="B305" s="61" t="s">
        <v>226</v>
      </c>
      <c r="C305" s="61" t="s">
        <v>185</v>
      </c>
      <c r="D305" s="61" t="s">
        <v>122</v>
      </c>
      <c r="E305" s="61" t="s">
        <v>186</v>
      </c>
      <c r="F305" s="61" t="s">
        <v>93</v>
      </c>
      <c r="G305" s="62">
        <v>0.85</v>
      </c>
      <c r="H305" s="61">
        <v>15</v>
      </c>
      <c r="I305" s="61" t="s">
        <v>214</v>
      </c>
      <c r="J305" s="61" t="s">
        <v>215</v>
      </c>
      <c r="K305" s="67">
        <v>0</v>
      </c>
      <c r="L305" s="67">
        <v>0</v>
      </c>
      <c r="M305" s="67">
        <v>0</v>
      </c>
      <c r="N305" s="67">
        <v>0.03</v>
      </c>
      <c r="O305" s="67">
        <v>0.03</v>
      </c>
      <c r="P305" s="67">
        <v>0.03</v>
      </c>
      <c r="Q305" s="67">
        <v>0.03</v>
      </c>
      <c r="R305" s="67">
        <v>0.03</v>
      </c>
      <c r="S305" s="67">
        <v>0.03</v>
      </c>
      <c r="T305" s="67">
        <v>0.03</v>
      </c>
      <c r="U305" s="67">
        <v>0.03</v>
      </c>
      <c r="V305" s="67">
        <v>0.03</v>
      </c>
      <c r="W305" s="67">
        <v>0.03</v>
      </c>
      <c r="X305" s="67">
        <v>0.03</v>
      </c>
      <c r="Y305" s="67">
        <v>0.03</v>
      </c>
      <c r="Z305" s="61" t="s">
        <v>216</v>
      </c>
      <c r="AA305" s="68">
        <v>0.26532869729928493</v>
      </c>
      <c r="AB305" s="69">
        <v>1.2623229055619222E-4</v>
      </c>
    </row>
    <row r="306" spans="2:28" x14ac:dyDescent="0.3">
      <c r="B306" s="61" t="s">
        <v>226</v>
      </c>
      <c r="C306" s="61" t="s">
        <v>185</v>
      </c>
      <c r="D306" s="61" t="s">
        <v>122</v>
      </c>
      <c r="E306" s="61" t="s">
        <v>189</v>
      </c>
      <c r="F306" s="61" t="s">
        <v>93</v>
      </c>
      <c r="G306" s="62">
        <v>0</v>
      </c>
      <c r="H306" s="61">
        <v>0</v>
      </c>
      <c r="I306" s="61">
        <v>0</v>
      </c>
      <c r="J306" s="61" t="e">
        <v>#N/A</v>
      </c>
      <c r="K306" s="70">
        <v>0</v>
      </c>
      <c r="L306" s="70">
        <v>0</v>
      </c>
      <c r="M306" s="70">
        <v>0</v>
      </c>
      <c r="N306" s="70">
        <v>0</v>
      </c>
      <c r="O306" s="70">
        <v>0</v>
      </c>
      <c r="P306" s="70">
        <v>0</v>
      </c>
      <c r="Q306" s="70">
        <v>0</v>
      </c>
      <c r="R306" s="70">
        <v>0</v>
      </c>
      <c r="S306" s="70">
        <v>0</v>
      </c>
      <c r="T306" s="70">
        <v>0</v>
      </c>
      <c r="U306" s="70">
        <v>0</v>
      </c>
      <c r="V306" s="70">
        <v>0</v>
      </c>
      <c r="W306" s="70">
        <v>0</v>
      </c>
      <c r="X306" s="70">
        <v>0</v>
      </c>
      <c r="Y306" s="70">
        <v>0</v>
      </c>
      <c r="Z306" s="61" t="s">
        <v>216</v>
      </c>
      <c r="AA306" s="68">
        <v>0</v>
      </c>
      <c r="AB306" s="69">
        <v>0</v>
      </c>
    </row>
    <row r="307" spans="2:28" x14ac:dyDescent="0.3">
      <c r="B307" s="61" t="s">
        <v>226</v>
      </c>
      <c r="C307" s="61" t="s">
        <v>185</v>
      </c>
      <c r="D307" s="61" t="s">
        <v>122</v>
      </c>
      <c r="E307" s="61" t="s">
        <v>190</v>
      </c>
      <c r="F307" s="61" t="s">
        <v>93</v>
      </c>
      <c r="G307" s="62">
        <v>0.44999999999999996</v>
      </c>
      <c r="H307" s="61">
        <v>15</v>
      </c>
      <c r="I307" s="61" t="s">
        <v>214</v>
      </c>
      <c r="J307" s="61" t="s">
        <v>215</v>
      </c>
      <c r="K307" s="67">
        <v>0</v>
      </c>
      <c r="L307" s="67">
        <v>0</v>
      </c>
      <c r="M307" s="67">
        <v>0</v>
      </c>
      <c r="N307" s="67">
        <v>0.03</v>
      </c>
      <c r="O307" s="67">
        <v>0.03</v>
      </c>
      <c r="P307" s="67">
        <v>0.03</v>
      </c>
      <c r="Q307" s="67">
        <v>0.03</v>
      </c>
      <c r="R307" s="67">
        <v>0.03</v>
      </c>
      <c r="S307" s="67">
        <v>0.03</v>
      </c>
      <c r="T307" s="67">
        <v>0.03</v>
      </c>
      <c r="U307" s="67">
        <v>0.03</v>
      </c>
      <c r="V307" s="67">
        <v>0.03</v>
      </c>
      <c r="W307" s="67">
        <v>0.03</v>
      </c>
      <c r="X307" s="67">
        <v>0.03</v>
      </c>
      <c r="Y307" s="67">
        <v>0.03</v>
      </c>
      <c r="Z307" s="61" t="s">
        <v>216</v>
      </c>
      <c r="AA307" s="68">
        <v>0.26532869729928493</v>
      </c>
      <c r="AB307" s="69">
        <v>1.2623229055619222E-4</v>
      </c>
    </row>
    <row r="308" spans="2:28" x14ac:dyDescent="0.3">
      <c r="B308" s="61" t="s">
        <v>226</v>
      </c>
      <c r="C308" s="61" t="s">
        <v>185</v>
      </c>
      <c r="D308" s="61" t="s">
        <v>122</v>
      </c>
      <c r="E308" s="61" t="s">
        <v>191</v>
      </c>
      <c r="F308" s="61" t="s">
        <v>93</v>
      </c>
      <c r="G308" s="62">
        <v>0</v>
      </c>
      <c r="H308" s="61">
        <v>0</v>
      </c>
      <c r="I308" s="61">
        <v>0</v>
      </c>
      <c r="J308" s="61" t="e">
        <v>#N/A</v>
      </c>
      <c r="K308" s="70">
        <v>0</v>
      </c>
      <c r="L308" s="70">
        <v>0</v>
      </c>
      <c r="M308" s="70">
        <v>0</v>
      </c>
      <c r="N308" s="70">
        <v>0</v>
      </c>
      <c r="O308" s="70">
        <v>0</v>
      </c>
      <c r="P308" s="70">
        <v>0</v>
      </c>
      <c r="Q308" s="70">
        <v>0</v>
      </c>
      <c r="R308" s="70">
        <v>0</v>
      </c>
      <c r="S308" s="70">
        <v>0</v>
      </c>
      <c r="T308" s="70">
        <v>0</v>
      </c>
      <c r="U308" s="70">
        <v>0</v>
      </c>
      <c r="V308" s="70">
        <v>0</v>
      </c>
      <c r="W308" s="70">
        <v>0</v>
      </c>
      <c r="X308" s="70">
        <v>0</v>
      </c>
      <c r="Y308" s="70">
        <v>0</v>
      </c>
      <c r="Z308" s="61" t="s">
        <v>216</v>
      </c>
      <c r="AA308" s="68">
        <v>0</v>
      </c>
      <c r="AB308" s="69">
        <v>0</v>
      </c>
    </row>
    <row r="309" spans="2:28" x14ac:dyDescent="0.3">
      <c r="B309" s="61" t="s">
        <v>226</v>
      </c>
      <c r="C309" s="61" t="s">
        <v>185</v>
      </c>
      <c r="D309" s="61" t="s">
        <v>122</v>
      </c>
      <c r="E309" s="61" t="s">
        <v>192</v>
      </c>
      <c r="F309" s="61" t="s">
        <v>93</v>
      </c>
      <c r="G309" s="62">
        <v>0.9</v>
      </c>
      <c r="H309" s="61">
        <v>15</v>
      </c>
      <c r="I309" s="61" t="s">
        <v>214</v>
      </c>
      <c r="J309" s="61" t="s">
        <v>215</v>
      </c>
      <c r="K309" s="67">
        <v>0</v>
      </c>
      <c r="L309" s="67">
        <v>0</v>
      </c>
      <c r="M309" s="67">
        <v>0</v>
      </c>
      <c r="N309" s="67">
        <v>0.03</v>
      </c>
      <c r="O309" s="67">
        <v>0.03</v>
      </c>
      <c r="P309" s="67">
        <v>0.03</v>
      </c>
      <c r="Q309" s="67">
        <v>0.03</v>
      </c>
      <c r="R309" s="67">
        <v>0.03</v>
      </c>
      <c r="S309" s="67">
        <v>0.03</v>
      </c>
      <c r="T309" s="67">
        <v>0.03</v>
      </c>
      <c r="U309" s="67">
        <v>0.03</v>
      </c>
      <c r="V309" s="67">
        <v>0.03</v>
      </c>
      <c r="W309" s="67">
        <v>0.03</v>
      </c>
      <c r="X309" s="67">
        <v>0.03</v>
      </c>
      <c r="Y309" s="67">
        <v>0.03</v>
      </c>
      <c r="Z309" s="61" t="s">
        <v>216</v>
      </c>
      <c r="AA309" s="68">
        <v>0.26532869729928493</v>
      </c>
      <c r="AB309" s="69">
        <v>1.2623229055619222E-4</v>
      </c>
    </row>
    <row r="310" spans="2:28" x14ac:dyDescent="0.3">
      <c r="B310" s="61" t="s">
        <v>226</v>
      </c>
      <c r="C310" s="61" t="s">
        <v>185</v>
      </c>
      <c r="D310" s="61" t="s">
        <v>122</v>
      </c>
      <c r="E310" s="61" t="s">
        <v>193</v>
      </c>
      <c r="F310" s="61" t="s">
        <v>93</v>
      </c>
      <c r="G310" s="62">
        <v>0</v>
      </c>
      <c r="H310" s="61">
        <v>0</v>
      </c>
      <c r="I310" s="61">
        <v>0</v>
      </c>
      <c r="J310" s="61" t="e">
        <v>#N/A</v>
      </c>
      <c r="K310" s="70">
        <v>0</v>
      </c>
      <c r="L310" s="70">
        <v>0</v>
      </c>
      <c r="M310" s="70">
        <v>0</v>
      </c>
      <c r="N310" s="70">
        <v>0</v>
      </c>
      <c r="O310" s="70">
        <v>0</v>
      </c>
      <c r="P310" s="70">
        <v>0</v>
      </c>
      <c r="Q310" s="70">
        <v>0</v>
      </c>
      <c r="R310" s="70">
        <v>0</v>
      </c>
      <c r="S310" s="70">
        <v>0</v>
      </c>
      <c r="T310" s="70">
        <v>0</v>
      </c>
      <c r="U310" s="70">
        <v>0</v>
      </c>
      <c r="V310" s="70">
        <v>0</v>
      </c>
      <c r="W310" s="70">
        <v>0</v>
      </c>
      <c r="X310" s="70">
        <v>0</v>
      </c>
      <c r="Y310" s="70">
        <v>0</v>
      </c>
      <c r="Z310" s="61" t="s">
        <v>216</v>
      </c>
      <c r="AA310" s="68">
        <v>0</v>
      </c>
      <c r="AB310" s="69">
        <v>0</v>
      </c>
    </row>
    <row r="311" spans="2:28" x14ac:dyDescent="0.3">
      <c r="B311" s="61" t="s">
        <v>226</v>
      </c>
      <c r="C311" s="61" t="s">
        <v>185</v>
      </c>
      <c r="D311" s="61" t="s">
        <v>122</v>
      </c>
      <c r="E311" s="61" t="s">
        <v>194</v>
      </c>
      <c r="F311" s="61" t="s">
        <v>93</v>
      </c>
      <c r="G311" s="62">
        <v>0</v>
      </c>
      <c r="H311" s="61">
        <v>0</v>
      </c>
      <c r="I311" s="61">
        <v>0</v>
      </c>
      <c r="J311" s="61" t="e">
        <v>#N/A</v>
      </c>
      <c r="K311" s="70">
        <v>0</v>
      </c>
      <c r="L311" s="70">
        <v>0</v>
      </c>
      <c r="M311" s="70">
        <v>0</v>
      </c>
      <c r="N311" s="70">
        <v>0</v>
      </c>
      <c r="O311" s="70">
        <v>0</v>
      </c>
      <c r="P311" s="70">
        <v>0</v>
      </c>
      <c r="Q311" s="70">
        <v>0</v>
      </c>
      <c r="R311" s="70">
        <v>0</v>
      </c>
      <c r="S311" s="70">
        <v>0</v>
      </c>
      <c r="T311" s="70">
        <v>0</v>
      </c>
      <c r="U311" s="70">
        <v>0</v>
      </c>
      <c r="V311" s="70">
        <v>0</v>
      </c>
      <c r="W311" s="70">
        <v>0</v>
      </c>
      <c r="X311" s="70">
        <v>0</v>
      </c>
      <c r="Y311" s="70">
        <v>0</v>
      </c>
      <c r="Z311" s="61" t="s">
        <v>216</v>
      </c>
      <c r="AA311" s="68">
        <v>0</v>
      </c>
      <c r="AB311" s="69">
        <v>0</v>
      </c>
    </row>
    <row r="312" spans="2:28" x14ac:dyDescent="0.3">
      <c r="B312" s="61" t="s">
        <v>226</v>
      </c>
      <c r="C312" s="61" t="s">
        <v>185</v>
      </c>
      <c r="D312" s="61" t="s">
        <v>122</v>
      </c>
      <c r="E312" s="61" t="s">
        <v>195</v>
      </c>
      <c r="F312" s="61" t="s">
        <v>93</v>
      </c>
      <c r="G312" s="62">
        <v>0</v>
      </c>
      <c r="H312" s="61">
        <v>0</v>
      </c>
      <c r="I312" s="61">
        <v>0</v>
      </c>
      <c r="J312" s="61" t="e">
        <v>#N/A</v>
      </c>
      <c r="K312" s="70">
        <v>0</v>
      </c>
      <c r="L312" s="70">
        <v>0</v>
      </c>
      <c r="M312" s="70">
        <v>0</v>
      </c>
      <c r="N312" s="70">
        <v>0</v>
      </c>
      <c r="O312" s="70">
        <v>0</v>
      </c>
      <c r="P312" s="70">
        <v>0</v>
      </c>
      <c r="Q312" s="70">
        <v>0</v>
      </c>
      <c r="R312" s="70">
        <v>0</v>
      </c>
      <c r="S312" s="70">
        <v>0</v>
      </c>
      <c r="T312" s="70">
        <v>0</v>
      </c>
      <c r="U312" s="70">
        <v>0</v>
      </c>
      <c r="V312" s="70">
        <v>0</v>
      </c>
      <c r="W312" s="70">
        <v>0</v>
      </c>
      <c r="X312" s="70">
        <v>0</v>
      </c>
      <c r="Y312" s="70">
        <v>0</v>
      </c>
      <c r="Z312" s="61" t="s">
        <v>216</v>
      </c>
      <c r="AA312" s="68">
        <v>0</v>
      </c>
      <c r="AB312" s="69">
        <v>0</v>
      </c>
    </row>
    <row r="313" spans="2:28" x14ac:dyDescent="0.3">
      <c r="B313" s="61" t="s">
        <v>226</v>
      </c>
      <c r="C313" s="61" t="s">
        <v>185</v>
      </c>
      <c r="D313" s="61" t="s">
        <v>122</v>
      </c>
      <c r="E313" s="61" t="s">
        <v>196</v>
      </c>
      <c r="F313" s="61" t="s">
        <v>93</v>
      </c>
      <c r="G313" s="62">
        <v>0</v>
      </c>
      <c r="H313" s="61">
        <v>0</v>
      </c>
      <c r="I313" s="61">
        <v>0</v>
      </c>
      <c r="J313" s="61" t="e">
        <v>#N/A</v>
      </c>
      <c r="K313" s="70">
        <v>0</v>
      </c>
      <c r="L313" s="70">
        <v>0</v>
      </c>
      <c r="M313" s="70">
        <v>0</v>
      </c>
      <c r="N313" s="70">
        <v>0</v>
      </c>
      <c r="O313" s="70">
        <v>0</v>
      </c>
      <c r="P313" s="70">
        <v>0</v>
      </c>
      <c r="Q313" s="70">
        <v>0</v>
      </c>
      <c r="R313" s="70">
        <v>0</v>
      </c>
      <c r="S313" s="70">
        <v>0</v>
      </c>
      <c r="T313" s="70">
        <v>0</v>
      </c>
      <c r="U313" s="70">
        <v>0</v>
      </c>
      <c r="V313" s="70">
        <v>0</v>
      </c>
      <c r="W313" s="70">
        <v>0</v>
      </c>
      <c r="X313" s="70">
        <v>0</v>
      </c>
      <c r="Y313" s="70">
        <v>0</v>
      </c>
      <c r="Z313" s="61" t="s">
        <v>216</v>
      </c>
      <c r="AA313" s="68">
        <v>0</v>
      </c>
      <c r="AB313" s="69">
        <v>0</v>
      </c>
    </row>
    <row r="314" spans="2:28" x14ac:dyDescent="0.3">
      <c r="B314" s="61" t="s">
        <v>226</v>
      </c>
      <c r="C314" s="61" t="s">
        <v>185</v>
      </c>
      <c r="D314" s="61" t="s">
        <v>122</v>
      </c>
      <c r="E314" s="61" t="s">
        <v>197</v>
      </c>
      <c r="F314" s="61" t="s">
        <v>93</v>
      </c>
      <c r="G314" s="62">
        <v>0</v>
      </c>
      <c r="H314" s="61">
        <v>0</v>
      </c>
      <c r="I314" s="61">
        <v>0</v>
      </c>
      <c r="J314" s="61" t="e">
        <v>#N/A</v>
      </c>
      <c r="K314" s="70">
        <v>0</v>
      </c>
      <c r="L314" s="70">
        <v>0</v>
      </c>
      <c r="M314" s="70">
        <v>0</v>
      </c>
      <c r="N314" s="70">
        <v>0</v>
      </c>
      <c r="O314" s="70">
        <v>0</v>
      </c>
      <c r="P314" s="70">
        <v>0</v>
      </c>
      <c r="Q314" s="70">
        <v>0</v>
      </c>
      <c r="R314" s="70">
        <v>0</v>
      </c>
      <c r="S314" s="70">
        <v>0</v>
      </c>
      <c r="T314" s="70">
        <v>0</v>
      </c>
      <c r="U314" s="70">
        <v>0</v>
      </c>
      <c r="V314" s="70">
        <v>0</v>
      </c>
      <c r="W314" s="70">
        <v>0</v>
      </c>
      <c r="X314" s="70">
        <v>0</v>
      </c>
      <c r="Y314" s="70">
        <v>0</v>
      </c>
      <c r="Z314" s="61" t="s">
        <v>216</v>
      </c>
      <c r="AA314" s="68">
        <v>0</v>
      </c>
      <c r="AB314" s="69">
        <v>0</v>
      </c>
    </row>
    <row r="315" spans="2:28" x14ac:dyDescent="0.3">
      <c r="B315" s="61" t="s">
        <v>226</v>
      </c>
      <c r="C315" s="61" t="s">
        <v>185</v>
      </c>
      <c r="D315" s="61" t="s">
        <v>122</v>
      </c>
      <c r="E315" s="61" t="s">
        <v>198</v>
      </c>
      <c r="F315" s="61" t="s">
        <v>93</v>
      </c>
      <c r="G315" s="62">
        <v>0.9</v>
      </c>
      <c r="H315" s="61">
        <v>15</v>
      </c>
      <c r="I315" s="61" t="s">
        <v>214</v>
      </c>
      <c r="J315" s="61" t="s">
        <v>215</v>
      </c>
      <c r="K315" s="67">
        <v>0</v>
      </c>
      <c r="L315" s="67">
        <v>0</v>
      </c>
      <c r="M315" s="67">
        <v>0</v>
      </c>
      <c r="N315" s="67">
        <v>0.03</v>
      </c>
      <c r="O315" s="67">
        <v>0.03</v>
      </c>
      <c r="P315" s="67">
        <v>0.03</v>
      </c>
      <c r="Q315" s="67">
        <v>0.03</v>
      </c>
      <c r="R315" s="67">
        <v>0.03</v>
      </c>
      <c r="S315" s="67">
        <v>0.03</v>
      </c>
      <c r="T315" s="67">
        <v>0.03</v>
      </c>
      <c r="U315" s="67">
        <v>0.03</v>
      </c>
      <c r="V315" s="67">
        <v>0.03</v>
      </c>
      <c r="W315" s="67">
        <v>0.03</v>
      </c>
      <c r="X315" s="67">
        <v>0.03</v>
      </c>
      <c r="Y315" s="67">
        <v>0.03</v>
      </c>
      <c r="Z315" s="61" t="s">
        <v>216</v>
      </c>
      <c r="AA315" s="68">
        <v>0.26532869729928493</v>
      </c>
      <c r="AB315" s="69">
        <v>1.2623229055619222E-4</v>
      </c>
    </row>
    <row r="316" spans="2:28" x14ac:dyDescent="0.3">
      <c r="B316" s="61" t="s">
        <v>226</v>
      </c>
      <c r="C316" s="61" t="s">
        <v>185</v>
      </c>
      <c r="D316" s="61" t="s">
        <v>122</v>
      </c>
      <c r="E316" s="61" t="s">
        <v>199</v>
      </c>
      <c r="F316" s="61" t="s">
        <v>93</v>
      </c>
      <c r="G316" s="62">
        <v>0</v>
      </c>
      <c r="H316" s="61">
        <v>0</v>
      </c>
      <c r="I316" s="61">
        <v>0</v>
      </c>
      <c r="J316" s="61" t="e">
        <v>#N/A</v>
      </c>
      <c r="K316" s="70">
        <v>0</v>
      </c>
      <c r="L316" s="70">
        <v>0</v>
      </c>
      <c r="M316" s="70">
        <v>0</v>
      </c>
      <c r="N316" s="70">
        <v>0</v>
      </c>
      <c r="O316" s="70">
        <v>0</v>
      </c>
      <c r="P316" s="70">
        <v>0</v>
      </c>
      <c r="Q316" s="70">
        <v>0</v>
      </c>
      <c r="R316" s="70">
        <v>0</v>
      </c>
      <c r="S316" s="70">
        <v>0</v>
      </c>
      <c r="T316" s="70">
        <v>0</v>
      </c>
      <c r="U316" s="70">
        <v>0</v>
      </c>
      <c r="V316" s="70">
        <v>0</v>
      </c>
      <c r="W316" s="70">
        <v>0</v>
      </c>
      <c r="X316" s="70">
        <v>0</v>
      </c>
      <c r="Y316" s="70">
        <v>0</v>
      </c>
      <c r="Z316" s="61" t="s">
        <v>216</v>
      </c>
      <c r="AA316" s="68">
        <v>0</v>
      </c>
      <c r="AB316" s="69">
        <v>0</v>
      </c>
    </row>
    <row r="317" spans="2:28" x14ac:dyDescent="0.3">
      <c r="B317" s="61" t="s">
        <v>226</v>
      </c>
      <c r="C317" s="61" t="s">
        <v>185</v>
      </c>
      <c r="D317" s="61" t="s">
        <v>200</v>
      </c>
      <c r="E317" s="61" t="s">
        <v>186</v>
      </c>
      <c r="F317" s="61" t="s">
        <v>94</v>
      </c>
      <c r="G317" s="62">
        <v>0.85</v>
      </c>
      <c r="H317" s="61">
        <v>15</v>
      </c>
      <c r="I317" s="61" t="s">
        <v>218</v>
      </c>
      <c r="J317" s="61" t="s">
        <v>215</v>
      </c>
      <c r="K317" s="67">
        <v>0</v>
      </c>
      <c r="L317" s="67">
        <v>0</v>
      </c>
      <c r="M317" s="67">
        <v>0</v>
      </c>
      <c r="N317" s="67">
        <v>0.03</v>
      </c>
      <c r="O317" s="67">
        <v>0.03</v>
      </c>
      <c r="P317" s="67">
        <v>0.03</v>
      </c>
      <c r="Q317" s="67">
        <v>0.03</v>
      </c>
      <c r="R317" s="67">
        <v>0.03</v>
      </c>
      <c r="S317" s="67">
        <v>0.03</v>
      </c>
      <c r="T317" s="67">
        <v>0.03</v>
      </c>
      <c r="U317" s="67">
        <v>0.03</v>
      </c>
      <c r="V317" s="67">
        <v>0.03</v>
      </c>
      <c r="W317" s="67">
        <v>0.03</v>
      </c>
      <c r="X317" s="67">
        <v>0.03</v>
      </c>
      <c r="Y317" s="67">
        <v>0.03</v>
      </c>
      <c r="Z317" s="61" t="s">
        <v>216</v>
      </c>
      <c r="AA317" s="68">
        <v>3.6534583368262386</v>
      </c>
      <c r="AB317" s="69">
        <v>0</v>
      </c>
    </row>
    <row r="318" spans="2:28" x14ac:dyDescent="0.3">
      <c r="B318" s="61" t="s">
        <v>226</v>
      </c>
      <c r="C318" s="61" t="s">
        <v>185</v>
      </c>
      <c r="D318" s="61" t="s">
        <v>200</v>
      </c>
      <c r="E318" s="61" t="s">
        <v>189</v>
      </c>
      <c r="F318" s="61" t="s">
        <v>94</v>
      </c>
      <c r="G318" s="62">
        <v>0</v>
      </c>
      <c r="H318" s="61">
        <v>0</v>
      </c>
      <c r="I318" s="61">
        <v>0</v>
      </c>
      <c r="J318" s="61" t="e">
        <v>#N/A</v>
      </c>
      <c r="K318" s="70">
        <v>0</v>
      </c>
      <c r="L318" s="70">
        <v>0</v>
      </c>
      <c r="M318" s="70">
        <v>0</v>
      </c>
      <c r="N318" s="70">
        <v>0</v>
      </c>
      <c r="O318" s="70">
        <v>0</v>
      </c>
      <c r="P318" s="70">
        <v>0</v>
      </c>
      <c r="Q318" s="70">
        <v>0</v>
      </c>
      <c r="R318" s="70">
        <v>0</v>
      </c>
      <c r="S318" s="70">
        <v>0</v>
      </c>
      <c r="T318" s="70">
        <v>0</v>
      </c>
      <c r="U318" s="70">
        <v>0</v>
      </c>
      <c r="V318" s="70">
        <v>0</v>
      </c>
      <c r="W318" s="70">
        <v>0</v>
      </c>
      <c r="X318" s="70">
        <v>0</v>
      </c>
      <c r="Y318" s="70">
        <v>0</v>
      </c>
      <c r="Z318" s="61" t="s">
        <v>216</v>
      </c>
      <c r="AA318" s="68">
        <v>0</v>
      </c>
      <c r="AB318" s="69">
        <v>0</v>
      </c>
    </row>
    <row r="319" spans="2:28" x14ac:dyDescent="0.3">
      <c r="B319" s="61" t="s">
        <v>226</v>
      </c>
      <c r="C319" s="61" t="s">
        <v>185</v>
      </c>
      <c r="D319" s="61" t="s">
        <v>200</v>
      </c>
      <c r="E319" s="61" t="s">
        <v>190</v>
      </c>
      <c r="F319" s="61" t="s">
        <v>94</v>
      </c>
      <c r="G319" s="62">
        <v>0.44999999999999996</v>
      </c>
      <c r="H319" s="61">
        <v>15</v>
      </c>
      <c r="I319" s="61" t="s">
        <v>218</v>
      </c>
      <c r="J319" s="61" t="s">
        <v>215</v>
      </c>
      <c r="K319" s="67">
        <v>0</v>
      </c>
      <c r="L319" s="67">
        <v>0</v>
      </c>
      <c r="M319" s="67">
        <v>0</v>
      </c>
      <c r="N319" s="67">
        <v>0.03</v>
      </c>
      <c r="O319" s="67">
        <v>0.03</v>
      </c>
      <c r="P319" s="67">
        <v>0.03</v>
      </c>
      <c r="Q319" s="67">
        <v>0.03</v>
      </c>
      <c r="R319" s="67">
        <v>0.03</v>
      </c>
      <c r="S319" s="67">
        <v>0.03</v>
      </c>
      <c r="T319" s="67">
        <v>0.03</v>
      </c>
      <c r="U319" s="67">
        <v>0.03</v>
      </c>
      <c r="V319" s="67">
        <v>0.03</v>
      </c>
      <c r="W319" s="67">
        <v>0.03</v>
      </c>
      <c r="X319" s="67">
        <v>0.03</v>
      </c>
      <c r="Y319" s="67">
        <v>0.03</v>
      </c>
      <c r="Z319" s="61" t="s">
        <v>216</v>
      </c>
      <c r="AA319" s="68">
        <v>3.6534583368262386</v>
      </c>
      <c r="AB319" s="69">
        <v>0</v>
      </c>
    </row>
    <row r="320" spans="2:28" x14ac:dyDescent="0.3">
      <c r="B320" s="61" t="s">
        <v>226</v>
      </c>
      <c r="C320" s="61" t="s">
        <v>185</v>
      </c>
      <c r="D320" s="61" t="s">
        <v>200</v>
      </c>
      <c r="E320" s="61" t="s">
        <v>191</v>
      </c>
      <c r="F320" s="61" t="s">
        <v>94</v>
      </c>
      <c r="G320" s="62">
        <v>0</v>
      </c>
      <c r="H320" s="61">
        <v>0</v>
      </c>
      <c r="I320" s="61">
        <v>0</v>
      </c>
      <c r="J320" s="61" t="e">
        <v>#N/A</v>
      </c>
      <c r="K320" s="70">
        <v>0</v>
      </c>
      <c r="L320" s="70">
        <v>0</v>
      </c>
      <c r="M320" s="70">
        <v>0</v>
      </c>
      <c r="N320" s="70">
        <v>0</v>
      </c>
      <c r="O320" s="70">
        <v>0</v>
      </c>
      <c r="P320" s="70">
        <v>0</v>
      </c>
      <c r="Q320" s="70">
        <v>0</v>
      </c>
      <c r="R320" s="70">
        <v>0</v>
      </c>
      <c r="S320" s="70">
        <v>0</v>
      </c>
      <c r="T320" s="70">
        <v>0</v>
      </c>
      <c r="U320" s="70">
        <v>0</v>
      </c>
      <c r="V320" s="70">
        <v>0</v>
      </c>
      <c r="W320" s="70">
        <v>0</v>
      </c>
      <c r="X320" s="70">
        <v>0</v>
      </c>
      <c r="Y320" s="70">
        <v>0</v>
      </c>
      <c r="Z320" s="61" t="s">
        <v>216</v>
      </c>
      <c r="AA320" s="68">
        <v>0</v>
      </c>
      <c r="AB320" s="69">
        <v>0</v>
      </c>
    </row>
    <row r="321" spans="2:28" x14ac:dyDescent="0.3">
      <c r="B321" s="61" t="s">
        <v>226</v>
      </c>
      <c r="C321" s="61" t="s">
        <v>185</v>
      </c>
      <c r="D321" s="61" t="s">
        <v>200</v>
      </c>
      <c r="E321" s="61" t="s">
        <v>192</v>
      </c>
      <c r="F321" s="61" t="s">
        <v>94</v>
      </c>
      <c r="G321" s="62">
        <v>0.9</v>
      </c>
      <c r="H321" s="61">
        <v>15</v>
      </c>
      <c r="I321" s="61" t="s">
        <v>218</v>
      </c>
      <c r="J321" s="61" t="s">
        <v>215</v>
      </c>
      <c r="K321" s="67">
        <v>0</v>
      </c>
      <c r="L321" s="67">
        <v>0</v>
      </c>
      <c r="M321" s="67">
        <v>0</v>
      </c>
      <c r="N321" s="67">
        <v>0.03</v>
      </c>
      <c r="O321" s="67">
        <v>0.03</v>
      </c>
      <c r="P321" s="67">
        <v>0.03</v>
      </c>
      <c r="Q321" s="67">
        <v>0.03</v>
      </c>
      <c r="R321" s="67">
        <v>0.03</v>
      </c>
      <c r="S321" s="67">
        <v>0.03</v>
      </c>
      <c r="T321" s="67">
        <v>0.03</v>
      </c>
      <c r="U321" s="67">
        <v>0.03</v>
      </c>
      <c r="V321" s="67">
        <v>0.03</v>
      </c>
      <c r="W321" s="67">
        <v>0.03</v>
      </c>
      <c r="X321" s="67">
        <v>0.03</v>
      </c>
      <c r="Y321" s="67">
        <v>0.03</v>
      </c>
      <c r="Z321" s="61" t="s">
        <v>216</v>
      </c>
      <c r="AA321" s="68">
        <v>3.6534583368262386</v>
      </c>
      <c r="AB321" s="69">
        <v>0</v>
      </c>
    </row>
    <row r="322" spans="2:28" x14ac:dyDescent="0.3">
      <c r="B322" s="61" t="s">
        <v>226</v>
      </c>
      <c r="C322" s="61" t="s">
        <v>185</v>
      </c>
      <c r="D322" s="61" t="s">
        <v>200</v>
      </c>
      <c r="E322" s="61" t="s">
        <v>193</v>
      </c>
      <c r="F322" s="61" t="s">
        <v>94</v>
      </c>
      <c r="G322" s="62">
        <v>0</v>
      </c>
      <c r="H322" s="61">
        <v>0</v>
      </c>
      <c r="I322" s="61">
        <v>0</v>
      </c>
      <c r="J322" s="61" t="e">
        <v>#N/A</v>
      </c>
      <c r="K322" s="70">
        <v>0</v>
      </c>
      <c r="L322" s="70">
        <v>0</v>
      </c>
      <c r="M322" s="70">
        <v>0</v>
      </c>
      <c r="N322" s="70">
        <v>0</v>
      </c>
      <c r="O322" s="70">
        <v>0</v>
      </c>
      <c r="P322" s="70">
        <v>0</v>
      </c>
      <c r="Q322" s="70">
        <v>0</v>
      </c>
      <c r="R322" s="70">
        <v>0</v>
      </c>
      <c r="S322" s="70">
        <v>0</v>
      </c>
      <c r="T322" s="70">
        <v>0</v>
      </c>
      <c r="U322" s="70">
        <v>0</v>
      </c>
      <c r="V322" s="70">
        <v>0</v>
      </c>
      <c r="W322" s="70">
        <v>0</v>
      </c>
      <c r="X322" s="70">
        <v>0</v>
      </c>
      <c r="Y322" s="70">
        <v>0</v>
      </c>
      <c r="Z322" s="61" t="s">
        <v>216</v>
      </c>
      <c r="AA322" s="68">
        <v>0</v>
      </c>
      <c r="AB322" s="69">
        <v>0</v>
      </c>
    </row>
    <row r="323" spans="2:28" x14ac:dyDescent="0.3">
      <c r="B323" s="61" t="s">
        <v>226</v>
      </c>
      <c r="C323" s="61" t="s">
        <v>185</v>
      </c>
      <c r="D323" s="61" t="s">
        <v>200</v>
      </c>
      <c r="E323" s="61" t="s">
        <v>194</v>
      </c>
      <c r="F323" s="61" t="s">
        <v>94</v>
      </c>
      <c r="G323" s="62">
        <v>0</v>
      </c>
      <c r="H323" s="61">
        <v>0</v>
      </c>
      <c r="I323" s="61">
        <v>0</v>
      </c>
      <c r="J323" s="61" t="e">
        <v>#N/A</v>
      </c>
      <c r="K323" s="70">
        <v>0</v>
      </c>
      <c r="L323" s="70">
        <v>0</v>
      </c>
      <c r="M323" s="70">
        <v>0</v>
      </c>
      <c r="N323" s="70">
        <v>0</v>
      </c>
      <c r="O323" s="70">
        <v>0</v>
      </c>
      <c r="P323" s="70">
        <v>0</v>
      </c>
      <c r="Q323" s="70">
        <v>0</v>
      </c>
      <c r="R323" s="70">
        <v>0</v>
      </c>
      <c r="S323" s="70">
        <v>0</v>
      </c>
      <c r="T323" s="70">
        <v>0</v>
      </c>
      <c r="U323" s="70">
        <v>0</v>
      </c>
      <c r="V323" s="70">
        <v>0</v>
      </c>
      <c r="W323" s="70">
        <v>0</v>
      </c>
      <c r="X323" s="70">
        <v>0</v>
      </c>
      <c r="Y323" s="70">
        <v>0</v>
      </c>
      <c r="Z323" s="61" t="s">
        <v>216</v>
      </c>
      <c r="AA323" s="68">
        <v>0</v>
      </c>
      <c r="AB323" s="69">
        <v>0</v>
      </c>
    </row>
    <row r="324" spans="2:28" x14ac:dyDescent="0.3">
      <c r="B324" s="61" t="s">
        <v>226</v>
      </c>
      <c r="C324" s="61" t="s">
        <v>185</v>
      </c>
      <c r="D324" s="61" t="s">
        <v>200</v>
      </c>
      <c r="E324" s="61" t="s">
        <v>195</v>
      </c>
      <c r="F324" s="61" t="s">
        <v>94</v>
      </c>
      <c r="G324" s="62">
        <v>0</v>
      </c>
      <c r="H324" s="61">
        <v>0</v>
      </c>
      <c r="I324" s="61">
        <v>0</v>
      </c>
      <c r="J324" s="61" t="e">
        <v>#N/A</v>
      </c>
      <c r="K324" s="70">
        <v>0</v>
      </c>
      <c r="L324" s="70">
        <v>0</v>
      </c>
      <c r="M324" s="70">
        <v>0</v>
      </c>
      <c r="N324" s="70">
        <v>0</v>
      </c>
      <c r="O324" s="70">
        <v>0</v>
      </c>
      <c r="P324" s="70">
        <v>0</v>
      </c>
      <c r="Q324" s="70">
        <v>0</v>
      </c>
      <c r="R324" s="70">
        <v>0</v>
      </c>
      <c r="S324" s="70">
        <v>0</v>
      </c>
      <c r="T324" s="70">
        <v>0</v>
      </c>
      <c r="U324" s="70">
        <v>0</v>
      </c>
      <c r="V324" s="70">
        <v>0</v>
      </c>
      <c r="W324" s="70">
        <v>0</v>
      </c>
      <c r="X324" s="70">
        <v>0</v>
      </c>
      <c r="Y324" s="70">
        <v>0</v>
      </c>
      <c r="Z324" s="61" t="s">
        <v>216</v>
      </c>
      <c r="AA324" s="68">
        <v>0</v>
      </c>
      <c r="AB324" s="69">
        <v>0</v>
      </c>
    </row>
    <row r="325" spans="2:28" x14ac:dyDescent="0.3">
      <c r="B325" s="61" t="s">
        <v>226</v>
      </c>
      <c r="C325" s="61" t="s">
        <v>185</v>
      </c>
      <c r="D325" s="61" t="s">
        <v>200</v>
      </c>
      <c r="E325" s="61" t="s">
        <v>196</v>
      </c>
      <c r="F325" s="61" t="s">
        <v>94</v>
      </c>
      <c r="G325" s="62">
        <v>0</v>
      </c>
      <c r="H325" s="61">
        <v>0</v>
      </c>
      <c r="I325" s="61">
        <v>0</v>
      </c>
      <c r="J325" s="61" t="e">
        <v>#N/A</v>
      </c>
      <c r="K325" s="70">
        <v>0</v>
      </c>
      <c r="L325" s="70">
        <v>0</v>
      </c>
      <c r="M325" s="70">
        <v>0</v>
      </c>
      <c r="N325" s="70">
        <v>0</v>
      </c>
      <c r="O325" s="70">
        <v>0</v>
      </c>
      <c r="P325" s="70">
        <v>0</v>
      </c>
      <c r="Q325" s="70">
        <v>0</v>
      </c>
      <c r="R325" s="70">
        <v>0</v>
      </c>
      <c r="S325" s="70">
        <v>0</v>
      </c>
      <c r="T325" s="70">
        <v>0</v>
      </c>
      <c r="U325" s="70">
        <v>0</v>
      </c>
      <c r="V325" s="70">
        <v>0</v>
      </c>
      <c r="W325" s="70">
        <v>0</v>
      </c>
      <c r="X325" s="70">
        <v>0</v>
      </c>
      <c r="Y325" s="70">
        <v>0</v>
      </c>
      <c r="Z325" s="61" t="s">
        <v>216</v>
      </c>
      <c r="AA325" s="68">
        <v>0</v>
      </c>
      <c r="AB325" s="69">
        <v>0</v>
      </c>
    </row>
    <row r="326" spans="2:28" x14ac:dyDescent="0.3">
      <c r="B326" s="61" t="s">
        <v>226</v>
      </c>
      <c r="C326" s="61" t="s">
        <v>185</v>
      </c>
      <c r="D326" s="61" t="s">
        <v>200</v>
      </c>
      <c r="E326" s="61" t="s">
        <v>197</v>
      </c>
      <c r="F326" s="61" t="s">
        <v>94</v>
      </c>
      <c r="G326" s="62">
        <v>0</v>
      </c>
      <c r="H326" s="61">
        <v>0</v>
      </c>
      <c r="I326" s="61">
        <v>0</v>
      </c>
      <c r="J326" s="61" t="e">
        <v>#N/A</v>
      </c>
      <c r="K326" s="70">
        <v>0</v>
      </c>
      <c r="L326" s="70">
        <v>0</v>
      </c>
      <c r="M326" s="70">
        <v>0</v>
      </c>
      <c r="N326" s="70">
        <v>0</v>
      </c>
      <c r="O326" s="70">
        <v>0</v>
      </c>
      <c r="P326" s="70">
        <v>0</v>
      </c>
      <c r="Q326" s="70">
        <v>0</v>
      </c>
      <c r="R326" s="70">
        <v>0</v>
      </c>
      <c r="S326" s="70">
        <v>0</v>
      </c>
      <c r="T326" s="70">
        <v>0</v>
      </c>
      <c r="U326" s="70">
        <v>0</v>
      </c>
      <c r="V326" s="70">
        <v>0</v>
      </c>
      <c r="W326" s="70">
        <v>0</v>
      </c>
      <c r="X326" s="70">
        <v>0</v>
      </c>
      <c r="Y326" s="70">
        <v>0</v>
      </c>
      <c r="Z326" s="61" t="s">
        <v>216</v>
      </c>
      <c r="AA326" s="68">
        <v>0</v>
      </c>
      <c r="AB326" s="69">
        <v>0</v>
      </c>
    </row>
    <row r="327" spans="2:28" x14ac:dyDescent="0.3">
      <c r="B327" s="61" t="s">
        <v>226</v>
      </c>
      <c r="C327" s="61" t="s">
        <v>185</v>
      </c>
      <c r="D327" s="61" t="s">
        <v>200</v>
      </c>
      <c r="E327" s="61" t="s">
        <v>198</v>
      </c>
      <c r="F327" s="61" t="s">
        <v>94</v>
      </c>
      <c r="G327" s="62">
        <v>0.9</v>
      </c>
      <c r="H327" s="61">
        <v>15</v>
      </c>
      <c r="I327" s="61" t="s">
        <v>218</v>
      </c>
      <c r="J327" s="61" t="s">
        <v>215</v>
      </c>
      <c r="K327" s="67">
        <v>0</v>
      </c>
      <c r="L327" s="67">
        <v>0</v>
      </c>
      <c r="M327" s="67">
        <v>0</v>
      </c>
      <c r="N327" s="67">
        <v>0.03</v>
      </c>
      <c r="O327" s="67">
        <v>0.03</v>
      </c>
      <c r="P327" s="67">
        <v>0.03</v>
      </c>
      <c r="Q327" s="67">
        <v>0.03</v>
      </c>
      <c r="R327" s="67">
        <v>0.03</v>
      </c>
      <c r="S327" s="67">
        <v>0.03</v>
      </c>
      <c r="T327" s="67">
        <v>0.03</v>
      </c>
      <c r="U327" s="67">
        <v>0.03</v>
      </c>
      <c r="V327" s="67">
        <v>0.03</v>
      </c>
      <c r="W327" s="67">
        <v>0.03</v>
      </c>
      <c r="X327" s="67">
        <v>0.03</v>
      </c>
      <c r="Y327" s="67">
        <v>0.03</v>
      </c>
      <c r="Z327" s="61" t="s">
        <v>216</v>
      </c>
      <c r="AA327" s="68">
        <v>3.6534583368262386</v>
      </c>
      <c r="AB327" s="69">
        <v>0</v>
      </c>
    </row>
    <row r="328" spans="2:28" x14ac:dyDescent="0.3">
      <c r="B328" s="61" t="s">
        <v>226</v>
      </c>
      <c r="C328" s="61" t="s">
        <v>185</v>
      </c>
      <c r="D328" s="61" t="s">
        <v>200</v>
      </c>
      <c r="E328" s="61" t="s">
        <v>199</v>
      </c>
      <c r="F328" s="61" t="s">
        <v>94</v>
      </c>
      <c r="G328" s="62">
        <v>0</v>
      </c>
      <c r="H328" s="61">
        <v>0</v>
      </c>
      <c r="I328" s="61">
        <v>0</v>
      </c>
      <c r="J328" s="61" t="e">
        <v>#N/A</v>
      </c>
      <c r="K328" s="70">
        <v>0</v>
      </c>
      <c r="L328" s="70">
        <v>0</v>
      </c>
      <c r="M328" s="70">
        <v>0</v>
      </c>
      <c r="N328" s="70">
        <v>0</v>
      </c>
      <c r="O328" s="70">
        <v>0</v>
      </c>
      <c r="P328" s="70">
        <v>0</v>
      </c>
      <c r="Q328" s="70">
        <v>0</v>
      </c>
      <c r="R328" s="70">
        <v>0</v>
      </c>
      <c r="S328" s="70">
        <v>0</v>
      </c>
      <c r="T328" s="70">
        <v>0</v>
      </c>
      <c r="U328" s="70">
        <v>0</v>
      </c>
      <c r="V328" s="70">
        <v>0</v>
      </c>
      <c r="W328" s="70">
        <v>0</v>
      </c>
      <c r="X328" s="70">
        <v>0</v>
      </c>
      <c r="Y328" s="70">
        <v>0</v>
      </c>
      <c r="Z328" s="61" t="s">
        <v>216</v>
      </c>
      <c r="AA328" s="68">
        <v>0</v>
      </c>
      <c r="AB328" s="69">
        <v>0</v>
      </c>
    </row>
    <row r="329" spans="2:28" x14ac:dyDescent="0.3">
      <c r="B329" s="61" t="s">
        <v>226</v>
      </c>
      <c r="C329" s="61" t="s">
        <v>185</v>
      </c>
      <c r="D329" s="61" t="s">
        <v>123</v>
      </c>
      <c r="E329" s="61" t="s">
        <v>186</v>
      </c>
      <c r="F329" s="61" t="s">
        <v>93</v>
      </c>
      <c r="G329" s="62">
        <v>0.85</v>
      </c>
      <c r="H329" s="61">
        <v>15</v>
      </c>
      <c r="I329" s="61" t="s">
        <v>214</v>
      </c>
      <c r="J329" s="61" t="s">
        <v>215</v>
      </c>
      <c r="K329" s="67">
        <v>0</v>
      </c>
      <c r="L329" s="67">
        <v>0</v>
      </c>
      <c r="M329" s="67">
        <v>0</v>
      </c>
      <c r="N329" s="67">
        <v>0.03</v>
      </c>
      <c r="O329" s="67">
        <v>0.03</v>
      </c>
      <c r="P329" s="67">
        <v>0.03</v>
      </c>
      <c r="Q329" s="67">
        <v>0.03</v>
      </c>
      <c r="R329" s="67">
        <v>0.03</v>
      </c>
      <c r="S329" s="67">
        <v>0.03</v>
      </c>
      <c r="T329" s="67">
        <v>0.03</v>
      </c>
      <c r="U329" s="67">
        <v>0.03</v>
      </c>
      <c r="V329" s="67">
        <v>0.03</v>
      </c>
      <c r="W329" s="67">
        <v>0.03</v>
      </c>
      <c r="X329" s="67">
        <v>0.03</v>
      </c>
      <c r="Y329" s="67">
        <v>0.03</v>
      </c>
      <c r="Z329" s="61" t="s">
        <v>216</v>
      </c>
      <c r="AA329" s="68">
        <v>0.26532869729928493</v>
      </c>
      <c r="AB329" s="69">
        <v>1.2623229055619222E-4</v>
      </c>
    </row>
    <row r="330" spans="2:28" x14ac:dyDescent="0.3">
      <c r="B330" s="61" t="s">
        <v>226</v>
      </c>
      <c r="C330" s="61" t="s">
        <v>185</v>
      </c>
      <c r="D330" s="61" t="s">
        <v>123</v>
      </c>
      <c r="E330" s="61" t="s">
        <v>186</v>
      </c>
      <c r="F330" s="61" t="s">
        <v>94</v>
      </c>
      <c r="G330" s="62">
        <v>0.85</v>
      </c>
      <c r="H330" s="61">
        <v>15</v>
      </c>
      <c r="I330" s="61" t="s">
        <v>218</v>
      </c>
      <c r="J330" s="61" t="s">
        <v>215</v>
      </c>
      <c r="K330" s="67">
        <v>0</v>
      </c>
      <c r="L330" s="67">
        <v>0</v>
      </c>
      <c r="M330" s="67">
        <v>0</v>
      </c>
      <c r="N330" s="67">
        <v>0.03</v>
      </c>
      <c r="O330" s="67">
        <v>0.03</v>
      </c>
      <c r="P330" s="67">
        <v>0.03</v>
      </c>
      <c r="Q330" s="67">
        <v>0.03</v>
      </c>
      <c r="R330" s="67">
        <v>0.03</v>
      </c>
      <c r="S330" s="67">
        <v>0.03</v>
      </c>
      <c r="T330" s="67">
        <v>0.03</v>
      </c>
      <c r="U330" s="67">
        <v>0.03</v>
      </c>
      <c r="V330" s="67">
        <v>0.03</v>
      </c>
      <c r="W330" s="67">
        <v>0.03</v>
      </c>
      <c r="X330" s="67">
        <v>0.03</v>
      </c>
      <c r="Y330" s="67">
        <v>0.03</v>
      </c>
      <c r="Z330" s="61" t="s">
        <v>216</v>
      </c>
      <c r="AA330" s="68">
        <v>3.6534583368262386</v>
      </c>
      <c r="AB330" s="69">
        <v>0</v>
      </c>
    </row>
    <row r="331" spans="2:28" x14ac:dyDescent="0.3">
      <c r="B331" s="61" t="s">
        <v>226</v>
      </c>
      <c r="C331" s="61" t="s">
        <v>185</v>
      </c>
      <c r="D331" s="61" t="s">
        <v>123</v>
      </c>
      <c r="E331" s="61" t="s">
        <v>189</v>
      </c>
      <c r="F331" s="61" t="s">
        <v>93</v>
      </c>
      <c r="G331" s="62">
        <v>0</v>
      </c>
      <c r="H331" s="61">
        <v>0</v>
      </c>
      <c r="I331" s="61">
        <v>0</v>
      </c>
      <c r="J331" s="61" t="e">
        <v>#N/A</v>
      </c>
      <c r="K331" s="70">
        <v>0</v>
      </c>
      <c r="L331" s="70">
        <v>0</v>
      </c>
      <c r="M331" s="70">
        <v>0</v>
      </c>
      <c r="N331" s="70">
        <v>0</v>
      </c>
      <c r="O331" s="70">
        <v>0</v>
      </c>
      <c r="P331" s="70">
        <v>0</v>
      </c>
      <c r="Q331" s="70">
        <v>0</v>
      </c>
      <c r="R331" s="70">
        <v>0</v>
      </c>
      <c r="S331" s="70">
        <v>0</v>
      </c>
      <c r="T331" s="70">
        <v>0</v>
      </c>
      <c r="U331" s="70">
        <v>0</v>
      </c>
      <c r="V331" s="70">
        <v>0</v>
      </c>
      <c r="W331" s="70">
        <v>0</v>
      </c>
      <c r="X331" s="70">
        <v>0</v>
      </c>
      <c r="Y331" s="70">
        <v>0</v>
      </c>
      <c r="Z331" s="61" t="s">
        <v>216</v>
      </c>
      <c r="AA331" s="68">
        <v>0</v>
      </c>
      <c r="AB331" s="69">
        <v>0</v>
      </c>
    </row>
    <row r="332" spans="2:28" x14ac:dyDescent="0.3">
      <c r="B332" s="61" t="s">
        <v>226</v>
      </c>
      <c r="C332" s="61" t="s">
        <v>185</v>
      </c>
      <c r="D332" s="61" t="s">
        <v>123</v>
      </c>
      <c r="E332" s="61" t="s">
        <v>189</v>
      </c>
      <c r="F332" s="61" t="s">
        <v>94</v>
      </c>
      <c r="G332" s="62">
        <v>0</v>
      </c>
      <c r="H332" s="61">
        <v>0</v>
      </c>
      <c r="I332" s="61">
        <v>0</v>
      </c>
      <c r="J332" s="61" t="e">
        <v>#N/A</v>
      </c>
      <c r="K332" s="70">
        <v>0</v>
      </c>
      <c r="L332" s="70">
        <v>0</v>
      </c>
      <c r="M332" s="70">
        <v>0</v>
      </c>
      <c r="N332" s="70">
        <v>0</v>
      </c>
      <c r="O332" s="70">
        <v>0</v>
      </c>
      <c r="P332" s="70">
        <v>0</v>
      </c>
      <c r="Q332" s="70">
        <v>0</v>
      </c>
      <c r="R332" s="70">
        <v>0</v>
      </c>
      <c r="S332" s="70">
        <v>0</v>
      </c>
      <c r="T332" s="70">
        <v>0</v>
      </c>
      <c r="U332" s="70">
        <v>0</v>
      </c>
      <c r="V332" s="70">
        <v>0</v>
      </c>
      <c r="W332" s="70">
        <v>0</v>
      </c>
      <c r="X332" s="70">
        <v>0</v>
      </c>
      <c r="Y332" s="70">
        <v>0</v>
      </c>
      <c r="Z332" s="61" t="s">
        <v>216</v>
      </c>
      <c r="AA332" s="68">
        <v>0</v>
      </c>
      <c r="AB332" s="69">
        <v>0</v>
      </c>
    </row>
    <row r="333" spans="2:28" x14ac:dyDescent="0.3">
      <c r="B333" s="61" t="s">
        <v>226</v>
      </c>
      <c r="C333" s="61" t="s">
        <v>185</v>
      </c>
      <c r="D333" s="61" t="s">
        <v>123</v>
      </c>
      <c r="E333" s="61" t="s">
        <v>190</v>
      </c>
      <c r="F333" s="61" t="s">
        <v>93</v>
      </c>
      <c r="G333" s="62">
        <v>0.44999999999999996</v>
      </c>
      <c r="H333" s="61">
        <v>15</v>
      </c>
      <c r="I333" s="61" t="s">
        <v>214</v>
      </c>
      <c r="J333" s="61" t="s">
        <v>215</v>
      </c>
      <c r="K333" s="67">
        <v>0</v>
      </c>
      <c r="L333" s="67">
        <v>0</v>
      </c>
      <c r="M333" s="67">
        <v>0</v>
      </c>
      <c r="N333" s="67">
        <v>0.03</v>
      </c>
      <c r="O333" s="67">
        <v>0.03</v>
      </c>
      <c r="P333" s="67">
        <v>0.03</v>
      </c>
      <c r="Q333" s="67">
        <v>0.03</v>
      </c>
      <c r="R333" s="67">
        <v>0.03</v>
      </c>
      <c r="S333" s="67">
        <v>0.03</v>
      </c>
      <c r="T333" s="67">
        <v>0.03</v>
      </c>
      <c r="U333" s="67">
        <v>0.03</v>
      </c>
      <c r="V333" s="67">
        <v>0.03</v>
      </c>
      <c r="W333" s="67">
        <v>0.03</v>
      </c>
      <c r="X333" s="67">
        <v>0.03</v>
      </c>
      <c r="Y333" s="67">
        <v>0.03</v>
      </c>
      <c r="Z333" s="61" t="s">
        <v>216</v>
      </c>
      <c r="AA333" s="68">
        <v>0.26532869729928493</v>
      </c>
      <c r="AB333" s="69">
        <v>1.2623229055619222E-4</v>
      </c>
    </row>
    <row r="334" spans="2:28" x14ac:dyDescent="0.3">
      <c r="B334" s="61" t="s">
        <v>226</v>
      </c>
      <c r="C334" s="61" t="s">
        <v>185</v>
      </c>
      <c r="D334" s="61" t="s">
        <v>123</v>
      </c>
      <c r="E334" s="61" t="s">
        <v>190</v>
      </c>
      <c r="F334" s="61" t="s">
        <v>94</v>
      </c>
      <c r="G334" s="62">
        <v>0.44999999999999996</v>
      </c>
      <c r="H334" s="61">
        <v>15</v>
      </c>
      <c r="I334" s="61" t="s">
        <v>218</v>
      </c>
      <c r="J334" s="61" t="s">
        <v>215</v>
      </c>
      <c r="K334" s="67">
        <v>0</v>
      </c>
      <c r="L334" s="67">
        <v>0</v>
      </c>
      <c r="M334" s="67">
        <v>0</v>
      </c>
      <c r="N334" s="67">
        <v>0.03</v>
      </c>
      <c r="O334" s="67">
        <v>0.03</v>
      </c>
      <c r="P334" s="67">
        <v>0.03</v>
      </c>
      <c r="Q334" s="67">
        <v>0.03</v>
      </c>
      <c r="R334" s="67">
        <v>0.03</v>
      </c>
      <c r="S334" s="67">
        <v>0.03</v>
      </c>
      <c r="T334" s="67">
        <v>0.03</v>
      </c>
      <c r="U334" s="67">
        <v>0.03</v>
      </c>
      <c r="V334" s="67">
        <v>0.03</v>
      </c>
      <c r="W334" s="67">
        <v>0.03</v>
      </c>
      <c r="X334" s="67">
        <v>0.03</v>
      </c>
      <c r="Y334" s="67">
        <v>0.03</v>
      </c>
      <c r="Z334" s="61" t="s">
        <v>216</v>
      </c>
      <c r="AA334" s="68">
        <v>3.6534583368262386</v>
      </c>
      <c r="AB334" s="69">
        <v>0</v>
      </c>
    </row>
    <row r="335" spans="2:28" x14ac:dyDescent="0.3">
      <c r="B335" s="61" t="s">
        <v>226</v>
      </c>
      <c r="C335" s="61" t="s">
        <v>185</v>
      </c>
      <c r="D335" s="61" t="s">
        <v>123</v>
      </c>
      <c r="E335" s="61" t="s">
        <v>191</v>
      </c>
      <c r="F335" s="61" t="s">
        <v>93</v>
      </c>
      <c r="G335" s="62">
        <v>0</v>
      </c>
      <c r="H335" s="61">
        <v>0</v>
      </c>
      <c r="I335" s="61">
        <v>0</v>
      </c>
      <c r="J335" s="61" t="e">
        <v>#N/A</v>
      </c>
      <c r="K335" s="70">
        <v>0</v>
      </c>
      <c r="L335" s="70">
        <v>0</v>
      </c>
      <c r="M335" s="70">
        <v>0</v>
      </c>
      <c r="N335" s="70">
        <v>0</v>
      </c>
      <c r="O335" s="70">
        <v>0</v>
      </c>
      <c r="P335" s="70">
        <v>0</v>
      </c>
      <c r="Q335" s="70">
        <v>0</v>
      </c>
      <c r="R335" s="70">
        <v>0</v>
      </c>
      <c r="S335" s="70">
        <v>0</v>
      </c>
      <c r="T335" s="70">
        <v>0</v>
      </c>
      <c r="U335" s="70">
        <v>0</v>
      </c>
      <c r="V335" s="70">
        <v>0</v>
      </c>
      <c r="W335" s="70">
        <v>0</v>
      </c>
      <c r="X335" s="70">
        <v>0</v>
      </c>
      <c r="Y335" s="70">
        <v>0</v>
      </c>
      <c r="Z335" s="61" t="s">
        <v>216</v>
      </c>
      <c r="AA335" s="68">
        <v>0</v>
      </c>
      <c r="AB335" s="69">
        <v>0</v>
      </c>
    </row>
    <row r="336" spans="2:28" x14ac:dyDescent="0.3">
      <c r="B336" s="61" t="s">
        <v>226</v>
      </c>
      <c r="C336" s="61" t="s">
        <v>185</v>
      </c>
      <c r="D336" s="61" t="s">
        <v>123</v>
      </c>
      <c r="E336" s="61" t="s">
        <v>191</v>
      </c>
      <c r="F336" s="61" t="s">
        <v>94</v>
      </c>
      <c r="G336" s="62">
        <v>0</v>
      </c>
      <c r="H336" s="61">
        <v>0</v>
      </c>
      <c r="I336" s="61">
        <v>0</v>
      </c>
      <c r="J336" s="61" t="e">
        <v>#N/A</v>
      </c>
      <c r="K336" s="70">
        <v>0</v>
      </c>
      <c r="L336" s="70">
        <v>0</v>
      </c>
      <c r="M336" s="70">
        <v>0</v>
      </c>
      <c r="N336" s="70">
        <v>0</v>
      </c>
      <c r="O336" s="70">
        <v>0</v>
      </c>
      <c r="P336" s="70">
        <v>0</v>
      </c>
      <c r="Q336" s="70">
        <v>0</v>
      </c>
      <c r="R336" s="70">
        <v>0</v>
      </c>
      <c r="S336" s="70">
        <v>0</v>
      </c>
      <c r="T336" s="70">
        <v>0</v>
      </c>
      <c r="U336" s="70">
        <v>0</v>
      </c>
      <c r="V336" s="70">
        <v>0</v>
      </c>
      <c r="W336" s="70">
        <v>0</v>
      </c>
      <c r="X336" s="70">
        <v>0</v>
      </c>
      <c r="Y336" s="70">
        <v>0</v>
      </c>
      <c r="Z336" s="61" t="s">
        <v>216</v>
      </c>
      <c r="AA336" s="68">
        <v>0</v>
      </c>
      <c r="AB336" s="69">
        <v>0</v>
      </c>
    </row>
    <row r="337" spans="2:28" x14ac:dyDescent="0.3">
      <c r="B337" s="61" t="s">
        <v>226</v>
      </c>
      <c r="C337" s="61" t="s">
        <v>185</v>
      </c>
      <c r="D337" s="61" t="s">
        <v>123</v>
      </c>
      <c r="E337" s="61" t="s">
        <v>192</v>
      </c>
      <c r="F337" s="61" t="s">
        <v>93</v>
      </c>
      <c r="G337" s="62">
        <v>0.9</v>
      </c>
      <c r="H337" s="61">
        <v>15</v>
      </c>
      <c r="I337" s="61" t="s">
        <v>214</v>
      </c>
      <c r="J337" s="61" t="s">
        <v>215</v>
      </c>
      <c r="K337" s="67">
        <v>0</v>
      </c>
      <c r="L337" s="67">
        <v>0</v>
      </c>
      <c r="M337" s="67">
        <v>0</v>
      </c>
      <c r="N337" s="67">
        <v>0.03</v>
      </c>
      <c r="O337" s="67">
        <v>0.03</v>
      </c>
      <c r="P337" s="67">
        <v>0.03</v>
      </c>
      <c r="Q337" s="67">
        <v>0.03</v>
      </c>
      <c r="R337" s="67">
        <v>0.03</v>
      </c>
      <c r="S337" s="67">
        <v>0.03</v>
      </c>
      <c r="T337" s="67">
        <v>0.03</v>
      </c>
      <c r="U337" s="67">
        <v>0.03</v>
      </c>
      <c r="V337" s="67">
        <v>0.03</v>
      </c>
      <c r="W337" s="67">
        <v>0.03</v>
      </c>
      <c r="X337" s="67">
        <v>0.03</v>
      </c>
      <c r="Y337" s="67">
        <v>0.03</v>
      </c>
      <c r="Z337" s="61" t="s">
        <v>216</v>
      </c>
      <c r="AA337" s="68">
        <v>0.26532869729928493</v>
      </c>
      <c r="AB337" s="69">
        <v>1.2623229055619222E-4</v>
      </c>
    </row>
    <row r="338" spans="2:28" x14ac:dyDescent="0.3">
      <c r="B338" s="61" t="s">
        <v>226</v>
      </c>
      <c r="C338" s="61" t="s">
        <v>185</v>
      </c>
      <c r="D338" s="61" t="s">
        <v>123</v>
      </c>
      <c r="E338" s="61" t="s">
        <v>192</v>
      </c>
      <c r="F338" s="61" t="s">
        <v>94</v>
      </c>
      <c r="G338" s="62">
        <v>0.9</v>
      </c>
      <c r="H338" s="61">
        <v>15</v>
      </c>
      <c r="I338" s="61" t="s">
        <v>218</v>
      </c>
      <c r="J338" s="61" t="s">
        <v>215</v>
      </c>
      <c r="K338" s="67">
        <v>0</v>
      </c>
      <c r="L338" s="67">
        <v>0</v>
      </c>
      <c r="M338" s="67">
        <v>0</v>
      </c>
      <c r="N338" s="67">
        <v>0.03</v>
      </c>
      <c r="O338" s="67">
        <v>0.03</v>
      </c>
      <c r="P338" s="67">
        <v>0.03</v>
      </c>
      <c r="Q338" s="67">
        <v>0.03</v>
      </c>
      <c r="R338" s="67">
        <v>0.03</v>
      </c>
      <c r="S338" s="67">
        <v>0.03</v>
      </c>
      <c r="T338" s="67">
        <v>0.03</v>
      </c>
      <c r="U338" s="67">
        <v>0.03</v>
      </c>
      <c r="V338" s="67">
        <v>0.03</v>
      </c>
      <c r="W338" s="67">
        <v>0.03</v>
      </c>
      <c r="X338" s="67">
        <v>0.03</v>
      </c>
      <c r="Y338" s="67">
        <v>0.03</v>
      </c>
      <c r="Z338" s="61" t="s">
        <v>216</v>
      </c>
      <c r="AA338" s="68">
        <v>3.6534583368262386</v>
      </c>
      <c r="AB338" s="69">
        <v>0</v>
      </c>
    </row>
    <row r="339" spans="2:28" x14ac:dyDescent="0.3">
      <c r="B339" s="61" t="s">
        <v>226</v>
      </c>
      <c r="C339" s="61" t="s">
        <v>185</v>
      </c>
      <c r="D339" s="61" t="s">
        <v>123</v>
      </c>
      <c r="E339" s="61" t="s">
        <v>193</v>
      </c>
      <c r="F339" s="61" t="s">
        <v>93</v>
      </c>
      <c r="G339" s="62">
        <v>0</v>
      </c>
      <c r="H339" s="61">
        <v>0</v>
      </c>
      <c r="I339" s="61">
        <v>0</v>
      </c>
      <c r="J339" s="61" t="e">
        <v>#N/A</v>
      </c>
      <c r="K339" s="70">
        <v>0</v>
      </c>
      <c r="L339" s="70">
        <v>0</v>
      </c>
      <c r="M339" s="70">
        <v>0</v>
      </c>
      <c r="N339" s="70">
        <v>0</v>
      </c>
      <c r="O339" s="70">
        <v>0</v>
      </c>
      <c r="P339" s="70">
        <v>0</v>
      </c>
      <c r="Q339" s="70">
        <v>0</v>
      </c>
      <c r="R339" s="70">
        <v>0</v>
      </c>
      <c r="S339" s="70">
        <v>0</v>
      </c>
      <c r="T339" s="70">
        <v>0</v>
      </c>
      <c r="U339" s="70">
        <v>0</v>
      </c>
      <c r="V339" s="70">
        <v>0</v>
      </c>
      <c r="W339" s="70">
        <v>0</v>
      </c>
      <c r="X339" s="70">
        <v>0</v>
      </c>
      <c r="Y339" s="70">
        <v>0</v>
      </c>
      <c r="Z339" s="61" t="s">
        <v>216</v>
      </c>
      <c r="AA339" s="68">
        <v>0</v>
      </c>
      <c r="AB339" s="69">
        <v>0</v>
      </c>
    </row>
    <row r="340" spans="2:28" x14ac:dyDescent="0.3">
      <c r="B340" s="61" t="s">
        <v>226</v>
      </c>
      <c r="C340" s="61" t="s">
        <v>185</v>
      </c>
      <c r="D340" s="61" t="s">
        <v>123</v>
      </c>
      <c r="E340" s="61" t="s">
        <v>193</v>
      </c>
      <c r="F340" s="61" t="s">
        <v>94</v>
      </c>
      <c r="G340" s="62">
        <v>0</v>
      </c>
      <c r="H340" s="61">
        <v>0</v>
      </c>
      <c r="I340" s="61">
        <v>0</v>
      </c>
      <c r="J340" s="61" t="e">
        <v>#N/A</v>
      </c>
      <c r="K340" s="70">
        <v>0</v>
      </c>
      <c r="L340" s="70">
        <v>0</v>
      </c>
      <c r="M340" s="70">
        <v>0</v>
      </c>
      <c r="N340" s="70">
        <v>0</v>
      </c>
      <c r="O340" s="70">
        <v>0</v>
      </c>
      <c r="P340" s="70">
        <v>0</v>
      </c>
      <c r="Q340" s="70">
        <v>0</v>
      </c>
      <c r="R340" s="70">
        <v>0</v>
      </c>
      <c r="S340" s="70">
        <v>0</v>
      </c>
      <c r="T340" s="70">
        <v>0</v>
      </c>
      <c r="U340" s="70">
        <v>0</v>
      </c>
      <c r="V340" s="70">
        <v>0</v>
      </c>
      <c r="W340" s="70">
        <v>0</v>
      </c>
      <c r="X340" s="70">
        <v>0</v>
      </c>
      <c r="Y340" s="70">
        <v>0</v>
      </c>
      <c r="Z340" s="61" t="s">
        <v>216</v>
      </c>
      <c r="AA340" s="68">
        <v>0</v>
      </c>
      <c r="AB340" s="69">
        <v>0</v>
      </c>
    </row>
    <row r="341" spans="2:28" x14ac:dyDescent="0.3">
      <c r="B341" s="61" t="s">
        <v>226</v>
      </c>
      <c r="C341" s="61" t="s">
        <v>185</v>
      </c>
      <c r="D341" s="61" t="s">
        <v>123</v>
      </c>
      <c r="E341" s="61" t="s">
        <v>194</v>
      </c>
      <c r="F341" s="61" t="s">
        <v>93</v>
      </c>
      <c r="G341" s="62">
        <v>0</v>
      </c>
      <c r="H341" s="61">
        <v>0</v>
      </c>
      <c r="I341" s="61">
        <v>0</v>
      </c>
      <c r="J341" s="61" t="e">
        <v>#N/A</v>
      </c>
      <c r="K341" s="70">
        <v>0</v>
      </c>
      <c r="L341" s="70">
        <v>0</v>
      </c>
      <c r="M341" s="70">
        <v>0</v>
      </c>
      <c r="N341" s="70">
        <v>0</v>
      </c>
      <c r="O341" s="70">
        <v>0</v>
      </c>
      <c r="P341" s="70">
        <v>0</v>
      </c>
      <c r="Q341" s="70">
        <v>0</v>
      </c>
      <c r="R341" s="70">
        <v>0</v>
      </c>
      <c r="S341" s="70">
        <v>0</v>
      </c>
      <c r="T341" s="70">
        <v>0</v>
      </c>
      <c r="U341" s="70">
        <v>0</v>
      </c>
      <c r="V341" s="70">
        <v>0</v>
      </c>
      <c r="W341" s="70">
        <v>0</v>
      </c>
      <c r="X341" s="70">
        <v>0</v>
      </c>
      <c r="Y341" s="70">
        <v>0</v>
      </c>
      <c r="Z341" s="61" t="s">
        <v>216</v>
      </c>
      <c r="AA341" s="68">
        <v>0</v>
      </c>
      <c r="AB341" s="69">
        <v>0</v>
      </c>
    </row>
    <row r="342" spans="2:28" x14ac:dyDescent="0.3">
      <c r="B342" s="61" t="s">
        <v>226</v>
      </c>
      <c r="C342" s="61" t="s">
        <v>185</v>
      </c>
      <c r="D342" s="61" t="s">
        <v>123</v>
      </c>
      <c r="E342" s="61" t="s">
        <v>194</v>
      </c>
      <c r="F342" s="61" t="s">
        <v>94</v>
      </c>
      <c r="G342" s="62">
        <v>0</v>
      </c>
      <c r="H342" s="61">
        <v>0</v>
      </c>
      <c r="I342" s="61">
        <v>0</v>
      </c>
      <c r="J342" s="61" t="e">
        <v>#N/A</v>
      </c>
      <c r="K342" s="70">
        <v>0</v>
      </c>
      <c r="L342" s="70">
        <v>0</v>
      </c>
      <c r="M342" s="70">
        <v>0</v>
      </c>
      <c r="N342" s="70">
        <v>0</v>
      </c>
      <c r="O342" s="70">
        <v>0</v>
      </c>
      <c r="P342" s="70">
        <v>0</v>
      </c>
      <c r="Q342" s="70">
        <v>0</v>
      </c>
      <c r="R342" s="70">
        <v>0</v>
      </c>
      <c r="S342" s="70">
        <v>0</v>
      </c>
      <c r="T342" s="70">
        <v>0</v>
      </c>
      <c r="U342" s="70">
        <v>0</v>
      </c>
      <c r="V342" s="70">
        <v>0</v>
      </c>
      <c r="W342" s="70">
        <v>0</v>
      </c>
      <c r="X342" s="70">
        <v>0</v>
      </c>
      <c r="Y342" s="70">
        <v>0</v>
      </c>
      <c r="Z342" s="61" t="s">
        <v>216</v>
      </c>
      <c r="AA342" s="68">
        <v>0</v>
      </c>
      <c r="AB342" s="69">
        <v>0</v>
      </c>
    </row>
    <row r="343" spans="2:28" x14ac:dyDescent="0.3">
      <c r="B343" s="61" t="s">
        <v>226</v>
      </c>
      <c r="C343" s="61" t="s">
        <v>185</v>
      </c>
      <c r="D343" s="61" t="s">
        <v>123</v>
      </c>
      <c r="E343" s="61" t="s">
        <v>195</v>
      </c>
      <c r="F343" s="61" t="s">
        <v>93</v>
      </c>
      <c r="G343" s="62">
        <v>0</v>
      </c>
      <c r="H343" s="61">
        <v>0</v>
      </c>
      <c r="I343" s="61">
        <v>0</v>
      </c>
      <c r="J343" s="61" t="e">
        <v>#N/A</v>
      </c>
      <c r="K343" s="70">
        <v>0</v>
      </c>
      <c r="L343" s="70">
        <v>0</v>
      </c>
      <c r="M343" s="70">
        <v>0</v>
      </c>
      <c r="N343" s="70">
        <v>0</v>
      </c>
      <c r="O343" s="70">
        <v>0</v>
      </c>
      <c r="P343" s="70">
        <v>0</v>
      </c>
      <c r="Q343" s="70">
        <v>0</v>
      </c>
      <c r="R343" s="70">
        <v>0</v>
      </c>
      <c r="S343" s="70">
        <v>0</v>
      </c>
      <c r="T343" s="70">
        <v>0</v>
      </c>
      <c r="U343" s="70">
        <v>0</v>
      </c>
      <c r="V343" s="70">
        <v>0</v>
      </c>
      <c r="W343" s="70">
        <v>0</v>
      </c>
      <c r="X343" s="70">
        <v>0</v>
      </c>
      <c r="Y343" s="70">
        <v>0</v>
      </c>
      <c r="Z343" s="61" t="s">
        <v>216</v>
      </c>
      <c r="AA343" s="68">
        <v>0</v>
      </c>
      <c r="AB343" s="69">
        <v>0</v>
      </c>
    </row>
    <row r="344" spans="2:28" x14ac:dyDescent="0.3">
      <c r="B344" s="61" t="s">
        <v>226</v>
      </c>
      <c r="C344" s="61" t="s">
        <v>185</v>
      </c>
      <c r="D344" s="61" t="s">
        <v>123</v>
      </c>
      <c r="E344" s="61" t="s">
        <v>195</v>
      </c>
      <c r="F344" s="61" t="s">
        <v>94</v>
      </c>
      <c r="G344" s="62">
        <v>0</v>
      </c>
      <c r="H344" s="61">
        <v>0</v>
      </c>
      <c r="I344" s="61">
        <v>0</v>
      </c>
      <c r="J344" s="61" t="e">
        <v>#N/A</v>
      </c>
      <c r="K344" s="70">
        <v>0</v>
      </c>
      <c r="L344" s="70">
        <v>0</v>
      </c>
      <c r="M344" s="70">
        <v>0</v>
      </c>
      <c r="N344" s="70">
        <v>0</v>
      </c>
      <c r="O344" s="70">
        <v>0</v>
      </c>
      <c r="P344" s="70">
        <v>0</v>
      </c>
      <c r="Q344" s="70">
        <v>0</v>
      </c>
      <c r="R344" s="70">
        <v>0</v>
      </c>
      <c r="S344" s="70">
        <v>0</v>
      </c>
      <c r="T344" s="70">
        <v>0</v>
      </c>
      <c r="U344" s="70">
        <v>0</v>
      </c>
      <c r="V344" s="70">
        <v>0</v>
      </c>
      <c r="W344" s="70">
        <v>0</v>
      </c>
      <c r="X344" s="70">
        <v>0</v>
      </c>
      <c r="Y344" s="70">
        <v>0</v>
      </c>
      <c r="Z344" s="61" t="s">
        <v>216</v>
      </c>
      <c r="AA344" s="68">
        <v>0</v>
      </c>
      <c r="AB344" s="69">
        <v>0</v>
      </c>
    </row>
    <row r="345" spans="2:28" x14ac:dyDescent="0.3">
      <c r="B345" s="61" t="s">
        <v>226</v>
      </c>
      <c r="C345" s="61" t="s">
        <v>185</v>
      </c>
      <c r="D345" s="61" t="s">
        <v>123</v>
      </c>
      <c r="E345" s="61" t="s">
        <v>196</v>
      </c>
      <c r="F345" s="61" t="s">
        <v>93</v>
      </c>
      <c r="G345" s="62">
        <v>0</v>
      </c>
      <c r="H345" s="61">
        <v>0</v>
      </c>
      <c r="I345" s="61">
        <v>0</v>
      </c>
      <c r="J345" s="61" t="e">
        <v>#N/A</v>
      </c>
      <c r="K345" s="70">
        <v>0</v>
      </c>
      <c r="L345" s="70">
        <v>0</v>
      </c>
      <c r="M345" s="70">
        <v>0</v>
      </c>
      <c r="N345" s="70">
        <v>0</v>
      </c>
      <c r="O345" s="70">
        <v>0</v>
      </c>
      <c r="P345" s="70">
        <v>0</v>
      </c>
      <c r="Q345" s="70">
        <v>0</v>
      </c>
      <c r="R345" s="70">
        <v>0</v>
      </c>
      <c r="S345" s="70">
        <v>0</v>
      </c>
      <c r="T345" s="70">
        <v>0</v>
      </c>
      <c r="U345" s="70">
        <v>0</v>
      </c>
      <c r="V345" s="70">
        <v>0</v>
      </c>
      <c r="W345" s="70">
        <v>0</v>
      </c>
      <c r="X345" s="70">
        <v>0</v>
      </c>
      <c r="Y345" s="70">
        <v>0</v>
      </c>
      <c r="Z345" s="61" t="s">
        <v>216</v>
      </c>
      <c r="AA345" s="68">
        <v>0</v>
      </c>
      <c r="AB345" s="69">
        <v>0</v>
      </c>
    </row>
    <row r="346" spans="2:28" x14ac:dyDescent="0.3">
      <c r="B346" s="61" t="s">
        <v>226</v>
      </c>
      <c r="C346" s="61" t="s">
        <v>185</v>
      </c>
      <c r="D346" s="61" t="s">
        <v>123</v>
      </c>
      <c r="E346" s="61" t="s">
        <v>196</v>
      </c>
      <c r="F346" s="61" t="s">
        <v>94</v>
      </c>
      <c r="G346" s="62">
        <v>0</v>
      </c>
      <c r="H346" s="61">
        <v>0</v>
      </c>
      <c r="I346" s="61">
        <v>0</v>
      </c>
      <c r="J346" s="61" t="e">
        <v>#N/A</v>
      </c>
      <c r="K346" s="70">
        <v>0</v>
      </c>
      <c r="L346" s="70">
        <v>0</v>
      </c>
      <c r="M346" s="70">
        <v>0</v>
      </c>
      <c r="N346" s="70">
        <v>0</v>
      </c>
      <c r="O346" s="70">
        <v>0</v>
      </c>
      <c r="P346" s="70">
        <v>0</v>
      </c>
      <c r="Q346" s="70">
        <v>0</v>
      </c>
      <c r="R346" s="70">
        <v>0</v>
      </c>
      <c r="S346" s="70">
        <v>0</v>
      </c>
      <c r="T346" s="70">
        <v>0</v>
      </c>
      <c r="U346" s="70">
        <v>0</v>
      </c>
      <c r="V346" s="70">
        <v>0</v>
      </c>
      <c r="W346" s="70">
        <v>0</v>
      </c>
      <c r="X346" s="70">
        <v>0</v>
      </c>
      <c r="Y346" s="70">
        <v>0</v>
      </c>
      <c r="Z346" s="61" t="s">
        <v>216</v>
      </c>
      <c r="AA346" s="68">
        <v>0</v>
      </c>
      <c r="AB346" s="69">
        <v>0</v>
      </c>
    </row>
    <row r="347" spans="2:28" x14ac:dyDescent="0.3">
      <c r="B347" s="61" t="s">
        <v>226</v>
      </c>
      <c r="C347" s="61" t="s">
        <v>185</v>
      </c>
      <c r="D347" s="61" t="s">
        <v>123</v>
      </c>
      <c r="E347" s="61" t="s">
        <v>197</v>
      </c>
      <c r="F347" s="61" t="s">
        <v>93</v>
      </c>
      <c r="G347" s="62">
        <v>0</v>
      </c>
      <c r="H347" s="61">
        <v>0</v>
      </c>
      <c r="I347" s="61">
        <v>0</v>
      </c>
      <c r="J347" s="61" t="e">
        <v>#N/A</v>
      </c>
      <c r="K347" s="70">
        <v>0</v>
      </c>
      <c r="L347" s="70">
        <v>0</v>
      </c>
      <c r="M347" s="70">
        <v>0</v>
      </c>
      <c r="N347" s="70">
        <v>0</v>
      </c>
      <c r="O347" s="70">
        <v>0</v>
      </c>
      <c r="P347" s="70">
        <v>0</v>
      </c>
      <c r="Q347" s="70">
        <v>0</v>
      </c>
      <c r="R347" s="70">
        <v>0</v>
      </c>
      <c r="S347" s="70">
        <v>0</v>
      </c>
      <c r="T347" s="70">
        <v>0</v>
      </c>
      <c r="U347" s="70">
        <v>0</v>
      </c>
      <c r="V347" s="70">
        <v>0</v>
      </c>
      <c r="W347" s="70">
        <v>0</v>
      </c>
      <c r="X347" s="70">
        <v>0</v>
      </c>
      <c r="Y347" s="70">
        <v>0</v>
      </c>
      <c r="Z347" s="61" t="s">
        <v>216</v>
      </c>
      <c r="AA347" s="68">
        <v>0</v>
      </c>
      <c r="AB347" s="69">
        <v>0</v>
      </c>
    </row>
    <row r="348" spans="2:28" x14ac:dyDescent="0.3">
      <c r="B348" s="61" t="s">
        <v>226</v>
      </c>
      <c r="C348" s="61" t="s">
        <v>185</v>
      </c>
      <c r="D348" s="61" t="s">
        <v>123</v>
      </c>
      <c r="E348" s="61" t="s">
        <v>197</v>
      </c>
      <c r="F348" s="61" t="s">
        <v>94</v>
      </c>
      <c r="G348" s="62">
        <v>0</v>
      </c>
      <c r="H348" s="61">
        <v>0</v>
      </c>
      <c r="I348" s="61">
        <v>0</v>
      </c>
      <c r="J348" s="61" t="e">
        <v>#N/A</v>
      </c>
      <c r="K348" s="70">
        <v>0</v>
      </c>
      <c r="L348" s="70">
        <v>0</v>
      </c>
      <c r="M348" s="70">
        <v>0</v>
      </c>
      <c r="N348" s="70">
        <v>0</v>
      </c>
      <c r="O348" s="70">
        <v>0</v>
      </c>
      <c r="P348" s="70">
        <v>0</v>
      </c>
      <c r="Q348" s="70">
        <v>0</v>
      </c>
      <c r="R348" s="70">
        <v>0</v>
      </c>
      <c r="S348" s="70">
        <v>0</v>
      </c>
      <c r="T348" s="70">
        <v>0</v>
      </c>
      <c r="U348" s="70">
        <v>0</v>
      </c>
      <c r="V348" s="70">
        <v>0</v>
      </c>
      <c r="W348" s="70">
        <v>0</v>
      </c>
      <c r="X348" s="70">
        <v>0</v>
      </c>
      <c r="Y348" s="70">
        <v>0</v>
      </c>
      <c r="Z348" s="61" t="s">
        <v>216</v>
      </c>
      <c r="AA348" s="68">
        <v>0</v>
      </c>
      <c r="AB348" s="69">
        <v>0</v>
      </c>
    </row>
    <row r="349" spans="2:28" x14ac:dyDescent="0.3">
      <c r="B349" s="61" t="s">
        <v>226</v>
      </c>
      <c r="C349" s="61" t="s">
        <v>185</v>
      </c>
      <c r="D349" s="61" t="s">
        <v>123</v>
      </c>
      <c r="E349" s="61" t="s">
        <v>198</v>
      </c>
      <c r="F349" s="61" t="s">
        <v>93</v>
      </c>
      <c r="G349" s="62">
        <v>0.9</v>
      </c>
      <c r="H349" s="61">
        <v>15</v>
      </c>
      <c r="I349" s="61" t="s">
        <v>214</v>
      </c>
      <c r="J349" s="61" t="s">
        <v>215</v>
      </c>
      <c r="K349" s="67">
        <v>0</v>
      </c>
      <c r="L349" s="67">
        <v>0</v>
      </c>
      <c r="M349" s="67">
        <v>0</v>
      </c>
      <c r="N349" s="67">
        <v>0.03</v>
      </c>
      <c r="O349" s="67">
        <v>0.03</v>
      </c>
      <c r="P349" s="67">
        <v>0.03</v>
      </c>
      <c r="Q349" s="67">
        <v>0.03</v>
      </c>
      <c r="R349" s="67">
        <v>0.03</v>
      </c>
      <c r="S349" s="67">
        <v>0.03</v>
      </c>
      <c r="T349" s="67">
        <v>0.03</v>
      </c>
      <c r="U349" s="67">
        <v>0.03</v>
      </c>
      <c r="V349" s="67">
        <v>0.03</v>
      </c>
      <c r="W349" s="67">
        <v>0.03</v>
      </c>
      <c r="X349" s="67">
        <v>0.03</v>
      </c>
      <c r="Y349" s="67">
        <v>0.03</v>
      </c>
      <c r="Z349" s="61" t="s">
        <v>216</v>
      </c>
      <c r="AA349" s="68">
        <v>0.26532869729928493</v>
      </c>
      <c r="AB349" s="69">
        <v>1.2623229055619222E-4</v>
      </c>
    </row>
    <row r="350" spans="2:28" x14ac:dyDescent="0.3">
      <c r="B350" s="61" t="s">
        <v>226</v>
      </c>
      <c r="C350" s="61" t="s">
        <v>185</v>
      </c>
      <c r="D350" s="61" t="s">
        <v>123</v>
      </c>
      <c r="E350" s="61" t="s">
        <v>198</v>
      </c>
      <c r="F350" s="61" t="s">
        <v>94</v>
      </c>
      <c r="G350" s="62">
        <v>0.9</v>
      </c>
      <c r="H350" s="61">
        <v>15</v>
      </c>
      <c r="I350" s="61" t="s">
        <v>218</v>
      </c>
      <c r="J350" s="61" t="s">
        <v>215</v>
      </c>
      <c r="K350" s="67">
        <v>0</v>
      </c>
      <c r="L350" s="67">
        <v>0</v>
      </c>
      <c r="M350" s="67">
        <v>0</v>
      </c>
      <c r="N350" s="67">
        <v>0.03</v>
      </c>
      <c r="O350" s="67">
        <v>0.03</v>
      </c>
      <c r="P350" s="67">
        <v>0.03</v>
      </c>
      <c r="Q350" s="67">
        <v>0.03</v>
      </c>
      <c r="R350" s="67">
        <v>0.03</v>
      </c>
      <c r="S350" s="67">
        <v>0.03</v>
      </c>
      <c r="T350" s="67">
        <v>0.03</v>
      </c>
      <c r="U350" s="67">
        <v>0.03</v>
      </c>
      <c r="V350" s="67">
        <v>0.03</v>
      </c>
      <c r="W350" s="67">
        <v>0.03</v>
      </c>
      <c r="X350" s="67">
        <v>0.03</v>
      </c>
      <c r="Y350" s="67">
        <v>0.03</v>
      </c>
      <c r="Z350" s="61" t="s">
        <v>216</v>
      </c>
      <c r="AA350" s="68">
        <v>3.6534583368262386</v>
      </c>
      <c r="AB350" s="69">
        <v>0</v>
      </c>
    </row>
    <row r="351" spans="2:28" x14ac:dyDescent="0.3">
      <c r="B351" s="61" t="s">
        <v>226</v>
      </c>
      <c r="C351" s="61" t="s">
        <v>185</v>
      </c>
      <c r="D351" s="61" t="s">
        <v>123</v>
      </c>
      <c r="E351" s="61" t="s">
        <v>199</v>
      </c>
      <c r="F351" s="61" t="s">
        <v>93</v>
      </c>
      <c r="G351" s="62">
        <v>0</v>
      </c>
      <c r="H351" s="61">
        <v>0</v>
      </c>
      <c r="I351" s="61">
        <v>0</v>
      </c>
      <c r="J351" s="61" t="e">
        <v>#N/A</v>
      </c>
      <c r="K351" s="70">
        <v>0</v>
      </c>
      <c r="L351" s="70">
        <v>0</v>
      </c>
      <c r="M351" s="70">
        <v>0</v>
      </c>
      <c r="N351" s="70">
        <v>0</v>
      </c>
      <c r="O351" s="70">
        <v>0</v>
      </c>
      <c r="P351" s="70">
        <v>0</v>
      </c>
      <c r="Q351" s="70">
        <v>0</v>
      </c>
      <c r="R351" s="70">
        <v>0</v>
      </c>
      <c r="S351" s="70">
        <v>0</v>
      </c>
      <c r="T351" s="70">
        <v>0</v>
      </c>
      <c r="U351" s="70">
        <v>0</v>
      </c>
      <c r="V351" s="70">
        <v>0</v>
      </c>
      <c r="W351" s="70">
        <v>0</v>
      </c>
      <c r="X351" s="70">
        <v>0</v>
      </c>
      <c r="Y351" s="70">
        <v>0</v>
      </c>
      <c r="Z351" s="61" t="s">
        <v>216</v>
      </c>
      <c r="AA351" s="68">
        <v>0</v>
      </c>
      <c r="AB351" s="69">
        <v>0</v>
      </c>
    </row>
    <row r="352" spans="2:28" x14ac:dyDescent="0.3">
      <c r="B352" s="61" t="s">
        <v>226</v>
      </c>
      <c r="C352" s="61" t="s">
        <v>185</v>
      </c>
      <c r="D352" s="61" t="s">
        <v>123</v>
      </c>
      <c r="E352" s="61" t="s">
        <v>199</v>
      </c>
      <c r="F352" s="61" t="s">
        <v>94</v>
      </c>
      <c r="G352" s="62">
        <v>0</v>
      </c>
      <c r="H352" s="61">
        <v>0</v>
      </c>
      <c r="I352" s="61">
        <v>0</v>
      </c>
      <c r="J352" s="61" t="e">
        <v>#N/A</v>
      </c>
      <c r="K352" s="70">
        <v>0</v>
      </c>
      <c r="L352" s="70">
        <v>0</v>
      </c>
      <c r="M352" s="70">
        <v>0</v>
      </c>
      <c r="N352" s="70">
        <v>0</v>
      </c>
      <c r="O352" s="70">
        <v>0</v>
      </c>
      <c r="P352" s="70">
        <v>0</v>
      </c>
      <c r="Q352" s="70">
        <v>0</v>
      </c>
      <c r="R352" s="70">
        <v>0</v>
      </c>
      <c r="S352" s="70">
        <v>0</v>
      </c>
      <c r="T352" s="70">
        <v>0</v>
      </c>
      <c r="U352" s="70">
        <v>0</v>
      </c>
      <c r="V352" s="70">
        <v>0</v>
      </c>
      <c r="W352" s="70">
        <v>0</v>
      </c>
      <c r="X352" s="70">
        <v>0</v>
      </c>
      <c r="Y352" s="70">
        <v>0</v>
      </c>
      <c r="Z352" s="61" t="s">
        <v>216</v>
      </c>
      <c r="AA352" s="68">
        <v>0</v>
      </c>
      <c r="AB352" s="69">
        <v>0</v>
      </c>
    </row>
    <row r="353" spans="2:28" x14ac:dyDescent="0.3">
      <c r="B353" s="61" t="s">
        <v>227</v>
      </c>
      <c r="C353" s="61" t="s">
        <v>185</v>
      </c>
      <c r="D353" s="61" t="s">
        <v>121</v>
      </c>
      <c r="E353" s="61" t="s">
        <v>186</v>
      </c>
      <c r="F353" s="61" t="s">
        <v>93</v>
      </c>
      <c r="G353" s="62">
        <v>0.8</v>
      </c>
      <c r="H353" s="61">
        <v>5</v>
      </c>
      <c r="I353" s="61" t="s">
        <v>214</v>
      </c>
      <c r="J353" s="61" t="s">
        <v>215</v>
      </c>
      <c r="K353" s="67">
        <v>1.9985457567258749E-2</v>
      </c>
      <c r="L353" s="67">
        <v>1.9985457567258749E-2</v>
      </c>
      <c r="M353" s="67">
        <v>1.9985457567258749E-2</v>
      </c>
      <c r="N353" s="67">
        <v>1.9985457567258749E-2</v>
      </c>
      <c r="O353" s="67">
        <v>1.9985457567258749E-2</v>
      </c>
      <c r="P353" s="67">
        <v>1.9985457567258749E-2</v>
      </c>
      <c r="Q353" s="67">
        <v>1.9985457567258749E-2</v>
      </c>
      <c r="R353" s="67">
        <v>1.9985457567258749E-2</v>
      </c>
      <c r="S353" s="67">
        <v>1.9985457567258749E-2</v>
      </c>
      <c r="T353" s="67">
        <v>1.9985457567258749E-2</v>
      </c>
      <c r="U353" s="67">
        <v>1.9985457567258749E-2</v>
      </c>
      <c r="V353" s="67">
        <v>1.9985457567258749E-2</v>
      </c>
      <c r="W353" s="67">
        <v>1.9985457567258749E-2</v>
      </c>
      <c r="X353" s="67">
        <v>1.9985457567258749E-2</v>
      </c>
      <c r="Y353" s="67">
        <v>1.9985457567258749E-2</v>
      </c>
      <c r="Z353" s="61" t="s">
        <v>216</v>
      </c>
      <c r="AA353" s="68">
        <v>0.43530791861486218</v>
      </c>
      <c r="AB353" s="69">
        <v>1.3778681737591908E-4</v>
      </c>
    </row>
    <row r="354" spans="2:28" x14ac:dyDescent="0.3">
      <c r="B354" s="61" t="s">
        <v>227</v>
      </c>
      <c r="C354" s="61" t="s">
        <v>185</v>
      </c>
      <c r="D354" s="61" t="s">
        <v>121</v>
      </c>
      <c r="E354" s="61" t="s">
        <v>186</v>
      </c>
      <c r="F354" s="61" t="s">
        <v>94</v>
      </c>
      <c r="G354" s="62">
        <v>0.8</v>
      </c>
      <c r="H354" s="61">
        <v>5</v>
      </c>
      <c r="I354" s="61" t="s">
        <v>218</v>
      </c>
      <c r="J354" s="61" t="s">
        <v>215</v>
      </c>
      <c r="K354" s="67">
        <v>3.6378737541528247E-2</v>
      </c>
      <c r="L354" s="67">
        <v>3.6378737541528247E-2</v>
      </c>
      <c r="M354" s="67">
        <v>3.6378737541528247E-2</v>
      </c>
      <c r="N354" s="67">
        <v>3.6378737541528247E-2</v>
      </c>
      <c r="O354" s="67">
        <v>3.6378737541528247E-2</v>
      </c>
      <c r="P354" s="67">
        <v>3.6378737541528247E-2</v>
      </c>
      <c r="Q354" s="67">
        <v>3.6378737541528247E-2</v>
      </c>
      <c r="R354" s="67">
        <v>3.6378737541528247E-2</v>
      </c>
      <c r="S354" s="67">
        <v>3.6378737541528247E-2</v>
      </c>
      <c r="T354" s="67">
        <v>3.6378737541528247E-2</v>
      </c>
      <c r="U354" s="67">
        <v>3.6378737541528247E-2</v>
      </c>
      <c r="V354" s="67">
        <v>3.6378737541528247E-2</v>
      </c>
      <c r="W354" s="67">
        <v>3.6378737541528247E-2</v>
      </c>
      <c r="X354" s="67">
        <v>3.6378737541528247E-2</v>
      </c>
      <c r="Y354" s="67">
        <v>3.6378737541528247E-2</v>
      </c>
      <c r="Z354" s="61" t="s">
        <v>216</v>
      </c>
      <c r="AA354" s="68">
        <v>0.33970981014917601</v>
      </c>
      <c r="AB354" s="69">
        <v>0</v>
      </c>
    </row>
    <row r="355" spans="2:28" x14ac:dyDescent="0.3">
      <c r="B355" s="61" t="s">
        <v>227</v>
      </c>
      <c r="C355" s="61" t="s">
        <v>185</v>
      </c>
      <c r="D355" s="61" t="s">
        <v>121</v>
      </c>
      <c r="E355" s="61" t="s">
        <v>189</v>
      </c>
      <c r="F355" s="61" t="s">
        <v>93</v>
      </c>
      <c r="G355" s="62">
        <v>0.32</v>
      </c>
      <c r="H355" s="61">
        <v>5</v>
      </c>
      <c r="I355" s="61" t="s">
        <v>214</v>
      </c>
      <c r="J355" s="61" t="s">
        <v>215</v>
      </c>
      <c r="K355" s="67">
        <v>1.1380316562030243E-2</v>
      </c>
      <c r="L355" s="67">
        <v>1.1380316562030243E-2</v>
      </c>
      <c r="M355" s="67">
        <v>1.1380316562030243E-2</v>
      </c>
      <c r="N355" s="67">
        <v>1.1380316562030243E-2</v>
      </c>
      <c r="O355" s="67">
        <v>1.1380316562030243E-2</v>
      </c>
      <c r="P355" s="67">
        <v>1.1380316562030243E-2</v>
      </c>
      <c r="Q355" s="67">
        <v>1.1380316562030243E-2</v>
      </c>
      <c r="R355" s="67">
        <v>1.1380316562030243E-2</v>
      </c>
      <c r="S355" s="67">
        <v>1.1380316562030243E-2</v>
      </c>
      <c r="T355" s="67">
        <v>1.1380316562030243E-2</v>
      </c>
      <c r="U355" s="67">
        <v>1.1380316562030243E-2</v>
      </c>
      <c r="V355" s="67">
        <v>1.1380316562030243E-2</v>
      </c>
      <c r="W355" s="67">
        <v>1.1380316562030243E-2</v>
      </c>
      <c r="X355" s="67">
        <v>1.1380316562030243E-2</v>
      </c>
      <c r="Y355" s="67">
        <v>1.1380316562030243E-2</v>
      </c>
      <c r="Z355" s="61" t="s">
        <v>216</v>
      </c>
      <c r="AA355" s="68">
        <v>0.43530791861486218</v>
      </c>
      <c r="AB355" s="69">
        <v>1.3778681737591908E-4</v>
      </c>
    </row>
    <row r="356" spans="2:28" x14ac:dyDescent="0.3">
      <c r="B356" s="61" t="s">
        <v>227</v>
      </c>
      <c r="C356" s="61" t="s">
        <v>185</v>
      </c>
      <c r="D356" s="61" t="s">
        <v>121</v>
      </c>
      <c r="E356" s="61" t="s">
        <v>189</v>
      </c>
      <c r="F356" s="61" t="s">
        <v>94</v>
      </c>
      <c r="G356" s="62">
        <v>0.32</v>
      </c>
      <c r="H356" s="61">
        <v>5</v>
      </c>
      <c r="I356" s="61" t="s">
        <v>218</v>
      </c>
      <c r="J356" s="61" t="s">
        <v>215</v>
      </c>
      <c r="K356" s="67">
        <v>4.2187500000000003E-2</v>
      </c>
      <c r="L356" s="67">
        <v>4.2187500000000003E-2</v>
      </c>
      <c r="M356" s="67">
        <v>4.2187500000000003E-2</v>
      </c>
      <c r="N356" s="67">
        <v>4.2187500000000003E-2</v>
      </c>
      <c r="O356" s="67">
        <v>4.2187500000000003E-2</v>
      </c>
      <c r="P356" s="67">
        <v>4.2187500000000003E-2</v>
      </c>
      <c r="Q356" s="67">
        <v>4.2187500000000003E-2</v>
      </c>
      <c r="R356" s="67">
        <v>4.2187500000000003E-2</v>
      </c>
      <c r="S356" s="67">
        <v>4.2187500000000003E-2</v>
      </c>
      <c r="T356" s="67">
        <v>4.2187500000000003E-2</v>
      </c>
      <c r="U356" s="67">
        <v>4.2187500000000003E-2</v>
      </c>
      <c r="V356" s="67">
        <v>4.2187500000000003E-2</v>
      </c>
      <c r="W356" s="67">
        <v>4.2187500000000003E-2</v>
      </c>
      <c r="X356" s="67">
        <v>4.2187500000000003E-2</v>
      </c>
      <c r="Y356" s="67">
        <v>4.2187500000000003E-2</v>
      </c>
      <c r="Z356" s="61" t="s">
        <v>216</v>
      </c>
      <c r="AA356" s="68">
        <v>0.33970981014917601</v>
      </c>
      <c r="AB356" s="69">
        <v>0</v>
      </c>
    </row>
    <row r="357" spans="2:28" x14ac:dyDescent="0.3">
      <c r="B357" s="61" t="s">
        <v>227</v>
      </c>
      <c r="C357" s="61" t="s">
        <v>185</v>
      </c>
      <c r="D357" s="61" t="s">
        <v>121</v>
      </c>
      <c r="E357" s="61" t="s">
        <v>190</v>
      </c>
      <c r="F357" s="61" t="s">
        <v>93</v>
      </c>
      <c r="G357" s="62">
        <v>0.56000000000000005</v>
      </c>
      <c r="H357" s="61">
        <v>5</v>
      </c>
      <c r="I357" s="61" t="s">
        <v>214</v>
      </c>
      <c r="J357" s="61" t="s">
        <v>215</v>
      </c>
      <c r="K357" s="67">
        <v>2.1552832870777774E-2</v>
      </c>
      <c r="L357" s="67">
        <v>2.1552832870777774E-2</v>
      </c>
      <c r="M357" s="67">
        <v>2.1552832870777774E-2</v>
      </c>
      <c r="N357" s="67">
        <v>2.1552832870777774E-2</v>
      </c>
      <c r="O357" s="67">
        <v>2.1552832870777774E-2</v>
      </c>
      <c r="P357" s="67">
        <v>2.1552832870777774E-2</v>
      </c>
      <c r="Q357" s="67">
        <v>2.1552832870777774E-2</v>
      </c>
      <c r="R357" s="67">
        <v>2.1552832870777774E-2</v>
      </c>
      <c r="S357" s="67">
        <v>2.1552832870777774E-2</v>
      </c>
      <c r="T357" s="67">
        <v>2.1552832870777774E-2</v>
      </c>
      <c r="U357" s="67">
        <v>2.1552832870777774E-2</v>
      </c>
      <c r="V357" s="67">
        <v>2.1552832870777774E-2</v>
      </c>
      <c r="W357" s="67">
        <v>2.1552832870777774E-2</v>
      </c>
      <c r="X357" s="67">
        <v>2.1552832870777774E-2</v>
      </c>
      <c r="Y357" s="67">
        <v>2.1552832870777774E-2</v>
      </c>
      <c r="Z357" s="61" t="s">
        <v>216</v>
      </c>
      <c r="AA357" s="68">
        <v>0.43530791861486218</v>
      </c>
      <c r="AB357" s="69">
        <v>1.3778681737591908E-4</v>
      </c>
    </row>
    <row r="358" spans="2:28" x14ac:dyDescent="0.3">
      <c r="B358" s="61" t="s">
        <v>227</v>
      </c>
      <c r="C358" s="61" t="s">
        <v>185</v>
      </c>
      <c r="D358" s="61" t="s">
        <v>121</v>
      </c>
      <c r="E358" s="61" t="s">
        <v>190</v>
      </c>
      <c r="F358" s="61" t="s">
        <v>94</v>
      </c>
      <c r="G358" s="62">
        <v>0.56000000000000005</v>
      </c>
      <c r="H358" s="61">
        <v>5</v>
      </c>
      <c r="I358" s="61" t="s">
        <v>218</v>
      </c>
      <c r="J358" s="61" t="s">
        <v>215</v>
      </c>
      <c r="K358" s="67">
        <v>2.1545827633378936E-2</v>
      </c>
      <c r="L358" s="67">
        <v>2.1545827633378936E-2</v>
      </c>
      <c r="M358" s="67">
        <v>2.1545827633378936E-2</v>
      </c>
      <c r="N358" s="67">
        <v>2.1545827633378936E-2</v>
      </c>
      <c r="O358" s="67">
        <v>2.1545827633378936E-2</v>
      </c>
      <c r="P358" s="67">
        <v>2.1545827633378936E-2</v>
      </c>
      <c r="Q358" s="67">
        <v>2.1545827633378936E-2</v>
      </c>
      <c r="R358" s="67">
        <v>2.1545827633378936E-2</v>
      </c>
      <c r="S358" s="67">
        <v>2.1545827633378936E-2</v>
      </c>
      <c r="T358" s="67">
        <v>2.1545827633378936E-2</v>
      </c>
      <c r="U358" s="67">
        <v>2.1545827633378936E-2</v>
      </c>
      <c r="V358" s="67">
        <v>2.1545827633378936E-2</v>
      </c>
      <c r="W358" s="67">
        <v>2.1545827633378936E-2</v>
      </c>
      <c r="X358" s="67">
        <v>2.1545827633378936E-2</v>
      </c>
      <c r="Y358" s="67">
        <v>2.1545827633378936E-2</v>
      </c>
      <c r="Z358" s="61" t="s">
        <v>216</v>
      </c>
      <c r="AA358" s="68">
        <v>0.33970981014917601</v>
      </c>
      <c r="AB358" s="69">
        <v>0</v>
      </c>
    </row>
    <row r="359" spans="2:28" x14ac:dyDescent="0.3">
      <c r="B359" s="61" t="s">
        <v>227</v>
      </c>
      <c r="C359" s="61" t="s">
        <v>185</v>
      </c>
      <c r="D359" s="61" t="s">
        <v>121</v>
      </c>
      <c r="E359" s="61" t="s">
        <v>191</v>
      </c>
      <c r="F359" s="61" t="s">
        <v>93</v>
      </c>
      <c r="G359" s="62">
        <v>0.25</v>
      </c>
      <c r="H359" s="61">
        <v>5</v>
      </c>
      <c r="I359" s="61" t="s">
        <v>214</v>
      </c>
      <c r="J359" s="61" t="s">
        <v>215</v>
      </c>
      <c r="K359" s="67">
        <v>3.5869370177642204E-2</v>
      </c>
      <c r="L359" s="67">
        <v>3.5869370177642204E-2</v>
      </c>
      <c r="M359" s="67">
        <v>3.5869370177642204E-2</v>
      </c>
      <c r="N359" s="67">
        <v>3.5869370177642204E-2</v>
      </c>
      <c r="O359" s="67">
        <v>3.5869370177642204E-2</v>
      </c>
      <c r="P359" s="67">
        <v>3.5869370177642204E-2</v>
      </c>
      <c r="Q359" s="67">
        <v>3.5869370177642204E-2</v>
      </c>
      <c r="R359" s="67">
        <v>3.5869370177642204E-2</v>
      </c>
      <c r="S359" s="67">
        <v>3.5869370177642204E-2</v>
      </c>
      <c r="T359" s="67">
        <v>3.5869370177642204E-2</v>
      </c>
      <c r="U359" s="67">
        <v>3.5869370177642204E-2</v>
      </c>
      <c r="V359" s="67">
        <v>3.5869370177642204E-2</v>
      </c>
      <c r="W359" s="67">
        <v>3.5869370177642204E-2</v>
      </c>
      <c r="X359" s="67">
        <v>3.5869370177642204E-2</v>
      </c>
      <c r="Y359" s="67">
        <v>3.5869370177642204E-2</v>
      </c>
      <c r="Z359" s="61" t="s">
        <v>216</v>
      </c>
      <c r="AA359" s="68">
        <v>0.43530791861486218</v>
      </c>
      <c r="AB359" s="69">
        <v>1.3778681737591908E-4</v>
      </c>
    </row>
    <row r="360" spans="2:28" x14ac:dyDescent="0.3">
      <c r="B360" s="61" t="s">
        <v>227</v>
      </c>
      <c r="C360" s="61" t="s">
        <v>185</v>
      </c>
      <c r="D360" s="61" t="s">
        <v>121</v>
      </c>
      <c r="E360" s="61" t="s">
        <v>191</v>
      </c>
      <c r="F360" s="61" t="s">
        <v>94</v>
      </c>
      <c r="G360" s="62">
        <v>0.25</v>
      </c>
      <c r="H360" s="61">
        <v>5</v>
      </c>
      <c r="I360" s="61" t="s">
        <v>218</v>
      </c>
      <c r="J360" s="61" t="s">
        <v>215</v>
      </c>
      <c r="K360" s="67">
        <v>1.2672811059907833E-2</v>
      </c>
      <c r="L360" s="67">
        <v>1.2672811059907833E-2</v>
      </c>
      <c r="M360" s="67">
        <v>1.2672811059907833E-2</v>
      </c>
      <c r="N360" s="67">
        <v>1.2672811059907833E-2</v>
      </c>
      <c r="O360" s="67">
        <v>1.2672811059907833E-2</v>
      </c>
      <c r="P360" s="67">
        <v>1.2672811059907833E-2</v>
      </c>
      <c r="Q360" s="67">
        <v>1.2672811059907833E-2</v>
      </c>
      <c r="R360" s="67">
        <v>1.2672811059907833E-2</v>
      </c>
      <c r="S360" s="67">
        <v>1.2672811059907833E-2</v>
      </c>
      <c r="T360" s="67">
        <v>1.2672811059907833E-2</v>
      </c>
      <c r="U360" s="67">
        <v>1.2672811059907833E-2</v>
      </c>
      <c r="V360" s="67">
        <v>1.2672811059907833E-2</v>
      </c>
      <c r="W360" s="67">
        <v>1.2672811059907833E-2</v>
      </c>
      <c r="X360" s="67">
        <v>1.2672811059907833E-2</v>
      </c>
      <c r="Y360" s="67">
        <v>1.2672811059907833E-2</v>
      </c>
      <c r="Z360" s="61" t="s">
        <v>216</v>
      </c>
      <c r="AA360" s="68">
        <v>0.33970981014917601</v>
      </c>
      <c r="AB360" s="69">
        <v>0</v>
      </c>
    </row>
    <row r="361" spans="2:28" x14ac:dyDescent="0.3">
      <c r="B361" s="61" t="s">
        <v>227</v>
      </c>
      <c r="C361" s="61" t="s">
        <v>185</v>
      </c>
      <c r="D361" s="61" t="s">
        <v>121</v>
      </c>
      <c r="E361" s="61" t="s">
        <v>192</v>
      </c>
      <c r="F361" s="61" t="s">
        <v>93</v>
      </c>
      <c r="G361" s="62">
        <v>0.5</v>
      </c>
      <c r="H361" s="61">
        <v>5</v>
      </c>
      <c r="I361" s="61" t="s">
        <v>214</v>
      </c>
      <c r="J361" s="61" t="s">
        <v>215</v>
      </c>
      <c r="K361" s="67">
        <v>1.9671138808399158E-2</v>
      </c>
      <c r="L361" s="67">
        <v>1.9671138808399158E-2</v>
      </c>
      <c r="M361" s="67">
        <v>1.9671138808399158E-2</v>
      </c>
      <c r="N361" s="67">
        <v>1.9671138808399158E-2</v>
      </c>
      <c r="O361" s="67">
        <v>1.9671138808399158E-2</v>
      </c>
      <c r="P361" s="67">
        <v>1.9671138808399158E-2</v>
      </c>
      <c r="Q361" s="67">
        <v>1.9671138808399158E-2</v>
      </c>
      <c r="R361" s="67">
        <v>1.9671138808399158E-2</v>
      </c>
      <c r="S361" s="67">
        <v>1.9671138808399158E-2</v>
      </c>
      <c r="T361" s="67">
        <v>1.9671138808399158E-2</v>
      </c>
      <c r="U361" s="67">
        <v>1.9671138808399158E-2</v>
      </c>
      <c r="V361" s="67">
        <v>1.9671138808399158E-2</v>
      </c>
      <c r="W361" s="67">
        <v>1.9671138808399158E-2</v>
      </c>
      <c r="X361" s="67">
        <v>1.9671138808399158E-2</v>
      </c>
      <c r="Y361" s="67">
        <v>1.9671138808399158E-2</v>
      </c>
      <c r="Z361" s="61" t="s">
        <v>216</v>
      </c>
      <c r="AA361" s="68">
        <v>0.43530791861486218</v>
      </c>
      <c r="AB361" s="69">
        <v>1.3778681737591908E-4</v>
      </c>
    </row>
    <row r="362" spans="2:28" x14ac:dyDescent="0.3">
      <c r="B362" s="61" t="s">
        <v>227</v>
      </c>
      <c r="C362" s="61" t="s">
        <v>185</v>
      </c>
      <c r="D362" s="61" t="s">
        <v>121</v>
      </c>
      <c r="E362" s="61" t="s">
        <v>192</v>
      </c>
      <c r="F362" s="61" t="s">
        <v>94</v>
      </c>
      <c r="G362" s="62">
        <v>0.5</v>
      </c>
      <c r="H362" s="61">
        <v>5</v>
      </c>
      <c r="I362" s="61" t="s">
        <v>218</v>
      </c>
      <c r="J362" s="61" t="s">
        <v>215</v>
      </c>
      <c r="K362" s="67">
        <v>4.2777777777777783E-2</v>
      </c>
      <c r="L362" s="67">
        <v>4.2777777777777783E-2</v>
      </c>
      <c r="M362" s="67">
        <v>4.2777777777777783E-2</v>
      </c>
      <c r="N362" s="67">
        <v>4.2777777777777783E-2</v>
      </c>
      <c r="O362" s="67">
        <v>4.2777777777777783E-2</v>
      </c>
      <c r="P362" s="67">
        <v>4.2777777777777783E-2</v>
      </c>
      <c r="Q362" s="67">
        <v>4.2777777777777783E-2</v>
      </c>
      <c r="R362" s="67">
        <v>4.2777777777777783E-2</v>
      </c>
      <c r="S362" s="67">
        <v>4.2777777777777783E-2</v>
      </c>
      <c r="T362" s="67">
        <v>4.2777777777777783E-2</v>
      </c>
      <c r="U362" s="67">
        <v>4.2777777777777783E-2</v>
      </c>
      <c r="V362" s="67">
        <v>4.2777777777777783E-2</v>
      </c>
      <c r="W362" s="67">
        <v>4.2777777777777783E-2</v>
      </c>
      <c r="X362" s="67">
        <v>4.2777777777777783E-2</v>
      </c>
      <c r="Y362" s="67">
        <v>4.2777777777777783E-2</v>
      </c>
      <c r="Z362" s="61" t="s">
        <v>216</v>
      </c>
      <c r="AA362" s="68">
        <v>0.33970981014917601</v>
      </c>
      <c r="AB362" s="69">
        <v>0</v>
      </c>
    </row>
    <row r="363" spans="2:28" x14ac:dyDescent="0.3">
      <c r="B363" s="61" t="s">
        <v>227</v>
      </c>
      <c r="C363" s="61" t="s">
        <v>185</v>
      </c>
      <c r="D363" s="61" t="s">
        <v>121</v>
      </c>
      <c r="E363" s="61" t="s">
        <v>193</v>
      </c>
      <c r="F363" s="61" t="s">
        <v>93</v>
      </c>
      <c r="G363" s="62">
        <v>0.5</v>
      </c>
      <c r="H363" s="61">
        <v>5</v>
      </c>
      <c r="I363" s="61" t="s">
        <v>214</v>
      </c>
      <c r="J363" s="61" t="s">
        <v>215</v>
      </c>
      <c r="K363" s="67">
        <v>3.0695810993931601E-2</v>
      </c>
      <c r="L363" s="67">
        <v>3.0695810993931601E-2</v>
      </c>
      <c r="M363" s="67">
        <v>3.0695810993931601E-2</v>
      </c>
      <c r="N363" s="67">
        <v>3.0695810993931601E-2</v>
      </c>
      <c r="O363" s="67">
        <v>3.0695810993931601E-2</v>
      </c>
      <c r="P363" s="67">
        <v>3.0695810993931601E-2</v>
      </c>
      <c r="Q363" s="67">
        <v>3.0695810993931601E-2</v>
      </c>
      <c r="R363" s="67">
        <v>3.0695810993931601E-2</v>
      </c>
      <c r="S363" s="67">
        <v>3.0695810993931601E-2</v>
      </c>
      <c r="T363" s="67">
        <v>3.0695810993931601E-2</v>
      </c>
      <c r="U363" s="67">
        <v>3.0695810993931601E-2</v>
      </c>
      <c r="V363" s="67">
        <v>3.0695810993931601E-2</v>
      </c>
      <c r="W363" s="67">
        <v>3.0695810993931601E-2</v>
      </c>
      <c r="X363" s="67">
        <v>3.0695810993931601E-2</v>
      </c>
      <c r="Y363" s="67">
        <v>3.0695810993931601E-2</v>
      </c>
      <c r="Z363" s="61" t="s">
        <v>216</v>
      </c>
      <c r="AA363" s="68">
        <v>0.43530791861486218</v>
      </c>
      <c r="AB363" s="69">
        <v>1.3778681737591908E-4</v>
      </c>
    </row>
    <row r="364" spans="2:28" x14ac:dyDescent="0.3">
      <c r="B364" s="61" t="s">
        <v>227</v>
      </c>
      <c r="C364" s="61" t="s">
        <v>185</v>
      </c>
      <c r="D364" s="61" t="s">
        <v>121</v>
      </c>
      <c r="E364" s="61" t="s">
        <v>193</v>
      </c>
      <c r="F364" s="61" t="s">
        <v>94</v>
      </c>
      <c r="G364" s="62">
        <v>0.5</v>
      </c>
      <c r="H364" s="61">
        <v>5</v>
      </c>
      <c r="I364" s="61" t="s">
        <v>218</v>
      </c>
      <c r="J364" s="61" t="s">
        <v>215</v>
      </c>
      <c r="K364" s="67">
        <v>9.2511013215859028E-2</v>
      </c>
      <c r="L364" s="67">
        <v>9.2511013215859028E-2</v>
      </c>
      <c r="M364" s="67">
        <v>9.2511013215859028E-2</v>
      </c>
      <c r="N364" s="67">
        <v>9.2511013215859028E-2</v>
      </c>
      <c r="O364" s="67">
        <v>9.2511013215859028E-2</v>
      </c>
      <c r="P364" s="67">
        <v>9.2511013215859028E-2</v>
      </c>
      <c r="Q364" s="67">
        <v>9.2511013215859028E-2</v>
      </c>
      <c r="R364" s="67">
        <v>9.2511013215859028E-2</v>
      </c>
      <c r="S364" s="67">
        <v>9.2511013215859028E-2</v>
      </c>
      <c r="T364" s="67">
        <v>9.2511013215859028E-2</v>
      </c>
      <c r="U364" s="67">
        <v>9.2511013215859028E-2</v>
      </c>
      <c r="V364" s="67">
        <v>9.2511013215859028E-2</v>
      </c>
      <c r="W364" s="67">
        <v>9.2511013215859028E-2</v>
      </c>
      <c r="X364" s="67">
        <v>9.2511013215859028E-2</v>
      </c>
      <c r="Y364" s="67">
        <v>9.2511013215859028E-2</v>
      </c>
      <c r="Z364" s="61" t="s">
        <v>216</v>
      </c>
      <c r="AA364" s="68">
        <v>0.33970981014917601</v>
      </c>
      <c r="AB364" s="69">
        <v>0</v>
      </c>
    </row>
    <row r="365" spans="2:28" x14ac:dyDescent="0.3">
      <c r="B365" s="61" t="s">
        <v>227</v>
      </c>
      <c r="C365" s="61" t="s">
        <v>185</v>
      </c>
      <c r="D365" s="61" t="s">
        <v>121</v>
      </c>
      <c r="E365" s="61" t="s">
        <v>194</v>
      </c>
      <c r="F365" s="61" t="s">
        <v>93</v>
      </c>
      <c r="G365" s="62">
        <v>0.35</v>
      </c>
      <c r="H365" s="61">
        <v>5</v>
      </c>
      <c r="I365" s="61" t="s">
        <v>214</v>
      </c>
      <c r="J365" s="61" t="s">
        <v>215</v>
      </c>
      <c r="K365" s="67">
        <v>2.0090534199175239E-2</v>
      </c>
      <c r="L365" s="67">
        <v>2.0090534199175239E-2</v>
      </c>
      <c r="M365" s="67">
        <v>2.0090534199175239E-2</v>
      </c>
      <c r="N365" s="67">
        <v>2.0090534199175239E-2</v>
      </c>
      <c r="O365" s="67">
        <v>2.0090534199175239E-2</v>
      </c>
      <c r="P365" s="67">
        <v>2.0090534199175239E-2</v>
      </c>
      <c r="Q365" s="67">
        <v>2.0090534199175239E-2</v>
      </c>
      <c r="R365" s="67">
        <v>2.0090534199175239E-2</v>
      </c>
      <c r="S365" s="67">
        <v>2.0090534199175239E-2</v>
      </c>
      <c r="T365" s="67">
        <v>2.0090534199175239E-2</v>
      </c>
      <c r="U365" s="67">
        <v>2.0090534199175239E-2</v>
      </c>
      <c r="V365" s="67">
        <v>2.0090534199175239E-2</v>
      </c>
      <c r="W365" s="67">
        <v>2.0090534199175239E-2</v>
      </c>
      <c r="X365" s="67">
        <v>2.0090534199175239E-2</v>
      </c>
      <c r="Y365" s="67">
        <v>2.0090534199175239E-2</v>
      </c>
      <c r="Z365" s="61" t="s">
        <v>216</v>
      </c>
      <c r="AA365" s="68">
        <v>0.43530791861486218</v>
      </c>
      <c r="AB365" s="69">
        <v>1.3778681737591908E-4</v>
      </c>
    </row>
    <row r="366" spans="2:28" x14ac:dyDescent="0.3">
      <c r="B366" s="61" t="s">
        <v>227</v>
      </c>
      <c r="C366" s="61" t="s">
        <v>185</v>
      </c>
      <c r="D366" s="61" t="s">
        <v>121</v>
      </c>
      <c r="E366" s="61" t="s">
        <v>194</v>
      </c>
      <c r="F366" s="61" t="s">
        <v>94</v>
      </c>
      <c r="G366" s="62">
        <v>0.35</v>
      </c>
      <c r="H366" s="61">
        <v>5</v>
      </c>
      <c r="I366" s="61" t="s">
        <v>218</v>
      </c>
      <c r="J366" s="61" t="s">
        <v>215</v>
      </c>
      <c r="K366" s="67">
        <v>4.2086330935251805E-2</v>
      </c>
      <c r="L366" s="67">
        <v>4.2086330935251805E-2</v>
      </c>
      <c r="M366" s="67">
        <v>4.2086330935251805E-2</v>
      </c>
      <c r="N366" s="67">
        <v>4.2086330935251805E-2</v>
      </c>
      <c r="O366" s="67">
        <v>4.2086330935251805E-2</v>
      </c>
      <c r="P366" s="67">
        <v>4.2086330935251805E-2</v>
      </c>
      <c r="Q366" s="67">
        <v>4.2086330935251805E-2</v>
      </c>
      <c r="R366" s="67">
        <v>4.2086330935251805E-2</v>
      </c>
      <c r="S366" s="67">
        <v>4.2086330935251805E-2</v>
      </c>
      <c r="T366" s="67">
        <v>4.2086330935251805E-2</v>
      </c>
      <c r="U366" s="67">
        <v>4.2086330935251805E-2</v>
      </c>
      <c r="V366" s="67">
        <v>4.2086330935251805E-2</v>
      </c>
      <c r="W366" s="67">
        <v>4.2086330935251805E-2</v>
      </c>
      <c r="X366" s="67">
        <v>4.2086330935251805E-2</v>
      </c>
      <c r="Y366" s="67">
        <v>4.2086330935251805E-2</v>
      </c>
      <c r="Z366" s="61" t="s">
        <v>216</v>
      </c>
      <c r="AA366" s="68">
        <v>0.33970981014917601</v>
      </c>
      <c r="AB366" s="69">
        <v>0</v>
      </c>
    </row>
    <row r="367" spans="2:28" x14ac:dyDescent="0.3">
      <c r="B367" s="61" t="s">
        <v>227</v>
      </c>
      <c r="C367" s="61" t="s">
        <v>185</v>
      </c>
      <c r="D367" s="61" t="s">
        <v>121</v>
      </c>
      <c r="E367" s="61" t="s">
        <v>195</v>
      </c>
      <c r="F367" s="61" t="s">
        <v>93</v>
      </c>
      <c r="G367" s="62">
        <v>0.11</v>
      </c>
      <c r="H367" s="61">
        <v>5</v>
      </c>
      <c r="I367" s="61" t="s">
        <v>214</v>
      </c>
      <c r="J367" s="61" t="s">
        <v>215</v>
      </c>
      <c r="K367" s="67">
        <v>0</v>
      </c>
      <c r="L367" s="67">
        <v>0</v>
      </c>
      <c r="M367" s="67">
        <v>0</v>
      </c>
      <c r="N367" s="67">
        <v>0</v>
      </c>
      <c r="O367" s="67">
        <v>0</v>
      </c>
      <c r="P367" s="67">
        <v>0</v>
      </c>
      <c r="Q367" s="67">
        <v>0</v>
      </c>
      <c r="R367" s="67">
        <v>0</v>
      </c>
      <c r="S367" s="67">
        <v>0</v>
      </c>
      <c r="T367" s="67">
        <v>0</v>
      </c>
      <c r="U367" s="67">
        <v>0</v>
      </c>
      <c r="V367" s="67">
        <v>0</v>
      </c>
      <c r="W367" s="67">
        <v>0</v>
      </c>
      <c r="X367" s="67">
        <v>0</v>
      </c>
      <c r="Y367" s="67">
        <v>0</v>
      </c>
      <c r="Z367" s="61" t="s">
        <v>216</v>
      </c>
      <c r="AA367" s="68">
        <v>0.43530791861486218</v>
      </c>
      <c r="AB367" s="69">
        <v>1.3778681737591908E-4</v>
      </c>
    </row>
    <row r="368" spans="2:28" x14ac:dyDescent="0.3">
      <c r="B368" s="61" t="s">
        <v>227</v>
      </c>
      <c r="C368" s="61" t="s">
        <v>185</v>
      </c>
      <c r="D368" s="61" t="s">
        <v>121</v>
      </c>
      <c r="E368" s="61" t="s">
        <v>195</v>
      </c>
      <c r="F368" s="61" t="s">
        <v>94</v>
      </c>
      <c r="G368" s="62">
        <v>0.11</v>
      </c>
      <c r="H368" s="61">
        <v>5</v>
      </c>
      <c r="I368" s="61" t="s">
        <v>218</v>
      </c>
      <c r="J368" s="61" t="s">
        <v>215</v>
      </c>
      <c r="K368" s="67">
        <v>0</v>
      </c>
      <c r="L368" s="67">
        <v>0</v>
      </c>
      <c r="M368" s="67">
        <v>0</v>
      </c>
      <c r="N368" s="67">
        <v>0</v>
      </c>
      <c r="O368" s="67">
        <v>0</v>
      </c>
      <c r="P368" s="67">
        <v>0</v>
      </c>
      <c r="Q368" s="67">
        <v>0</v>
      </c>
      <c r="R368" s="67">
        <v>0</v>
      </c>
      <c r="S368" s="67">
        <v>0</v>
      </c>
      <c r="T368" s="67">
        <v>0</v>
      </c>
      <c r="U368" s="67">
        <v>0</v>
      </c>
      <c r="V368" s="67">
        <v>0</v>
      </c>
      <c r="W368" s="67">
        <v>0</v>
      </c>
      <c r="X368" s="67">
        <v>0</v>
      </c>
      <c r="Y368" s="67">
        <v>0</v>
      </c>
      <c r="Z368" s="61" t="s">
        <v>216</v>
      </c>
      <c r="AA368" s="68">
        <v>0.33970981014917601</v>
      </c>
      <c r="AB368" s="69">
        <v>0</v>
      </c>
    </row>
    <row r="369" spans="2:28" x14ac:dyDescent="0.3">
      <c r="B369" s="61" t="s">
        <v>227</v>
      </c>
      <c r="C369" s="61" t="s">
        <v>185</v>
      </c>
      <c r="D369" s="61" t="s">
        <v>121</v>
      </c>
      <c r="E369" s="61" t="s">
        <v>196</v>
      </c>
      <c r="F369" s="61" t="s">
        <v>93</v>
      </c>
      <c r="G369" s="62">
        <v>0.01</v>
      </c>
      <c r="H369" s="61">
        <v>5</v>
      </c>
      <c r="I369" s="61" t="s">
        <v>214</v>
      </c>
      <c r="J369" s="61" t="s">
        <v>215</v>
      </c>
      <c r="K369" s="67">
        <v>1.6923927567617382E-2</v>
      </c>
      <c r="L369" s="67">
        <v>1.6923927567617382E-2</v>
      </c>
      <c r="M369" s="67">
        <v>1.6923927567617382E-2</v>
      </c>
      <c r="N369" s="67">
        <v>1.6923927567617382E-2</v>
      </c>
      <c r="O369" s="67">
        <v>1.6923927567617382E-2</v>
      </c>
      <c r="P369" s="67">
        <v>1.6923927567617382E-2</v>
      </c>
      <c r="Q369" s="67">
        <v>1.6923927567617382E-2</v>
      </c>
      <c r="R369" s="67">
        <v>1.6923927567617382E-2</v>
      </c>
      <c r="S369" s="67">
        <v>1.6923927567617382E-2</v>
      </c>
      <c r="T369" s="67">
        <v>1.6923927567617382E-2</v>
      </c>
      <c r="U369" s="67">
        <v>1.6923927567617382E-2</v>
      </c>
      <c r="V369" s="67">
        <v>1.6923927567617382E-2</v>
      </c>
      <c r="W369" s="67">
        <v>1.6923927567617382E-2</v>
      </c>
      <c r="X369" s="67">
        <v>1.6923927567617382E-2</v>
      </c>
      <c r="Y369" s="67">
        <v>1.6923927567617382E-2</v>
      </c>
      <c r="Z369" s="61" t="s">
        <v>216</v>
      </c>
      <c r="AA369" s="68">
        <v>0.43530791861486218</v>
      </c>
      <c r="AB369" s="69">
        <v>1.3778681737591908E-4</v>
      </c>
    </row>
    <row r="370" spans="2:28" x14ac:dyDescent="0.3">
      <c r="B370" s="61" t="s">
        <v>227</v>
      </c>
      <c r="C370" s="61" t="s">
        <v>185</v>
      </c>
      <c r="D370" s="61" t="s">
        <v>121</v>
      </c>
      <c r="E370" s="61" t="s">
        <v>196</v>
      </c>
      <c r="F370" s="61" t="s">
        <v>94</v>
      </c>
      <c r="G370" s="62">
        <v>0.01</v>
      </c>
      <c r="H370" s="61">
        <v>5</v>
      </c>
      <c r="I370" s="61" t="s">
        <v>218</v>
      </c>
      <c r="J370" s="61" t="s">
        <v>215</v>
      </c>
      <c r="K370" s="67">
        <v>4.1562759767248538E-3</v>
      </c>
      <c r="L370" s="67">
        <v>4.1562759767248538E-3</v>
      </c>
      <c r="M370" s="67">
        <v>4.1562759767248538E-3</v>
      </c>
      <c r="N370" s="67">
        <v>4.1562759767248538E-3</v>
      </c>
      <c r="O370" s="67">
        <v>4.1562759767248538E-3</v>
      </c>
      <c r="P370" s="67">
        <v>4.1562759767248538E-3</v>
      </c>
      <c r="Q370" s="67">
        <v>4.1562759767248538E-3</v>
      </c>
      <c r="R370" s="67">
        <v>4.1562759767248538E-3</v>
      </c>
      <c r="S370" s="67">
        <v>4.1562759767248538E-3</v>
      </c>
      <c r="T370" s="67">
        <v>4.1562759767248538E-3</v>
      </c>
      <c r="U370" s="67">
        <v>4.1562759767248538E-3</v>
      </c>
      <c r="V370" s="67">
        <v>4.1562759767248538E-3</v>
      </c>
      <c r="W370" s="67">
        <v>4.1562759767248538E-3</v>
      </c>
      <c r="X370" s="67">
        <v>4.1562759767248538E-3</v>
      </c>
      <c r="Y370" s="67">
        <v>4.1562759767248538E-3</v>
      </c>
      <c r="Z370" s="61" t="s">
        <v>216</v>
      </c>
      <c r="AA370" s="68">
        <v>0.33970981014917601</v>
      </c>
      <c r="AB370" s="69">
        <v>0</v>
      </c>
    </row>
    <row r="371" spans="2:28" x14ac:dyDescent="0.3">
      <c r="B371" s="61" t="s">
        <v>227</v>
      </c>
      <c r="C371" s="61" t="s">
        <v>185</v>
      </c>
      <c r="D371" s="61" t="s">
        <v>121</v>
      </c>
      <c r="E371" s="61" t="s">
        <v>197</v>
      </c>
      <c r="F371" s="61" t="s">
        <v>93</v>
      </c>
      <c r="G371" s="62">
        <v>0.24</v>
      </c>
      <c r="H371" s="61">
        <v>5</v>
      </c>
      <c r="I371" s="61" t="s">
        <v>214</v>
      </c>
      <c r="J371" s="61" t="s">
        <v>215</v>
      </c>
      <c r="K371" s="67">
        <v>2.7157625048410645E-2</v>
      </c>
      <c r="L371" s="67">
        <v>2.7157625048410645E-2</v>
      </c>
      <c r="M371" s="67">
        <v>2.7157625048410645E-2</v>
      </c>
      <c r="N371" s="67">
        <v>2.7157625048410645E-2</v>
      </c>
      <c r="O371" s="67">
        <v>2.7157625048410645E-2</v>
      </c>
      <c r="P371" s="67">
        <v>2.7157625048410645E-2</v>
      </c>
      <c r="Q371" s="67">
        <v>2.7157625048410645E-2</v>
      </c>
      <c r="R371" s="67">
        <v>2.7157625048410645E-2</v>
      </c>
      <c r="S371" s="67">
        <v>2.7157625048410645E-2</v>
      </c>
      <c r="T371" s="67">
        <v>2.7157625048410645E-2</v>
      </c>
      <c r="U371" s="67">
        <v>2.7157625048410645E-2</v>
      </c>
      <c r="V371" s="67">
        <v>2.7157625048410645E-2</v>
      </c>
      <c r="W371" s="67">
        <v>2.7157625048410645E-2</v>
      </c>
      <c r="X371" s="67">
        <v>2.7157625048410645E-2</v>
      </c>
      <c r="Y371" s="67">
        <v>2.7157625048410645E-2</v>
      </c>
      <c r="Z371" s="61" t="s">
        <v>216</v>
      </c>
      <c r="AA371" s="68">
        <v>0.43530791861486218</v>
      </c>
      <c r="AB371" s="69">
        <v>1.3778681737591908E-4</v>
      </c>
    </row>
    <row r="372" spans="2:28" x14ac:dyDescent="0.3">
      <c r="B372" s="61" t="s">
        <v>227</v>
      </c>
      <c r="C372" s="61" t="s">
        <v>185</v>
      </c>
      <c r="D372" s="61" t="s">
        <v>121</v>
      </c>
      <c r="E372" s="61" t="s">
        <v>197</v>
      </c>
      <c r="F372" s="61" t="s">
        <v>94</v>
      </c>
      <c r="G372" s="62">
        <v>0.24</v>
      </c>
      <c r="H372" s="61">
        <v>5</v>
      </c>
      <c r="I372" s="61" t="s">
        <v>218</v>
      </c>
      <c r="J372" s="61" t="s">
        <v>215</v>
      </c>
      <c r="K372" s="67">
        <v>7.4257425742574268E-2</v>
      </c>
      <c r="L372" s="67">
        <v>7.4257425742574268E-2</v>
      </c>
      <c r="M372" s="67">
        <v>7.4257425742574268E-2</v>
      </c>
      <c r="N372" s="67">
        <v>7.4257425742574268E-2</v>
      </c>
      <c r="O372" s="67">
        <v>7.4257425742574268E-2</v>
      </c>
      <c r="P372" s="67">
        <v>7.4257425742574268E-2</v>
      </c>
      <c r="Q372" s="67">
        <v>7.4257425742574268E-2</v>
      </c>
      <c r="R372" s="67">
        <v>7.4257425742574268E-2</v>
      </c>
      <c r="S372" s="67">
        <v>7.4257425742574268E-2</v>
      </c>
      <c r="T372" s="67">
        <v>7.4257425742574268E-2</v>
      </c>
      <c r="U372" s="67">
        <v>7.4257425742574268E-2</v>
      </c>
      <c r="V372" s="67">
        <v>7.4257425742574268E-2</v>
      </c>
      <c r="W372" s="67">
        <v>7.4257425742574268E-2</v>
      </c>
      <c r="X372" s="67">
        <v>7.4257425742574268E-2</v>
      </c>
      <c r="Y372" s="67">
        <v>7.4257425742574268E-2</v>
      </c>
      <c r="Z372" s="61" t="s">
        <v>216</v>
      </c>
      <c r="AA372" s="68">
        <v>0.33970981014917601</v>
      </c>
      <c r="AB372" s="69">
        <v>0</v>
      </c>
    </row>
    <row r="373" spans="2:28" x14ac:dyDescent="0.3">
      <c r="B373" s="61" t="s">
        <v>227</v>
      </c>
      <c r="C373" s="61" t="s">
        <v>185</v>
      </c>
      <c r="D373" s="61" t="s">
        <v>121</v>
      </c>
      <c r="E373" s="61" t="s">
        <v>198</v>
      </c>
      <c r="F373" s="61" t="s">
        <v>93</v>
      </c>
      <c r="G373" s="62">
        <v>0.59</v>
      </c>
      <c r="H373" s="61">
        <v>5</v>
      </c>
      <c r="I373" s="61" t="s">
        <v>214</v>
      </c>
      <c r="J373" s="61" t="s">
        <v>215</v>
      </c>
      <c r="K373" s="67">
        <v>2.7403700333636642E-2</v>
      </c>
      <c r="L373" s="67">
        <v>2.7403700333636642E-2</v>
      </c>
      <c r="M373" s="67">
        <v>2.7403700333636642E-2</v>
      </c>
      <c r="N373" s="67">
        <v>2.7403700333636642E-2</v>
      </c>
      <c r="O373" s="67">
        <v>2.7403700333636642E-2</v>
      </c>
      <c r="P373" s="67">
        <v>2.7403700333636642E-2</v>
      </c>
      <c r="Q373" s="67">
        <v>2.7403700333636642E-2</v>
      </c>
      <c r="R373" s="67">
        <v>2.7403700333636642E-2</v>
      </c>
      <c r="S373" s="67">
        <v>2.7403700333636642E-2</v>
      </c>
      <c r="T373" s="67">
        <v>2.7403700333636642E-2</v>
      </c>
      <c r="U373" s="67">
        <v>2.7403700333636642E-2</v>
      </c>
      <c r="V373" s="67">
        <v>2.7403700333636642E-2</v>
      </c>
      <c r="W373" s="67">
        <v>2.7403700333636642E-2</v>
      </c>
      <c r="X373" s="67">
        <v>2.7403700333636642E-2</v>
      </c>
      <c r="Y373" s="67">
        <v>2.7403700333636642E-2</v>
      </c>
      <c r="Z373" s="61" t="s">
        <v>216</v>
      </c>
      <c r="AA373" s="68">
        <v>0.43530791861486218</v>
      </c>
      <c r="AB373" s="69">
        <v>1.3778681737591908E-4</v>
      </c>
    </row>
    <row r="374" spans="2:28" x14ac:dyDescent="0.3">
      <c r="B374" s="61" t="s">
        <v>227</v>
      </c>
      <c r="C374" s="61" t="s">
        <v>185</v>
      </c>
      <c r="D374" s="61" t="s">
        <v>121</v>
      </c>
      <c r="E374" s="61" t="s">
        <v>198</v>
      </c>
      <c r="F374" s="61" t="s">
        <v>94</v>
      </c>
      <c r="G374" s="62">
        <v>0.59</v>
      </c>
      <c r="H374" s="61">
        <v>5</v>
      </c>
      <c r="I374" s="61" t="s">
        <v>218</v>
      </c>
      <c r="J374" s="61" t="s">
        <v>215</v>
      </c>
      <c r="K374" s="67">
        <v>6.9668246445497642E-2</v>
      </c>
      <c r="L374" s="67">
        <v>6.9668246445497642E-2</v>
      </c>
      <c r="M374" s="67">
        <v>6.9668246445497642E-2</v>
      </c>
      <c r="N374" s="67">
        <v>6.9668246445497642E-2</v>
      </c>
      <c r="O374" s="67">
        <v>6.9668246445497642E-2</v>
      </c>
      <c r="P374" s="67">
        <v>6.9668246445497642E-2</v>
      </c>
      <c r="Q374" s="67">
        <v>6.9668246445497642E-2</v>
      </c>
      <c r="R374" s="67">
        <v>6.9668246445497642E-2</v>
      </c>
      <c r="S374" s="67">
        <v>6.9668246445497642E-2</v>
      </c>
      <c r="T374" s="67">
        <v>6.9668246445497642E-2</v>
      </c>
      <c r="U374" s="67">
        <v>6.9668246445497642E-2</v>
      </c>
      <c r="V374" s="67">
        <v>6.9668246445497642E-2</v>
      </c>
      <c r="W374" s="67">
        <v>6.9668246445497642E-2</v>
      </c>
      <c r="X374" s="67">
        <v>6.9668246445497642E-2</v>
      </c>
      <c r="Y374" s="67">
        <v>6.9668246445497642E-2</v>
      </c>
      <c r="Z374" s="61" t="s">
        <v>216</v>
      </c>
      <c r="AA374" s="68">
        <v>0.33970981014917601</v>
      </c>
      <c r="AB374" s="69">
        <v>0</v>
      </c>
    </row>
    <row r="375" spans="2:28" x14ac:dyDescent="0.3">
      <c r="B375" s="61" t="s">
        <v>227</v>
      </c>
      <c r="C375" s="61" t="s">
        <v>185</v>
      </c>
      <c r="D375" s="61" t="s">
        <v>121</v>
      </c>
      <c r="E375" s="61" t="s">
        <v>199</v>
      </c>
      <c r="F375" s="61" t="s">
        <v>93</v>
      </c>
      <c r="G375" s="62">
        <v>0.11</v>
      </c>
      <c r="H375" s="61">
        <v>5</v>
      </c>
      <c r="I375" s="61" t="s">
        <v>214</v>
      </c>
      <c r="J375" s="61" t="s">
        <v>215</v>
      </c>
      <c r="K375" s="67">
        <v>0</v>
      </c>
      <c r="L375" s="67">
        <v>0</v>
      </c>
      <c r="M375" s="67">
        <v>0</v>
      </c>
      <c r="N375" s="67">
        <v>0</v>
      </c>
      <c r="O375" s="67">
        <v>0</v>
      </c>
      <c r="P375" s="67">
        <v>0</v>
      </c>
      <c r="Q375" s="67">
        <v>0</v>
      </c>
      <c r="R375" s="67">
        <v>0</v>
      </c>
      <c r="S375" s="67">
        <v>0</v>
      </c>
      <c r="T375" s="67">
        <v>0</v>
      </c>
      <c r="U375" s="67">
        <v>0</v>
      </c>
      <c r="V375" s="67">
        <v>0</v>
      </c>
      <c r="W375" s="67">
        <v>0</v>
      </c>
      <c r="X375" s="67">
        <v>0</v>
      </c>
      <c r="Y375" s="67">
        <v>0</v>
      </c>
      <c r="Z375" s="61" t="s">
        <v>216</v>
      </c>
      <c r="AA375" s="68">
        <v>0.43530791861486218</v>
      </c>
      <c r="AB375" s="69">
        <v>1.3778681737591908E-4</v>
      </c>
    </row>
    <row r="376" spans="2:28" x14ac:dyDescent="0.3">
      <c r="B376" s="61" t="s">
        <v>227</v>
      </c>
      <c r="C376" s="61" t="s">
        <v>185</v>
      </c>
      <c r="D376" s="61" t="s">
        <v>121</v>
      </c>
      <c r="E376" s="61" t="s">
        <v>199</v>
      </c>
      <c r="F376" s="61" t="s">
        <v>94</v>
      </c>
      <c r="G376" s="62">
        <v>0.11</v>
      </c>
      <c r="H376" s="61">
        <v>5</v>
      </c>
      <c r="I376" s="61" t="s">
        <v>218</v>
      </c>
      <c r="J376" s="61" t="s">
        <v>215</v>
      </c>
      <c r="K376" s="67">
        <v>0</v>
      </c>
      <c r="L376" s="67">
        <v>0</v>
      </c>
      <c r="M376" s="67">
        <v>0</v>
      </c>
      <c r="N376" s="67">
        <v>0</v>
      </c>
      <c r="O376" s="67">
        <v>0</v>
      </c>
      <c r="P376" s="67">
        <v>0</v>
      </c>
      <c r="Q376" s="67">
        <v>0</v>
      </c>
      <c r="R376" s="67">
        <v>0</v>
      </c>
      <c r="S376" s="67">
        <v>0</v>
      </c>
      <c r="T376" s="67">
        <v>0</v>
      </c>
      <c r="U376" s="67">
        <v>0</v>
      </c>
      <c r="V376" s="67">
        <v>0</v>
      </c>
      <c r="W376" s="67">
        <v>0</v>
      </c>
      <c r="X376" s="67">
        <v>0</v>
      </c>
      <c r="Y376" s="67">
        <v>0</v>
      </c>
      <c r="Z376" s="61" t="s">
        <v>216</v>
      </c>
      <c r="AA376" s="68">
        <v>0.33970981014917601</v>
      </c>
      <c r="AB376" s="69">
        <v>0</v>
      </c>
    </row>
    <row r="377" spans="2:28" x14ac:dyDescent="0.3">
      <c r="B377" s="61" t="s">
        <v>227</v>
      </c>
      <c r="C377" s="61" t="s">
        <v>185</v>
      </c>
      <c r="D377" s="61" t="s">
        <v>122</v>
      </c>
      <c r="E377" s="61" t="s">
        <v>186</v>
      </c>
      <c r="F377" s="61" t="s">
        <v>93</v>
      </c>
      <c r="G377" s="62">
        <v>0.8</v>
      </c>
      <c r="H377" s="61">
        <v>5</v>
      </c>
      <c r="I377" s="61" t="s">
        <v>214</v>
      </c>
      <c r="J377" s="61" t="s">
        <v>215</v>
      </c>
      <c r="K377" s="67">
        <v>3.2016830831022296E-2</v>
      </c>
      <c r="L377" s="67">
        <v>3.2016830831022296E-2</v>
      </c>
      <c r="M377" s="67">
        <v>3.2016830831022296E-2</v>
      </c>
      <c r="N377" s="67">
        <v>3.2016830831022296E-2</v>
      </c>
      <c r="O377" s="67">
        <v>3.2016830831022296E-2</v>
      </c>
      <c r="P377" s="67">
        <v>3.2016830831022296E-2</v>
      </c>
      <c r="Q377" s="67">
        <v>3.2016830831022296E-2</v>
      </c>
      <c r="R377" s="67">
        <v>3.2016830831022296E-2</v>
      </c>
      <c r="S377" s="67">
        <v>3.2016830831022296E-2</v>
      </c>
      <c r="T377" s="67">
        <v>3.2016830831022296E-2</v>
      </c>
      <c r="U377" s="67">
        <v>3.2016830831022296E-2</v>
      </c>
      <c r="V377" s="67">
        <v>3.2016830831022296E-2</v>
      </c>
      <c r="W377" s="67">
        <v>3.2016830831022296E-2</v>
      </c>
      <c r="X377" s="67">
        <v>3.2016830831022296E-2</v>
      </c>
      <c r="Y377" s="67">
        <v>3.2016830831022296E-2</v>
      </c>
      <c r="Z377" s="61" t="s">
        <v>216</v>
      </c>
      <c r="AA377" s="68">
        <v>0.20409982687282938</v>
      </c>
      <c r="AB377" s="69">
        <v>1.3778681737591908E-4</v>
      </c>
    </row>
    <row r="378" spans="2:28" x14ac:dyDescent="0.3">
      <c r="B378" s="61" t="s">
        <v>227</v>
      </c>
      <c r="C378" s="61" t="s">
        <v>185</v>
      </c>
      <c r="D378" s="61" t="s">
        <v>122</v>
      </c>
      <c r="E378" s="61" t="s">
        <v>189</v>
      </c>
      <c r="F378" s="61" t="s">
        <v>93</v>
      </c>
      <c r="G378" s="62">
        <v>0.32</v>
      </c>
      <c r="H378" s="61">
        <v>5</v>
      </c>
      <c r="I378" s="61" t="s">
        <v>214</v>
      </c>
      <c r="J378" s="61" t="s">
        <v>215</v>
      </c>
      <c r="K378" s="67">
        <v>1.5613494627695543E-2</v>
      </c>
      <c r="L378" s="67">
        <v>1.5613494627695543E-2</v>
      </c>
      <c r="M378" s="67">
        <v>1.5613494627695543E-2</v>
      </c>
      <c r="N378" s="67">
        <v>1.5613494627695543E-2</v>
      </c>
      <c r="O378" s="67">
        <v>1.5613494627695543E-2</v>
      </c>
      <c r="P378" s="67">
        <v>1.5613494627695543E-2</v>
      </c>
      <c r="Q378" s="67">
        <v>1.5613494627695543E-2</v>
      </c>
      <c r="R378" s="67">
        <v>1.5613494627695543E-2</v>
      </c>
      <c r="S378" s="67">
        <v>1.5613494627695543E-2</v>
      </c>
      <c r="T378" s="67">
        <v>1.5613494627695543E-2</v>
      </c>
      <c r="U378" s="67">
        <v>1.5613494627695543E-2</v>
      </c>
      <c r="V378" s="67">
        <v>1.5613494627695543E-2</v>
      </c>
      <c r="W378" s="67">
        <v>1.5613494627695543E-2</v>
      </c>
      <c r="X378" s="67">
        <v>1.5613494627695543E-2</v>
      </c>
      <c r="Y378" s="67">
        <v>1.5613494627695543E-2</v>
      </c>
      <c r="Z378" s="61" t="s">
        <v>216</v>
      </c>
      <c r="AA378" s="68">
        <v>0.20409982687282938</v>
      </c>
      <c r="AB378" s="69">
        <v>1.3778681737591908E-4</v>
      </c>
    </row>
    <row r="379" spans="2:28" x14ac:dyDescent="0.3">
      <c r="B379" s="61" t="s">
        <v>227</v>
      </c>
      <c r="C379" s="61" t="s">
        <v>185</v>
      </c>
      <c r="D379" s="61" t="s">
        <v>122</v>
      </c>
      <c r="E379" s="61" t="s">
        <v>190</v>
      </c>
      <c r="F379" s="61" t="s">
        <v>93</v>
      </c>
      <c r="G379" s="62">
        <v>0.56000000000000005</v>
      </c>
      <c r="H379" s="61">
        <v>5</v>
      </c>
      <c r="I379" s="61" t="s">
        <v>214</v>
      </c>
      <c r="J379" s="61" t="s">
        <v>215</v>
      </c>
      <c r="K379" s="67">
        <v>2.2711919304090323E-2</v>
      </c>
      <c r="L379" s="67">
        <v>2.2711919304090323E-2</v>
      </c>
      <c r="M379" s="67">
        <v>2.2711919304090323E-2</v>
      </c>
      <c r="N379" s="67">
        <v>2.2711919304090323E-2</v>
      </c>
      <c r="O379" s="67">
        <v>2.2711919304090323E-2</v>
      </c>
      <c r="P379" s="67">
        <v>2.2711919304090323E-2</v>
      </c>
      <c r="Q379" s="67">
        <v>2.2711919304090323E-2</v>
      </c>
      <c r="R379" s="67">
        <v>2.2711919304090323E-2</v>
      </c>
      <c r="S379" s="67">
        <v>2.2711919304090323E-2</v>
      </c>
      <c r="T379" s="67">
        <v>2.2711919304090323E-2</v>
      </c>
      <c r="U379" s="67">
        <v>2.2711919304090323E-2</v>
      </c>
      <c r="V379" s="67">
        <v>2.2711919304090323E-2</v>
      </c>
      <c r="W379" s="67">
        <v>2.2711919304090323E-2</v>
      </c>
      <c r="X379" s="67">
        <v>2.2711919304090323E-2</v>
      </c>
      <c r="Y379" s="67">
        <v>2.2711919304090323E-2</v>
      </c>
      <c r="Z379" s="61" t="s">
        <v>216</v>
      </c>
      <c r="AA379" s="68">
        <v>0.20409982687282938</v>
      </c>
      <c r="AB379" s="69">
        <v>1.3778681737591908E-4</v>
      </c>
    </row>
    <row r="380" spans="2:28" x14ac:dyDescent="0.3">
      <c r="B380" s="61" t="s">
        <v>227</v>
      </c>
      <c r="C380" s="61" t="s">
        <v>185</v>
      </c>
      <c r="D380" s="61" t="s">
        <v>122</v>
      </c>
      <c r="E380" s="61" t="s">
        <v>191</v>
      </c>
      <c r="F380" s="61" t="s">
        <v>93</v>
      </c>
      <c r="G380" s="62">
        <v>0.25</v>
      </c>
      <c r="H380" s="61">
        <v>5</v>
      </c>
      <c r="I380" s="61" t="s">
        <v>214</v>
      </c>
      <c r="J380" s="61" t="s">
        <v>215</v>
      </c>
      <c r="K380" s="67">
        <v>3.8364695640527698E-2</v>
      </c>
      <c r="L380" s="67">
        <v>3.8364695640527698E-2</v>
      </c>
      <c r="M380" s="67">
        <v>3.8364695640527698E-2</v>
      </c>
      <c r="N380" s="67">
        <v>3.8364695640527698E-2</v>
      </c>
      <c r="O380" s="67">
        <v>3.8364695640527698E-2</v>
      </c>
      <c r="P380" s="67">
        <v>3.8364695640527698E-2</v>
      </c>
      <c r="Q380" s="67">
        <v>3.8364695640527698E-2</v>
      </c>
      <c r="R380" s="67">
        <v>3.8364695640527698E-2</v>
      </c>
      <c r="S380" s="67">
        <v>3.8364695640527698E-2</v>
      </c>
      <c r="T380" s="67">
        <v>3.8364695640527698E-2</v>
      </c>
      <c r="U380" s="67">
        <v>3.8364695640527698E-2</v>
      </c>
      <c r="V380" s="67">
        <v>3.8364695640527698E-2</v>
      </c>
      <c r="W380" s="67">
        <v>3.8364695640527698E-2</v>
      </c>
      <c r="X380" s="67">
        <v>3.8364695640527698E-2</v>
      </c>
      <c r="Y380" s="67">
        <v>3.8364695640527698E-2</v>
      </c>
      <c r="Z380" s="61" t="s">
        <v>216</v>
      </c>
      <c r="AA380" s="68">
        <v>0.20409982687282938</v>
      </c>
      <c r="AB380" s="69">
        <v>1.3778681737591908E-4</v>
      </c>
    </row>
    <row r="381" spans="2:28" x14ac:dyDescent="0.3">
      <c r="B381" s="61" t="s">
        <v>227</v>
      </c>
      <c r="C381" s="61" t="s">
        <v>185</v>
      </c>
      <c r="D381" s="61" t="s">
        <v>122</v>
      </c>
      <c r="E381" s="61" t="s">
        <v>192</v>
      </c>
      <c r="F381" s="61" t="s">
        <v>93</v>
      </c>
      <c r="G381" s="62">
        <v>0.5</v>
      </c>
      <c r="H381" s="61">
        <v>5</v>
      </c>
      <c r="I381" s="61" t="s">
        <v>214</v>
      </c>
      <c r="J381" s="61" t="s">
        <v>215</v>
      </c>
      <c r="K381" s="67">
        <v>2.0175158453299272E-2</v>
      </c>
      <c r="L381" s="67">
        <v>2.0175158453299272E-2</v>
      </c>
      <c r="M381" s="67">
        <v>2.0175158453299272E-2</v>
      </c>
      <c r="N381" s="67">
        <v>2.0175158453299272E-2</v>
      </c>
      <c r="O381" s="67">
        <v>2.0175158453299272E-2</v>
      </c>
      <c r="P381" s="67">
        <v>2.0175158453299272E-2</v>
      </c>
      <c r="Q381" s="67">
        <v>2.0175158453299272E-2</v>
      </c>
      <c r="R381" s="67">
        <v>2.0175158453299272E-2</v>
      </c>
      <c r="S381" s="67">
        <v>2.0175158453299272E-2</v>
      </c>
      <c r="T381" s="67">
        <v>2.0175158453299272E-2</v>
      </c>
      <c r="U381" s="67">
        <v>2.0175158453299272E-2</v>
      </c>
      <c r="V381" s="67">
        <v>2.0175158453299272E-2</v>
      </c>
      <c r="W381" s="67">
        <v>2.0175158453299272E-2</v>
      </c>
      <c r="X381" s="67">
        <v>2.0175158453299272E-2</v>
      </c>
      <c r="Y381" s="67">
        <v>2.0175158453299272E-2</v>
      </c>
      <c r="Z381" s="61" t="s">
        <v>216</v>
      </c>
      <c r="AA381" s="68">
        <v>0.20409982687282938</v>
      </c>
      <c r="AB381" s="69">
        <v>1.3778681737591908E-4</v>
      </c>
    </row>
    <row r="382" spans="2:28" x14ac:dyDescent="0.3">
      <c r="B382" s="61" t="s">
        <v>227</v>
      </c>
      <c r="C382" s="61" t="s">
        <v>185</v>
      </c>
      <c r="D382" s="61" t="s">
        <v>122</v>
      </c>
      <c r="E382" s="61" t="s">
        <v>193</v>
      </c>
      <c r="F382" s="61" t="s">
        <v>93</v>
      </c>
      <c r="G382" s="62">
        <v>0.5</v>
      </c>
      <c r="H382" s="61">
        <v>5</v>
      </c>
      <c r="I382" s="61" t="s">
        <v>214</v>
      </c>
      <c r="J382" s="61" t="s">
        <v>215</v>
      </c>
      <c r="K382" s="67">
        <v>3.2016830831022296E-2</v>
      </c>
      <c r="L382" s="67">
        <v>3.2016830831022296E-2</v>
      </c>
      <c r="M382" s="67">
        <v>3.2016830831022296E-2</v>
      </c>
      <c r="N382" s="67">
        <v>3.2016830831022296E-2</v>
      </c>
      <c r="O382" s="67">
        <v>3.2016830831022296E-2</v>
      </c>
      <c r="P382" s="67">
        <v>3.2016830831022296E-2</v>
      </c>
      <c r="Q382" s="67">
        <v>3.2016830831022296E-2</v>
      </c>
      <c r="R382" s="67">
        <v>3.2016830831022296E-2</v>
      </c>
      <c r="S382" s="67">
        <v>3.2016830831022296E-2</v>
      </c>
      <c r="T382" s="67">
        <v>3.2016830831022296E-2</v>
      </c>
      <c r="U382" s="67">
        <v>3.2016830831022296E-2</v>
      </c>
      <c r="V382" s="67">
        <v>3.2016830831022296E-2</v>
      </c>
      <c r="W382" s="67">
        <v>3.2016830831022296E-2</v>
      </c>
      <c r="X382" s="67">
        <v>3.2016830831022296E-2</v>
      </c>
      <c r="Y382" s="67">
        <v>3.2016830831022296E-2</v>
      </c>
      <c r="Z382" s="61" t="s">
        <v>216</v>
      </c>
      <c r="AA382" s="68">
        <v>0.20409982687282938</v>
      </c>
      <c r="AB382" s="69">
        <v>1.3778681737591908E-4</v>
      </c>
    </row>
    <row r="383" spans="2:28" x14ac:dyDescent="0.3">
      <c r="B383" s="61" t="s">
        <v>227</v>
      </c>
      <c r="C383" s="61" t="s">
        <v>185</v>
      </c>
      <c r="D383" s="61" t="s">
        <v>122</v>
      </c>
      <c r="E383" s="61" t="s">
        <v>194</v>
      </c>
      <c r="F383" s="61" t="s">
        <v>93</v>
      </c>
      <c r="G383" s="62">
        <v>0.35</v>
      </c>
      <c r="H383" s="61">
        <v>5</v>
      </c>
      <c r="I383" s="61" t="s">
        <v>214</v>
      </c>
      <c r="J383" s="61" t="s">
        <v>215</v>
      </c>
      <c r="K383" s="67">
        <v>2.2149387980228686E-2</v>
      </c>
      <c r="L383" s="67">
        <v>2.2149387980228686E-2</v>
      </c>
      <c r="M383" s="67">
        <v>2.2149387980228686E-2</v>
      </c>
      <c r="N383" s="67">
        <v>2.2149387980228686E-2</v>
      </c>
      <c r="O383" s="67">
        <v>2.2149387980228686E-2</v>
      </c>
      <c r="P383" s="67">
        <v>2.2149387980228686E-2</v>
      </c>
      <c r="Q383" s="67">
        <v>2.2149387980228686E-2</v>
      </c>
      <c r="R383" s="67">
        <v>2.2149387980228686E-2</v>
      </c>
      <c r="S383" s="67">
        <v>2.2149387980228686E-2</v>
      </c>
      <c r="T383" s="67">
        <v>2.2149387980228686E-2</v>
      </c>
      <c r="U383" s="67">
        <v>2.2149387980228686E-2</v>
      </c>
      <c r="V383" s="67">
        <v>2.2149387980228686E-2</v>
      </c>
      <c r="W383" s="67">
        <v>2.2149387980228686E-2</v>
      </c>
      <c r="X383" s="67">
        <v>2.2149387980228686E-2</v>
      </c>
      <c r="Y383" s="67">
        <v>2.2149387980228686E-2</v>
      </c>
      <c r="Z383" s="61" t="s">
        <v>216</v>
      </c>
      <c r="AA383" s="68">
        <v>0.20409982687282938</v>
      </c>
      <c r="AB383" s="69">
        <v>1.3778681737591908E-4</v>
      </c>
    </row>
    <row r="384" spans="2:28" x14ac:dyDescent="0.3">
      <c r="B384" s="61" t="s">
        <v>227</v>
      </c>
      <c r="C384" s="61" t="s">
        <v>185</v>
      </c>
      <c r="D384" s="61" t="s">
        <v>122</v>
      </c>
      <c r="E384" s="61" t="s">
        <v>195</v>
      </c>
      <c r="F384" s="61" t="s">
        <v>93</v>
      </c>
      <c r="G384" s="62">
        <v>0.11</v>
      </c>
      <c r="H384" s="61">
        <v>5</v>
      </c>
      <c r="I384" s="61" t="s">
        <v>214</v>
      </c>
      <c r="J384" s="61" t="s">
        <v>215</v>
      </c>
      <c r="K384" s="67">
        <v>0</v>
      </c>
      <c r="L384" s="67">
        <v>0</v>
      </c>
      <c r="M384" s="67">
        <v>0</v>
      </c>
      <c r="N384" s="67">
        <v>0</v>
      </c>
      <c r="O384" s="67">
        <v>0</v>
      </c>
      <c r="P384" s="67">
        <v>0</v>
      </c>
      <c r="Q384" s="67">
        <v>0</v>
      </c>
      <c r="R384" s="67">
        <v>0</v>
      </c>
      <c r="S384" s="67">
        <v>0</v>
      </c>
      <c r="T384" s="67">
        <v>0</v>
      </c>
      <c r="U384" s="67">
        <v>0</v>
      </c>
      <c r="V384" s="67">
        <v>0</v>
      </c>
      <c r="W384" s="67">
        <v>0</v>
      </c>
      <c r="X384" s="67">
        <v>0</v>
      </c>
      <c r="Y384" s="67">
        <v>0</v>
      </c>
      <c r="Z384" s="61" t="s">
        <v>216</v>
      </c>
      <c r="AA384" s="68">
        <v>0.20409982687282938</v>
      </c>
      <c r="AB384" s="69">
        <v>1.3778681737591908E-4</v>
      </c>
    </row>
    <row r="385" spans="2:28" x14ac:dyDescent="0.3">
      <c r="B385" s="61" t="s">
        <v>227</v>
      </c>
      <c r="C385" s="61" t="s">
        <v>185</v>
      </c>
      <c r="D385" s="61" t="s">
        <v>122</v>
      </c>
      <c r="E385" s="61" t="s">
        <v>196</v>
      </c>
      <c r="F385" s="61" t="s">
        <v>93</v>
      </c>
      <c r="G385" s="62">
        <v>0.01</v>
      </c>
      <c r="H385" s="61">
        <v>5</v>
      </c>
      <c r="I385" s="61" t="s">
        <v>214</v>
      </c>
      <c r="J385" s="61" t="s">
        <v>215</v>
      </c>
      <c r="K385" s="67">
        <v>2.5900291606647221E-2</v>
      </c>
      <c r="L385" s="67">
        <v>2.5900291606647221E-2</v>
      </c>
      <c r="M385" s="67">
        <v>2.5900291606647221E-2</v>
      </c>
      <c r="N385" s="67">
        <v>2.5900291606647221E-2</v>
      </c>
      <c r="O385" s="67">
        <v>2.5900291606647221E-2</v>
      </c>
      <c r="P385" s="67">
        <v>2.5900291606647221E-2</v>
      </c>
      <c r="Q385" s="67">
        <v>2.5900291606647221E-2</v>
      </c>
      <c r="R385" s="67">
        <v>2.5900291606647221E-2</v>
      </c>
      <c r="S385" s="67">
        <v>2.5900291606647221E-2</v>
      </c>
      <c r="T385" s="67">
        <v>2.5900291606647221E-2</v>
      </c>
      <c r="U385" s="67">
        <v>2.5900291606647221E-2</v>
      </c>
      <c r="V385" s="67">
        <v>2.5900291606647221E-2</v>
      </c>
      <c r="W385" s="67">
        <v>2.5900291606647221E-2</v>
      </c>
      <c r="X385" s="67">
        <v>2.5900291606647221E-2</v>
      </c>
      <c r="Y385" s="67">
        <v>2.5900291606647221E-2</v>
      </c>
      <c r="Z385" s="61" t="s">
        <v>216</v>
      </c>
      <c r="AA385" s="68">
        <v>0.20409982687282938</v>
      </c>
      <c r="AB385" s="69">
        <v>1.3778681737591908E-4</v>
      </c>
    </row>
    <row r="386" spans="2:28" x14ac:dyDescent="0.3">
      <c r="B386" s="61" t="s">
        <v>227</v>
      </c>
      <c r="C386" s="61" t="s">
        <v>185</v>
      </c>
      <c r="D386" s="61" t="s">
        <v>122</v>
      </c>
      <c r="E386" s="61" t="s">
        <v>197</v>
      </c>
      <c r="F386" s="61" t="s">
        <v>93</v>
      </c>
      <c r="G386" s="62">
        <v>0.24</v>
      </c>
      <c r="H386" s="61">
        <v>5</v>
      </c>
      <c r="I386" s="61" t="s">
        <v>214</v>
      </c>
      <c r="J386" s="61" t="s">
        <v>215</v>
      </c>
      <c r="K386" s="67">
        <v>3.0987277888760385E-2</v>
      </c>
      <c r="L386" s="67">
        <v>3.0987277888760385E-2</v>
      </c>
      <c r="M386" s="67">
        <v>3.0987277888760385E-2</v>
      </c>
      <c r="N386" s="67">
        <v>3.0987277888760385E-2</v>
      </c>
      <c r="O386" s="67">
        <v>3.0987277888760385E-2</v>
      </c>
      <c r="P386" s="67">
        <v>3.0987277888760385E-2</v>
      </c>
      <c r="Q386" s="67">
        <v>3.0987277888760385E-2</v>
      </c>
      <c r="R386" s="67">
        <v>3.0987277888760385E-2</v>
      </c>
      <c r="S386" s="67">
        <v>3.0987277888760385E-2</v>
      </c>
      <c r="T386" s="67">
        <v>3.0987277888760385E-2</v>
      </c>
      <c r="U386" s="67">
        <v>3.0987277888760385E-2</v>
      </c>
      <c r="V386" s="67">
        <v>3.0987277888760385E-2</v>
      </c>
      <c r="W386" s="67">
        <v>3.0987277888760385E-2</v>
      </c>
      <c r="X386" s="67">
        <v>3.0987277888760385E-2</v>
      </c>
      <c r="Y386" s="67">
        <v>3.0987277888760385E-2</v>
      </c>
      <c r="Z386" s="61" t="s">
        <v>216</v>
      </c>
      <c r="AA386" s="68">
        <v>0.20409982687282938</v>
      </c>
      <c r="AB386" s="69">
        <v>1.3778681737591908E-4</v>
      </c>
    </row>
    <row r="387" spans="2:28" x14ac:dyDescent="0.3">
      <c r="B387" s="61" t="s">
        <v>227</v>
      </c>
      <c r="C387" s="61" t="s">
        <v>185</v>
      </c>
      <c r="D387" s="61" t="s">
        <v>122</v>
      </c>
      <c r="E387" s="61" t="s">
        <v>198</v>
      </c>
      <c r="F387" s="61" t="s">
        <v>93</v>
      </c>
      <c r="G387" s="62">
        <v>0.59</v>
      </c>
      <c r="H387" s="61">
        <v>5</v>
      </c>
      <c r="I387" s="61" t="s">
        <v>214</v>
      </c>
      <c r="J387" s="61" t="s">
        <v>215</v>
      </c>
      <c r="K387" s="67">
        <v>3.2689266313690429E-2</v>
      </c>
      <c r="L387" s="67">
        <v>3.2689266313690429E-2</v>
      </c>
      <c r="M387" s="67">
        <v>3.2689266313690429E-2</v>
      </c>
      <c r="N387" s="67">
        <v>3.2689266313690429E-2</v>
      </c>
      <c r="O387" s="67">
        <v>3.2689266313690429E-2</v>
      </c>
      <c r="P387" s="67">
        <v>3.2689266313690429E-2</v>
      </c>
      <c r="Q387" s="67">
        <v>3.2689266313690429E-2</v>
      </c>
      <c r="R387" s="67">
        <v>3.2689266313690429E-2</v>
      </c>
      <c r="S387" s="67">
        <v>3.2689266313690429E-2</v>
      </c>
      <c r="T387" s="67">
        <v>3.2689266313690429E-2</v>
      </c>
      <c r="U387" s="67">
        <v>3.2689266313690429E-2</v>
      </c>
      <c r="V387" s="67">
        <v>3.2689266313690429E-2</v>
      </c>
      <c r="W387" s="67">
        <v>3.2689266313690429E-2</v>
      </c>
      <c r="X387" s="67">
        <v>3.2689266313690429E-2</v>
      </c>
      <c r="Y387" s="67">
        <v>3.2689266313690429E-2</v>
      </c>
      <c r="Z387" s="61" t="s">
        <v>216</v>
      </c>
      <c r="AA387" s="68">
        <v>0.20409982687282938</v>
      </c>
      <c r="AB387" s="69">
        <v>1.3778681737591908E-4</v>
      </c>
    </row>
    <row r="388" spans="2:28" x14ac:dyDescent="0.3">
      <c r="B388" s="61" t="s">
        <v>227</v>
      </c>
      <c r="C388" s="61" t="s">
        <v>185</v>
      </c>
      <c r="D388" s="61" t="s">
        <v>122</v>
      </c>
      <c r="E388" s="61" t="s">
        <v>199</v>
      </c>
      <c r="F388" s="61" t="s">
        <v>93</v>
      </c>
      <c r="G388" s="62">
        <v>0.11</v>
      </c>
      <c r="H388" s="61">
        <v>5</v>
      </c>
      <c r="I388" s="61" t="s">
        <v>214</v>
      </c>
      <c r="J388" s="61" t="s">
        <v>215</v>
      </c>
      <c r="K388" s="67">
        <v>0</v>
      </c>
      <c r="L388" s="67">
        <v>0</v>
      </c>
      <c r="M388" s="67">
        <v>0</v>
      </c>
      <c r="N388" s="67">
        <v>0</v>
      </c>
      <c r="O388" s="67">
        <v>0</v>
      </c>
      <c r="P388" s="67">
        <v>0</v>
      </c>
      <c r="Q388" s="67">
        <v>0</v>
      </c>
      <c r="R388" s="67">
        <v>0</v>
      </c>
      <c r="S388" s="67">
        <v>0</v>
      </c>
      <c r="T388" s="67">
        <v>0</v>
      </c>
      <c r="U388" s="67">
        <v>0</v>
      </c>
      <c r="V388" s="67">
        <v>0</v>
      </c>
      <c r="W388" s="67">
        <v>0</v>
      </c>
      <c r="X388" s="67">
        <v>0</v>
      </c>
      <c r="Y388" s="67">
        <v>0</v>
      </c>
      <c r="Z388" s="61" t="s">
        <v>216</v>
      </c>
      <c r="AA388" s="68">
        <v>0.20409982687282938</v>
      </c>
      <c r="AB388" s="69">
        <v>1.3778681737591908E-4</v>
      </c>
    </row>
    <row r="389" spans="2:28" x14ac:dyDescent="0.3">
      <c r="B389" s="61" t="s">
        <v>227</v>
      </c>
      <c r="C389" s="61" t="s">
        <v>185</v>
      </c>
      <c r="D389" s="61" t="s">
        <v>200</v>
      </c>
      <c r="E389" s="61" t="s">
        <v>186</v>
      </c>
      <c r="F389" s="61" t="s">
        <v>94</v>
      </c>
      <c r="G389" s="62">
        <v>0.8</v>
      </c>
      <c r="H389" s="61">
        <v>5</v>
      </c>
      <c r="I389" s="61" t="s">
        <v>218</v>
      </c>
      <c r="J389" s="61" t="s">
        <v>215</v>
      </c>
      <c r="K389" s="67">
        <v>3.1100478468899524E-2</v>
      </c>
      <c r="L389" s="67">
        <v>3.1100478468899524E-2</v>
      </c>
      <c r="M389" s="67">
        <v>3.1100478468899524E-2</v>
      </c>
      <c r="N389" s="67">
        <v>3.1100478468899524E-2</v>
      </c>
      <c r="O389" s="67">
        <v>3.1100478468899524E-2</v>
      </c>
      <c r="P389" s="67">
        <v>3.1100478468899524E-2</v>
      </c>
      <c r="Q389" s="67">
        <v>3.1100478468899524E-2</v>
      </c>
      <c r="R389" s="67">
        <v>3.1100478468899524E-2</v>
      </c>
      <c r="S389" s="67">
        <v>3.1100478468899524E-2</v>
      </c>
      <c r="T389" s="67">
        <v>3.1100478468899524E-2</v>
      </c>
      <c r="U389" s="67">
        <v>3.1100478468899524E-2</v>
      </c>
      <c r="V389" s="67">
        <v>3.1100478468899524E-2</v>
      </c>
      <c r="W389" s="67">
        <v>3.1100478468899524E-2</v>
      </c>
      <c r="X389" s="67">
        <v>3.1100478468899524E-2</v>
      </c>
      <c r="Y389" s="67">
        <v>3.1100478468899524E-2</v>
      </c>
      <c r="Z389" s="61" t="s">
        <v>216</v>
      </c>
      <c r="AA389" s="68">
        <v>0.18043241023632867</v>
      </c>
      <c r="AB389" s="69">
        <v>0</v>
      </c>
    </row>
    <row r="390" spans="2:28" x14ac:dyDescent="0.3">
      <c r="B390" s="61" t="s">
        <v>227</v>
      </c>
      <c r="C390" s="61" t="s">
        <v>185</v>
      </c>
      <c r="D390" s="61" t="s">
        <v>200</v>
      </c>
      <c r="E390" s="61" t="s">
        <v>189</v>
      </c>
      <c r="F390" s="61" t="s">
        <v>94</v>
      </c>
      <c r="G390" s="62">
        <v>0.32</v>
      </c>
      <c r="H390" s="61">
        <v>5</v>
      </c>
      <c r="I390" s="61" t="s">
        <v>218</v>
      </c>
      <c r="J390" s="61" t="s">
        <v>215</v>
      </c>
      <c r="K390" s="67">
        <v>3.333333333333334E-2</v>
      </c>
      <c r="L390" s="67">
        <v>3.333333333333334E-2</v>
      </c>
      <c r="M390" s="67">
        <v>3.333333333333334E-2</v>
      </c>
      <c r="N390" s="67">
        <v>3.333333333333334E-2</v>
      </c>
      <c r="O390" s="67">
        <v>3.333333333333334E-2</v>
      </c>
      <c r="P390" s="67">
        <v>3.333333333333334E-2</v>
      </c>
      <c r="Q390" s="67">
        <v>3.333333333333334E-2</v>
      </c>
      <c r="R390" s="67">
        <v>3.333333333333334E-2</v>
      </c>
      <c r="S390" s="67">
        <v>3.333333333333334E-2</v>
      </c>
      <c r="T390" s="67">
        <v>3.333333333333334E-2</v>
      </c>
      <c r="U390" s="67">
        <v>3.333333333333334E-2</v>
      </c>
      <c r="V390" s="67">
        <v>3.333333333333334E-2</v>
      </c>
      <c r="W390" s="67">
        <v>3.333333333333334E-2</v>
      </c>
      <c r="X390" s="67">
        <v>3.333333333333334E-2</v>
      </c>
      <c r="Y390" s="67">
        <v>3.333333333333334E-2</v>
      </c>
      <c r="Z390" s="61" t="s">
        <v>216</v>
      </c>
      <c r="AA390" s="68">
        <v>0.18043241023632867</v>
      </c>
      <c r="AB390" s="69">
        <v>0</v>
      </c>
    </row>
    <row r="391" spans="2:28" x14ac:dyDescent="0.3">
      <c r="B391" s="61" t="s">
        <v>227</v>
      </c>
      <c r="C391" s="61" t="s">
        <v>185</v>
      </c>
      <c r="D391" s="61" t="s">
        <v>200</v>
      </c>
      <c r="E391" s="61" t="s">
        <v>190</v>
      </c>
      <c r="F391" s="61" t="s">
        <v>94</v>
      </c>
      <c r="G391" s="62">
        <v>0.56000000000000005</v>
      </c>
      <c r="H391" s="61">
        <v>5</v>
      </c>
      <c r="I391" s="61" t="s">
        <v>218</v>
      </c>
      <c r="J391" s="61" t="s">
        <v>215</v>
      </c>
      <c r="K391" s="67">
        <v>1.2206572769953053E-2</v>
      </c>
      <c r="L391" s="67">
        <v>1.2206572769953053E-2</v>
      </c>
      <c r="M391" s="67">
        <v>1.2206572769953053E-2</v>
      </c>
      <c r="N391" s="67">
        <v>1.2206572769953053E-2</v>
      </c>
      <c r="O391" s="67">
        <v>1.2206572769953053E-2</v>
      </c>
      <c r="P391" s="67">
        <v>1.2206572769953053E-2</v>
      </c>
      <c r="Q391" s="67">
        <v>1.2206572769953053E-2</v>
      </c>
      <c r="R391" s="67">
        <v>1.2206572769953053E-2</v>
      </c>
      <c r="S391" s="67">
        <v>1.2206572769953053E-2</v>
      </c>
      <c r="T391" s="67">
        <v>1.2206572769953053E-2</v>
      </c>
      <c r="U391" s="67">
        <v>1.2206572769953053E-2</v>
      </c>
      <c r="V391" s="67">
        <v>1.2206572769953053E-2</v>
      </c>
      <c r="W391" s="67">
        <v>1.2206572769953053E-2</v>
      </c>
      <c r="X391" s="67">
        <v>1.2206572769953053E-2</v>
      </c>
      <c r="Y391" s="67">
        <v>1.2206572769953053E-2</v>
      </c>
      <c r="Z391" s="61" t="s">
        <v>216</v>
      </c>
      <c r="AA391" s="68">
        <v>0.18043241023632867</v>
      </c>
      <c r="AB391" s="69">
        <v>0</v>
      </c>
    </row>
    <row r="392" spans="2:28" x14ac:dyDescent="0.3">
      <c r="B392" s="61" t="s">
        <v>227</v>
      </c>
      <c r="C392" s="61" t="s">
        <v>185</v>
      </c>
      <c r="D392" s="61" t="s">
        <v>200</v>
      </c>
      <c r="E392" s="61" t="s">
        <v>191</v>
      </c>
      <c r="F392" s="61" t="s">
        <v>94</v>
      </c>
      <c r="G392" s="62">
        <v>0.25</v>
      </c>
      <c r="H392" s="61">
        <v>5</v>
      </c>
      <c r="I392" s="61" t="s">
        <v>218</v>
      </c>
      <c r="J392" s="61" t="s">
        <v>215</v>
      </c>
      <c r="K392" s="67">
        <v>7.6555023923444987E-3</v>
      </c>
      <c r="L392" s="67">
        <v>7.6555023923444987E-3</v>
      </c>
      <c r="M392" s="67">
        <v>7.6555023923444987E-3</v>
      </c>
      <c r="N392" s="67">
        <v>7.6555023923444987E-3</v>
      </c>
      <c r="O392" s="67">
        <v>7.6555023923444987E-3</v>
      </c>
      <c r="P392" s="67">
        <v>7.6555023923444987E-3</v>
      </c>
      <c r="Q392" s="67">
        <v>7.6555023923444987E-3</v>
      </c>
      <c r="R392" s="67">
        <v>7.6555023923444987E-3</v>
      </c>
      <c r="S392" s="67">
        <v>7.6555023923444987E-3</v>
      </c>
      <c r="T392" s="67">
        <v>7.6555023923444987E-3</v>
      </c>
      <c r="U392" s="67">
        <v>7.6555023923444987E-3</v>
      </c>
      <c r="V392" s="67">
        <v>7.6555023923444987E-3</v>
      </c>
      <c r="W392" s="67">
        <v>7.6555023923444987E-3</v>
      </c>
      <c r="X392" s="67">
        <v>7.6555023923444987E-3</v>
      </c>
      <c r="Y392" s="67">
        <v>7.6555023923444987E-3</v>
      </c>
      <c r="Z392" s="61" t="s">
        <v>216</v>
      </c>
      <c r="AA392" s="68">
        <v>0.18043241023632867</v>
      </c>
      <c r="AB392" s="69">
        <v>0</v>
      </c>
    </row>
    <row r="393" spans="2:28" x14ac:dyDescent="0.3">
      <c r="B393" s="61" t="s">
        <v>227</v>
      </c>
      <c r="C393" s="61" t="s">
        <v>185</v>
      </c>
      <c r="D393" s="61" t="s">
        <v>200</v>
      </c>
      <c r="E393" s="61" t="s">
        <v>192</v>
      </c>
      <c r="F393" s="61" t="s">
        <v>94</v>
      </c>
      <c r="G393" s="62">
        <v>0.5</v>
      </c>
      <c r="H393" s="61">
        <v>5</v>
      </c>
      <c r="I393" s="61" t="s">
        <v>218</v>
      </c>
      <c r="J393" s="61" t="s">
        <v>215</v>
      </c>
      <c r="K393" s="67">
        <v>3.6063218390804605E-2</v>
      </c>
      <c r="L393" s="67">
        <v>3.6063218390804605E-2</v>
      </c>
      <c r="M393" s="67">
        <v>3.6063218390804605E-2</v>
      </c>
      <c r="N393" s="67">
        <v>3.6063218390804605E-2</v>
      </c>
      <c r="O393" s="67">
        <v>3.6063218390804605E-2</v>
      </c>
      <c r="P393" s="67">
        <v>3.6063218390804605E-2</v>
      </c>
      <c r="Q393" s="67">
        <v>3.6063218390804605E-2</v>
      </c>
      <c r="R393" s="67">
        <v>3.6063218390804605E-2</v>
      </c>
      <c r="S393" s="67">
        <v>3.6063218390804605E-2</v>
      </c>
      <c r="T393" s="67">
        <v>3.6063218390804605E-2</v>
      </c>
      <c r="U393" s="67">
        <v>3.6063218390804605E-2</v>
      </c>
      <c r="V393" s="67">
        <v>3.6063218390804605E-2</v>
      </c>
      <c r="W393" s="67">
        <v>3.6063218390804605E-2</v>
      </c>
      <c r="X393" s="67">
        <v>3.6063218390804605E-2</v>
      </c>
      <c r="Y393" s="67">
        <v>3.6063218390804605E-2</v>
      </c>
      <c r="Z393" s="61" t="s">
        <v>216</v>
      </c>
      <c r="AA393" s="68">
        <v>0.18043241023632867</v>
      </c>
      <c r="AB393" s="69">
        <v>0</v>
      </c>
    </row>
    <row r="394" spans="2:28" x14ac:dyDescent="0.3">
      <c r="B394" s="61" t="s">
        <v>227</v>
      </c>
      <c r="C394" s="61" t="s">
        <v>185</v>
      </c>
      <c r="D394" s="61" t="s">
        <v>200</v>
      </c>
      <c r="E394" s="61" t="s">
        <v>193</v>
      </c>
      <c r="F394" s="61" t="s">
        <v>94</v>
      </c>
      <c r="G394" s="62">
        <v>0.5</v>
      </c>
      <c r="H394" s="61">
        <v>5</v>
      </c>
      <c r="I394" s="61" t="s">
        <v>218</v>
      </c>
      <c r="J394" s="61" t="s">
        <v>215</v>
      </c>
      <c r="K394" s="67">
        <v>3.333333333333334E-2</v>
      </c>
      <c r="L394" s="67">
        <v>3.333333333333334E-2</v>
      </c>
      <c r="M394" s="67">
        <v>3.333333333333334E-2</v>
      </c>
      <c r="N394" s="67">
        <v>3.333333333333334E-2</v>
      </c>
      <c r="O394" s="67">
        <v>3.333333333333334E-2</v>
      </c>
      <c r="P394" s="67">
        <v>3.333333333333334E-2</v>
      </c>
      <c r="Q394" s="67">
        <v>3.333333333333334E-2</v>
      </c>
      <c r="R394" s="67">
        <v>3.333333333333334E-2</v>
      </c>
      <c r="S394" s="67">
        <v>3.333333333333334E-2</v>
      </c>
      <c r="T394" s="67">
        <v>3.333333333333334E-2</v>
      </c>
      <c r="U394" s="67">
        <v>3.333333333333334E-2</v>
      </c>
      <c r="V394" s="67">
        <v>3.333333333333334E-2</v>
      </c>
      <c r="W394" s="67">
        <v>3.333333333333334E-2</v>
      </c>
      <c r="X394" s="67">
        <v>3.333333333333334E-2</v>
      </c>
      <c r="Y394" s="67">
        <v>3.333333333333334E-2</v>
      </c>
      <c r="Z394" s="61" t="s">
        <v>216</v>
      </c>
      <c r="AA394" s="68">
        <v>0.18043241023632867</v>
      </c>
      <c r="AB394" s="69">
        <v>0</v>
      </c>
    </row>
    <row r="395" spans="2:28" x14ac:dyDescent="0.3">
      <c r="B395" s="61" t="s">
        <v>227</v>
      </c>
      <c r="C395" s="61" t="s">
        <v>185</v>
      </c>
      <c r="D395" s="61" t="s">
        <v>200</v>
      </c>
      <c r="E395" s="61" t="s">
        <v>194</v>
      </c>
      <c r="F395" s="61" t="s">
        <v>94</v>
      </c>
      <c r="G395" s="62">
        <v>0.35</v>
      </c>
      <c r="H395" s="61">
        <v>5</v>
      </c>
      <c r="I395" s="61" t="s">
        <v>218</v>
      </c>
      <c r="J395" s="61" t="s">
        <v>215</v>
      </c>
      <c r="K395" s="67">
        <v>2.6666666666666672E-2</v>
      </c>
      <c r="L395" s="67">
        <v>2.6666666666666672E-2</v>
      </c>
      <c r="M395" s="67">
        <v>2.6666666666666672E-2</v>
      </c>
      <c r="N395" s="67">
        <v>2.6666666666666672E-2</v>
      </c>
      <c r="O395" s="67">
        <v>2.6666666666666672E-2</v>
      </c>
      <c r="P395" s="67">
        <v>2.6666666666666672E-2</v>
      </c>
      <c r="Q395" s="67">
        <v>2.6666666666666672E-2</v>
      </c>
      <c r="R395" s="67">
        <v>2.6666666666666672E-2</v>
      </c>
      <c r="S395" s="67">
        <v>2.6666666666666672E-2</v>
      </c>
      <c r="T395" s="67">
        <v>2.6666666666666672E-2</v>
      </c>
      <c r="U395" s="67">
        <v>2.6666666666666672E-2</v>
      </c>
      <c r="V395" s="67">
        <v>2.6666666666666672E-2</v>
      </c>
      <c r="W395" s="67">
        <v>2.6666666666666672E-2</v>
      </c>
      <c r="X395" s="67">
        <v>2.6666666666666672E-2</v>
      </c>
      <c r="Y395" s="67">
        <v>2.6666666666666672E-2</v>
      </c>
      <c r="Z395" s="61" t="s">
        <v>216</v>
      </c>
      <c r="AA395" s="68">
        <v>0.18043241023632867</v>
      </c>
      <c r="AB395" s="69">
        <v>0</v>
      </c>
    </row>
    <row r="396" spans="2:28" x14ac:dyDescent="0.3">
      <c r="B396" s="61" t="s">
        <v>227</v>
      </c>
      <c r="C396" s="61" t="s">
        <v>185</v>
      </c>
      <c r="D396" s="61" t="s">
        <v>200</v>
      </c>
      <c r="E396" s="61" t="s">
        <v>195</v>
      </c>
      <c r="F396" s="61" t="s">
        <v>94</v>
      </c>
      <c r="G396" s="62">
        <v>0.11</v>
      </c>
      <c r="H396" s="61">
        <v>5</v>
      </c>
      <c r="I396" s="61" t="s">
        <v>218</v>
      </c>
      <c r="J396" s="61" t="s">
        <v>215</v>
      </c>
      <c r="K396" s="67">
        <v>0</v>
      </c>
      <c r="L396" s="67">
        <v>0</v>
      </c>
      <c r="M396" s="67">
        <v>0</v>
      </c>
      <c r="N396" s="67">
        <v>0</v>
      </c>
      <c r="O396" s="67">
        <v>0</v>
      </c>
      <c r="P396" s="67">
        <v>0</v>
      </c>
      <c r="Q396" s="67">
        <v>0</v>
      </c>
      <c r="R396" s="67">
        <v>0</v>
      </c>
      <c r="S396" s="67">
        <v>0</v>
      </c>
      <c r="T396" s="67">
        <v>0</v>
      </c>
      <c r="U396" s="67">
        <v>0</v>
      </c>
      <c r="V396" s="67">
        <v>0</v>
      </c>
      <c r="W396" s="67">
        <v>0</v>
      </c>
      <c r="X396" s="67">
        <v>0</v>
      </c>
      <c r="Y396" s="67">
        <v>0</v>
      </c>
      <c r="Z396" s="61" t="s">
        <v>216</v>
      </c>
      <c r="AA396" s="68">
        <v>0.18043241023632867</v>
      </c>
      <c r="AB396" s="69">
        <v>0</v>
      </c>
    </row>
    <row r="397" spans="2:28" x14ac:dyDescent="0.3">
      <c r="B397" s="61" t="s">
        <v>227</v>
      </c>
      <c r="C397" s="61" t="s">
        <v>185</v>
      </c>
      <c r="D397" s="61" t="s">
        <v>200</v>
      </c>
      <c r="E397" s="61" t="s">
        <v>196</v>
      </c>
      <c r="F397" s="61" t="s">
        <v>94</v>
      </c>
      <c r="G397" s="62">
        <v>0.01</v>
      </c>
      <c r="H397" s="61">
        <v>5</v>
      </c>
      <c r="I397" s="61" t="s">
        <v>218</v>
      </c>
      <c r="J397" s="61" t="s">
        <v>215</v>
      </c>
      <c r="K397" s="67">
        <v>1.8115942028985507E-3</v>
      </c>
      <c r="L397" s="67">
        <v>1.8115942028985507E-3</v>
      </c>
      <c r="M397" s="67">
        <v>1.8115942028985507E-3</v>
      </c>
      <c r="N397" s="67">
        <v>1.8115942028985507E-3</v>
      </c>
      <c r="O397" s="67">
        <v>1.8115942028985507E-3</v>
      </c>
      <c r="P397" s="67">
        <v>1.8115942028985507E-3</v>
      </c>
      <c r="Q397" s="67">
        <v>1.8115942028985507E-3</v>
      </c>
      <c r="R397" s="67">
        <v>1.8115942028985507E-3</v>
      </c>
      <c r="S397" s="67">
        <v>1.8115942028985507E-3</v>
      </c>
      <c r="T397" s="67">
        <v>1.8115942028985507E-3</v>
      </c>
      <c r="U397" s="67">
        <v>1.8115942028985507E-3</v>
      </c>
      <c r="V397" s="67">
        <v>1.8115942028985507E-3</v>
      </c>
      <c r="W397" s="67">
        <v>1.8115942028985507E-3</v>
      </c>
      <c r="X397" s="67">
        <v>1.8115942028985507E-3</v>
      </c>
      <c r="Y397" s="67">
        <v>1.8115942028985507E-3</v>
      </c>
      <c r="Z397" s="61" t="s">
        <v>216</v>
      </c>
      <c r="AA397" s="68">
        <v>0.18043241023632867</v>
      </c>
      <c r="AB397" s="69">
        <v>0</v>
      </c>
    </row>
    <row r="398" spans="2:28" x14ac:dyDescent="0.3">
      <c r="B398" s="61" t="s">
        <v>227</v>
      </c>
      <c r="C398" s="61" t="s">
        <v>185</v>
      </c>
      <c r="D398" s="61" t="s">
        <v>200</v>
      </c>
      <c r="E398" s="61" t="s">
        <v>197</v>
      </c>
      <c r="F398" s="61" t="s">
        <v>94</v>
      </c>
      <c r="G398" s="62">
        <v>0.24</v>
      </c>
      <c r="H398" s="61">
        <v>5</v>
      </c>
      <c r="I398" s="61" t="s">
        <v>218</v>
      </c>
      <c r="J398" s="61" t="s">
        <v>215</v>
      </c>
      <c r="K398" s="67">
        <v>3.333333333333334E-2</v>
      </c>
      <c r="L398" s="67">
        <v>3.333333333333334E-2</v>
      </c>
      <c r="M398" s="67">
        <v>3.333333333333334E-2</v>
      </c>
      <c r="N398" s="67">
        <v>3.333333333333334E-2</v>
      </c>
      <c r="O398" s="67">
        <v>3.333333333333334E-2</v>
      </c>
      <c r="P398" s="67">
        <v>3.333333333333334E-2</v>
      </c>
      <c r="Q398" s="67">
        <v>3.333333333333334E-2</v>
      </c>
      <c r="R398" s="67">
        <v>3.333333333333334E-2</v>
      </c>
      <c r="S398" s="67">
        <v>3.333333333333334E-2</v>
      </c>
      <c r="T398" s="67">
        <v>3.333333333333334E-2</v>
      </c>
      <c r="U398" s="67">
        <v>3.333333333333334E-2</v>
      </c>
      <c r="V398" s="67">
        <v>3.333333333333334E-2</v>
      </c>
      <c r="W398" s="67">
        <v>3.333333333333334E-2</v>
      </c>
      <c r="X398" s="67">
        <v>3.333333333333334E-2</v>
      </c>
      <c r="Y398" s="67">
        <v>3.333333333333334E-2</v>
      </c>
      <c r="Z398" s="61" t="s">
        <v>216</v>
      </c>
      <c r="AA398" s="68">
        <v>0.18043241023632867</v>
      </c>
      <c r="AB398" s="69">
        <v>0</v>
      </c>
    </row>
    <row r="399" spans="2:28" x14ac:dyDescent="0.3">
      <c r="B399" s="61" t="s">
        <v>227</v>
      </c>
      <c r="C399" s="61" t="s">
        <v>185</v>
      </c>
      <c r="D399" s="61" t="s">
        <v>200</v>
      </c>
      <c r="E399" s="61" t="s">
        <v>198</v>
      </c>
      <c r="F399" s="61" t="s">
        <v>94</v>
      </c>
      <c r="G399" s="62">
        <v>0.59</v>
      </c>
      <c r="H399" s="61">
        <v>5</v>
      </c>
      <c r="I399" s="61" t="s">
        <v>218</v>
      </c>
      <c r="J399" s="61" t="s">
        <v>215</v>
      </c>
      <c r="K399" s="67">
        <v>6.3157894736842107E-2</v>
      </c>
      <c r="L399" s="67">
        <v>6.3157894736842107E-2</v>
      </c>
      <c r="M399" s="67">
        <v>6.3157894736842107E-2</v>
      </c>
      <c r="N399" s="67">
        <v>6.3157894736842107E-2</v>
      </c>
      <c r="O399" s="67">
        <v>6.3157894736842107E-2</v>
      </c>
      <c r="P399" s="67">
        <v>6.3157894736842107E-2</v>
      </c>
      <c r="Q399" s="67">
        <v>6.3157894736842107E-2</v>
      </c>
      <c r="R399" s="67">
        <v>6.3157894736842107E-2</v>
      </c>
      <c r="S399" s="67">
        <v>6.3157894736842107E-2</v>
      </c>
      <c r="T399" s="67">
        <v>6.3157894736842107E-2</v>
      </c>
      <c r="U399" s="67">
        <v>6.3157894736842107E-2</v>
      </c>
      <c r="V399" s="67">
        <v>6.3157894736842107E-2</v>
      </c>
      <c r="W399" s="67">
        <v>6.3157894736842107E-2</v>
      </c>
      <c r="X399" s="67">
        <v>6.3157894736842107E-2</v>
      </c>
      <c r="Y399" s="67">
        <v>6.3157894736842107E-2</v>
      </c>
      <c r="Z399" s="61" t="s">
        <v>216</v>
      </c>
      <c r="AA399" s="68">
        <v>0.18043241023632867</v>
      </c>
      <c r="AB399" s="69">
        <v>0</v>
      </c>
    </row>
    <row r="400" spans="2:28" x14ac:dyDescent="0.3">
      <c r="B400" s="61" t="s">
        <v>227</v>
      </c>
      <c r="C400" s="61" t="s">
        <v>185</v>
      </c>
      <c r="D400" s="61" t="s">
        <v>200</v>
      </c>
      <c r="E400" s="61" t="s">
        <v>199</v>
      </c>
      <c r="F400" s="61" t="s">
        <v>94</v>
      </c>
      <c r="G400" s="62">
        <v>0.11</v>
      </c>
      <c r="H400" s="61">
        <v>5</v>
      </c>
      <c r="I400" s="61" t="s">
        <v>218</v>
      </c>
      <c r="J400" s="61" t="s">
        <v>215</v>
      </c>
      <c r="K400" s="67">
        <v>0</v>
      </c>
      <c r="L400" s="67">
        <v>0</v>
      </c>
      <c r="M400" s="67">
        <v>0</v>
      </c>
      <c r="N400" s="67">
        <v>0</v>
      </c>
      <c r="O400" s="67">
        <v>0</v>
      </c>
      <c r="P400" s="67">
        <v>0</v>
      </c>
      <c r="Q400" s="67">
        <v>0</v>
      </c>
      <c r="R400" s="67">
        <v>0</v>
      </c>
      <c r="S400" s="67">
        <v>0</v>
      </c>
      <c r="T400" s="67">
        <v>0</v>
      </c>
      <c r="U400" s="67">
        <v>0</v>
      </c>
      <c r="V400" s="67">
        <v>0</v>
      </c>
      <c r="W400" s="67">
        <v>0</v>
      </c>
      <c r="X400" s="67">
        <v>0</v>
      </c>
      <c r="Y400" s="67">
        <v>0</v>
      </c>
      <c r="Z400" s="61" t="s">
        <v>216</v>
      </c>
      <c r="AA400" s="68">
        <v>0.18043241023632867</v>
      </c>
      <c r="AB400" s="69">
        <v>0</v>
      </c>
    </row>
    <row r="401" spans="2:28" x14ac:dyDescent="0.3">
      <c r="B401" s="61" t="s">
        <v>227</v>
      </c>
      <c r="C401" s="61" t="s">
        <v>185</v>
      </c>
      <c r="D401" s="61" t="s">
        <v>123</v>
      </c>
      <c r="E401" s="61" t="s">
        <v>186</v>
      </c>
      <c r="F401" s="61" t="s">
        <v>93</v>
      </c>
      <c r="G401" s="62">
        <v>0.8</v>
      </c>
      <c r="H401" s="61">
        <v>5</v>
      </c>
      <c r="I401" s="61" t="s">
        <v>214</v>
      </c>
      <c r="J401" s="61" t="s">
        <v>215</v>
      </c>
      <c r="K401" s="67">
        <v>1.7464942633400118E-2</v>
      </c>
      <c r="L401" s="67">
        <v>1.7464942633400118E-2</v>
      </c>
      <c r="M401" s="67">
        <v>1.7464942633400118E-2</v>
      </c>
      <c r="N401" s="67">
        <v>1.7464942633400118E-2</v>
      </c>
      <c r="O401" s="67">
        <v>1.7464942633400118E-2</v>
      </c>
      <c r="P401" s="67">
        <v>1.7464942633400118E-2</v>
      </c>
      <c r="Q401" s="67">
        <v>1.7464942633400118E-2</v>
      </c>
      <c r="R401" s="67">
        <v>1.7464942633400118E-2</v>
      </c>
      <c r="S401" s="67">
        <v>1.7464942633400118E-2</v>
      </c>
      <c r="T401" s="67">
        <v>1.7464942633400118E-2</v>
      </c>
      <c r="U401" s="67">
        <v>1.7464942633400118E-2</v>
      </c>
      <c r="V401" s="67">
        <v>1.7464942633400118E-2</v>
      </c>
      <c r="W401" s="67">
        <v>1.7464942633400118E-2</v>
      </c>
      <c r="X401" s="67">
        <v>1.7464942633400118E-2</v>
      </c>
      <c r="Y401" s="67">
        <v>1.7464942633400118E-2</v>
      </c>
      <c r="Z401" s="61" t="s">
        <v>216</v>
      </c>
      <c r="AA401" s="68">
        <v>0.32340440549901867</v>
      </c>
      <c r="AB401" s="69">
        <v>1.3778681737591908E-4</v>
      </c>
    </row>
    <row r="402" spans="2:28" x14ac:dyDescent="0.3">
      <c r="B402" s="61" t="s">
        <v>227</v>
      </c>
      <c r="C402" s="61" t="s">
        <v>185</v>
      </c>
      <c r="D402" s="61" t="s">
        <v>123</v>
      </c>
      <c r="E402" s="61" t="s">
        <v>186</v>
      </c>
      <c r="F402" s="61" t="s">
        <v>94</v>
      </c>
      <c r="G402" s="62">
        <v>0.8</v>
      </c>
      <c r="H402" s="61">
        <v>5</v>
      </c>
      <c r="I402" s="61" t="s">
        <v>218</v>
      </c>
      <c r="J402" s="61" t="s">
        <v>215</v>
      </c>
      <c r="K402" s="67">
        <v>3.1369863013698637E-2</v>
      </c>
      <c r="L402" s="67">
        <v>3.1369863013698637E-2</v>
      </c>
      <c r="M402" s="67">
        <v>3.1369863013698637E-2</v>
      </c>
      <c r="N402" s="67">
        <v>3.1369863013698637E-2</v>
      </c>
      <c r="O402" s="67">
        <v>3.1369863013698637E-2</v>
      </c>
      <c r="P402" s="67">
        <v>3.1369863013698637E-2</v>
      </c>
      <c r="Q402" s="67">
        <v>3.1369863013698637E-2</v>
      </c>
      <c r="R402" s="67">
        <v>3.1369863013698637E-2</v>
      </c>
      <c r="S402" s="67">
        <v>3.1369863013698637E-2</v>
      </c>
      <c r="T402" s="67">
        <v>3.1369863013698637E-2</v>
      </c>
      <c r="U402" s="67">
        <v>3.1369863013698637E-2</v>
      </c>
      <c r="V402" s="67">
        <v>3.1369863013698637E-2</v>
      </c>
      <c r="W402" s="67">
        <v>3.1369863013698637E-2</v>
      </c>
      <c r="X402" s="67">
        <v>3.1369863013698637E-2</v>
      </c>
      <c r="Y402" s="67">
        <v>3.1369863013698637E-2</v>
      </c>
      <c r="Z402" s="61" t="s">
        <v>216</v>
      </c>
      <c r="AA402" s="68">
        <v>0.48910642858115427</v>
      </c>
      <c r="AB402" s="69">
        <v>0</v>
      </c>
    </row>
    <row r="403" spans="2:28" x14ac:dyDescent="0.3">
      <c r="B403" s="61" t="s">
        <v>227</v>
      </c>
      <c r="C403" s="61" t="s">
        <v>185</v>
      </c>
      <c r="D403" s="61" t="s">
        <v>123</v>
      </c>
      <c r="E403" s="61" t="s">
        <v>189</v>
      </c>
      <c r="F403" s="61" t="s">
        <v>93</v>
      </c>
      <c r="G403" s="62">
        <v>0.32</v>
      </c>
      <c r="H403" s="61">
        <v>5</v>
      </c>
      <c r="I403" s="61" t="s">
        <v>214</v>
      </c>
      <c r="J403" s="61" t="s">
        <v>215</v>
      </c>
      <c r="K403" s="67">
        <v>2.6604278074866306E-2</v>
      </c>
      <c r="L403" s="67">
        <v>2.6604278074866306E-2</v>
      </c>
      <c r="M403" s="67">
        <v>2.6604278074866306E-2</v>
      </c>
      <c r="N403" s="67">
        <v>2.6604278074866306E-2</v>
      </c>
      <c r="O403" s="67">
        <v>2.6604278074866306E-2</v>
      </c>
      <c r="P403" s="67">
        <v>2.6604278074866306E-2</v>
      </c>
      <c r="Q403" s="67">
        <v>2.6604278074866306E-2</v>
      </c>
      <c r="R403" s="67">
        <v>2.6604278074866306E-2</v>
      </c>
      <c r="S403" s="67">
        <v>2.6604278074866306E-2</v>
      </c>
      <c r="T403" s="67">
        <v>2.6604278074866306E-2</v>
      </c>
      <c r="U403" s="67">
        <v>2.6604278074866306E-2</v>
      </c>
      <c r="V403" s="67">
        <v>2.6604278074866306E-2</v>
      </c>
      <c r="W403" s="67">
        <v>2.6604278074866306E-2</v>
      </c>
      <c r="X403" s="67">
        <v>2.6604278074866306E-2</v>
      </c>
      <c r="Y403" s="67">
        <v>2.6604278074866306E-2</v>
      </c>
      <c r="Z403" s="61" t="s">
        <v>216</v>
      </c>
      <c r="AA403" s="68">
        <v>0.32340440549901867</v>
      </c>
      <c r="AB403" s="69">
        <v>1.3778681737591908E-4</v>
      </c>
    </row>
    <row r="404" spans="2:28" x14ac:dyDescent="0.3">
      <c r="B404" s="61" t="s">
        <v>227</v>
      </c>
      <c r="C404" s="61" t="s">
        <v>185</v>
      </c>
      <c r="D404" s="61" t="s">
        <v>123</v>
      </c>
      <c r="E404" s="61" t="s">
        <v>189</v>
      </c>
      <c r="F404" s="61" t="s">
        <v>94</v>
      </c>
      <c r="G404" s="62">
        <v>0.32</v>
      </c>
      <c r="H404" s="61">
        <v>5</v>
      </c>
      <c r="I404" s="61" t="s">
        <v>218</v>
      </c>
      <c r="J404" s="61" t="s">
        <v>215</v>
      </c>
      <c r="K404" s="67">
        <v>4.2105263157894736E-2</v>
      </c>
      <c r="L404" s="67">
        <v>4.2105263157894736E-2</v>
      </c>
      <c r="M404" s="67">
        <v>4.2105263157894736E-2</v>
      </c>
      <c r="N404" s="67">
        <v>4.2105263157894736E-2</v>
      </c>
      <c r="O404" s="67">
        <v>4.2105263157894736E-2</v>
      </c>
      <c r="P404" s="67">
        <v>4.2105263157894736E-2</v>
      </c>
      <c r="Q404" s="67">
        <v>4.2105263157894736E-2</v>
      </c>
      <c r="R404" s="67">
        <v>4.2105263157894736E-2</v>
      </c>
      <c r="S404" s="67">
        <v>4.2105263157894736E-2</v>
      </c>
      <c r="T404" s="67">
        <v>4.2105263157894736E-2</v>
      </c>
      <c r="U404" s="67">
        <v>4.2105263157894736E-2</v>
      </c>
      <c r="V404" s="67">
        <v>4.2105263157894736E-2</v>
      </c>
      <c r="W404" s="67">
        <v>4.2105263157894736E-2</v>
      </c>
      <c r="X404" s="67">
        <v>4.2105263157894736E-2</v>
      </c>
      <c r="Y404" s="67">
        <v>4.2105263157894736E-2</v>
      </c>
      <c r="Z404" s="61" t="s">
        <v>216</v>
      </c>
      <c r="AA404" s="68">
        <v>0.48910642858115427</v>
      </c>
      <c r="AB404" s="69">
        <v>0</v>
      </c>
    </row>
    <row r="405" spans="2:28" x14ac:dyDescent="0.3">
      <c r="B405" s="61" t="s">
        <v>227</v>
      </c>
      <c r="C405" s="61" t="s">
        <v>185</v>
      </c>
      <c r="D405" s="61" t="s">
        <v>123</v>
      </c>
      <c r="E405" s="61" t="s">
        <v>190</v>
      </c>
      <c r="F405" s="61" t="s">
        <v>93</v>
      </c>
      <c r="G405" s="62">
        <v>0.56000000000000005</v>
      </c>
      <c r="H405" s="61">
        <v>5</v>
      </c>
      <c r="I405" s="61" t="s">
        <v>214</v>
      </c>
      <c r="J405" s="61" t="s">
        <v>215</v>
      </c>
      <c r="K405" s="67">
        <v>1.9968435292349318E-2</v>
      </c>
      <c r="L405" s="67">
        <v>1.9968435292349318E-2</v>
      </c>
      <c r="M405" s="67">
        <v>1.9968435292349318E-2</v>
      </c>
      <c r="N405" s="67">
        <v>1.9968435292349318E-2</v>
      </c>
      <c r="O405" s="67">
        <v>1.9968435292349318E-2</v>
      </c>
      <c r="P405" s="67">
        <v>1.9968435292349318E-2</v>
      </c>
      <c r="Q405" s="67">
        <v>1.9968435292349318E-2</v>
      </c>
      <c r="R405" s="67">
        <v>1.9968435292349318E-2</v>
      </c>
      <c r="S405" s="67">
        <v>1.9968435292349318E-2</v>
      </c>
      <c r="T405" s="67">
        <v>1.9968435292349318E-2</v>
      </c>
      <c r="U405" s="67">
        <v>1.9968435292349318E-2</v>
      </c>
      <c r="V405" s="67">
        <v>1.9968435292349318E-2</v>
      </c>
      <c r="W405" s="67">
        <v>1.9968435292349318E-2</v>
      </c>
      <c r="X405" s="67">
        <v>1.9968435292349318E-2</v>
      </c>
      <c r="Y405" s="67">
        <v>1.9968435292349318E-2</v>
      </c>
      <c r="Z405" s="61" t="s">
        <v>216</v>
      </c>
      <c r="AA405" s="68">
        <v>0.32340440549901867</v>
      </c>
      <c r="AB405" s="69">
        <v>1.3778681737591908E-4</v>
      </c>
    </row>
    <row r="406" spans="2:28" x14ac:dyDescent="0.3">
      <c r="B406" s="61" t="s">
        <v>227</v>
      </c>
      <c r="C406" s="61" t="s">
        <v>185</v>
      </c>
      <c r="D406" s="61" t="s">
        <v>123</v>
      </c>
      <c r="E406" s="61" t="s">
        <v>190</v>
      </c>
      <c r="F406" s="61" t="s">
        <v>94</v>
      </c>
      <c r="G406" s="62">
        <v>0.56000000000000005</v>
      </c>
      <c r="H406" s="61">
        <v>5</v>
      </c>
      <c r="I406" s="61" t="s">
        <v>218</v>
      </c>
      <c r="J406" s="61" t="s">
        <v>215</v>
      </c>
      <c r="K406" s="67">
        <v>2.3351063829787234E-2</v>
      </c>
      <c r="L406" s="67">
        <v>2.3351063829787234E-2</v>
      </c>
      <c r="M406" s="67">
        <v>2.3351063829787234E-2</v>
      </c>
      <c r="N406" s="67">
        <v>2.3351063829787234E-2</v>
      </c>
      <c r="O406" s="67">
        <v>2.3351063829787234E-2</v>
      </c>
      <c r="P406" s="67">
        <v>2.3351063829787234E-2</v>
      </c>
      <c r="Q406" s="67">
        <v>2.3351063829787234E-2</v>
      </c>
      <c r="R406" s="67">
        <v>2.3351063829787234E-2</v>
      </c>
      <c r="S406" s="67">
        <v>2.3351063829787234E-2</v>
      </c>
      <c r="T406" s="67">
        <v>2.3351063829787234E-2</v>
      </c>
      <c r="U406" s="67">
        <v>2.3351063829787234E-2</v>
      </c>
      <c r="V406" s="67">
        <v>2.3351063829787234E-2</v>
      </c>
      <c r="W406" s="67">
        <v>2.3351063829787234E-2</v>
      </c>
      <c r="X406" s="67">
        <v>2.3351063829787234E-2</v>
      </c>
      <c r="Y406" s="67">
        <v>2.3351063829787234E-2</v>
      </c>
      <c r="Z406" s="61" t="s">
        <v>216</v>
      </c>
      <c r="AA406" s="68">
        <v>0.48910642858115427</v>
      </c>
      <c r="AB406" s="69">
        <v>0</v>
      </c>
    </row>
    <row r="407" spans="2:28" x14ac:dyDescent="0.3">
      <c r="B407" s="61" t="s">
        <v>227</v>
      </c>
      <c r="C407" s="61" t="s">
        <v>185</v>
      </c>
      <c r="D407" s="61" t="s">
        <v>123</v>
      </c>
      <c r="E407" s="61" t="s">
        <v>191</v>
      </c>
      <c r="F407" s="61" t="s">
        <v>93</v>
      </c>
      <c r="G407" s="62">
        <v>0.25</v>
      </c>
      <c r="H407" s="61">
        <v>5</v>
      </c>
      <c r="I407" s="61" t="s">
        <v>214</v>
      </c>
      <c r="J407" s="61" t="s">
        <v>215</v>
      </c>
      <c r="K407" s="67">
        <v>4.148567256798686E-2</v>
      </c>
      <c r="L407" s="67">
        <v>4.148567256798686E-2</v>
      </c>
      <c r="M407" s="67">
        <v>4.148567256798686E-2</v>
      </c>
      <c r="N407" s="67">
        <v>4.148567256798686E-2</v>
      </c>
      <c r="O407" s="67">
        <v>4.148567256798686E-2</v>
      </c>
      <c r="P407" s="67">
        <v>4.148567256798686E-2</v>
      </c>
      <c r="Q407" s="67">
        <v>4.148567256798686E-2</v>
      </c>
      <c r="R407" s="67">
        <v>4.148567256798686E-2</v>
      </c>
      <c r="S407" s="67">
        <v>4.148567256798686E-2</v>
      </c>
      <c r="T407" s="67">
        <v>4.148567256798686E-2</v>
      </c>
      <c r="U407" s="67">
        <v>4.148567256798686E-2</v>
      </c>
      <c r="V407" s="67">
        <v>4.148567256798686E-2</v>
      </c>
      <c r="W407" s="67">
        <v>4.148567256798686E-2</v>
      </c>
      <c r="X407" s="67">
        <v>4.148567256798686E-2</v>
      </c>
      <c r="Y407" s="67">
        <v>4.148567256798686E-2</v>
      </c>
      <c r="Z407" s="61" t="s">
        <v>216</v>
      </c>
      <c r="AA407" s="68">
        <v>0.32340440549901867</v>
      </c>
      <c r="AB407" s="69">
        <v>1.3778681737591908E-4</v>
      </c>
    </row>
    <row r="408" spans="2:28" x14ac:dyDescent="0.3">
      <c r="B408" s="61" t="s">
        <v>227</v>
      </c>
      <c r="C408" s="61" t="s">
        <v>185</v>
      </c>
      <c r="D408" s="61" t="s">
        <v>123</v>
      </c>
      <c r="E408" s="61" t="s">
        <v>191</v>
      </c>
      <c r="F408" s="61" t="s">
        <v>94</v>
      </c>
      <c r="G408" s="62">
        <v>0.25</v>
      </c>
      <c r="H408" s="61">
        <v>5</v>
      </c>
      <c r="I408" s="61" t="s">
        <v>218</v>
      </c>
      <c r="J408" s="61" t="s">
        <v>215</v>
      </c>
      <c r="K408" s="67">
        <v>2.0478325859491775E-2</v>
      </c>
      <c r="L408" s="67">
        <v>2.0478325859491775E-2</v>
      </c>
      <c r="M408" s="67">
        <v>2.0478325859491775E-2</v>
      </c>
      <c r="N408" s="67">
        <v>2.0478325859491775E-2</v>
      </c>
      <c r="O408" s="67">
        <v>2.0478325859491775E-2</v>
      </c>
      <c r="P408" s="67">
        <v>2.0478325859491775E-2</v>
      </c>
      <c r="Q408" s="67">
        <v>2.0478325859491775E-2</v>
      </c>
      <c r="R408" s="67">
        <v>2.0478325859491775E-2</v>
      </c>
      <c r="S408" s="67">
        <v>2.0478325859491775E-2</v>
      </c>
      <c r="T408" s="67">
        <v>2.0478325859491775E-2</v>
      </c>
      <c r="U408" s="67">
        <v>2.0478325859491775E-2</v>
      </c>
      <c r="V408" s="67">
        <v>2.0478325859491775E-2</v>
      </c>
      <c r="W408" s="67">
        <v>2.0478325859491775E-2</v>
      </c>
      <c r="X408" s="67">
        <v>2.0478325859491775E-2</v>
      </c>
      <c r="Y408" s="67">
        <v>2.0478325859491775E-2</v>
      </c>
      <c r="Z408" s="61" t="s">
        <v>216</v>
      </c>
      <c r="AA408" s="68">
        <v>0.48910642858115427</v>
      </c>
      <c r="AB408" s="69">
        <v>0</v>
      </c>
    </row>
    <row r="409" spans="2:28" x14ac:dyDescent="0.3">
      <c r="B409" s="61" t="s">
        <v>227</v>
      </c>
      <c r="C409" s="61" t="s">
        <v>185</v>
      </c>
      <c r="D409" s="61" t="s">
        <v>123</v>
      </c>
      <c r="E409" s="61" t="s">
        <v>192</v>
      </c>
      <c r="F409" s="61" t="s">
        <v>93</v>
      </c>
      <c r="G409" s="62">
        <v>0.5</v>
      </c>
      <c r="H409" s="61">
        <v>5</v>
      </c>
      <c r="I409" s="61" t="s">
        <v>214</v>
      </c>
      <c r="J409" s="61" t="s">
        <v>215</v>
      </c>
      <c r="K409" s="67">
        <v>2.0864933711572969E-2</v>
      </c>
      <c r="L409" s="67">
        <v>2.0864933711572969E-2</v>
      </c>
      <c r="M409" s="67">
        <v>2.0864933711572969E-2</v>
      </c>
      <c r="N409" s="67">
        <v>2.0864933711572969E-2</v>
      </c>
      <c r="O409" s="67">
        <v>2.0864933711572969E-2</v>
      </c>
      <c r="P409" s="67">
        <v>2.0864933711572969E-2</v>
      </c>
      <c r="Q409" s="67">
        <v>2.0864933711572969E-2</v>
      </c>
      <c r="R409" s="67">
        <v>2.0864933711572969E-2</v>
      </c>
      <c r="S409" s="67">
        <v>2.0864933711572969E-2</v>
      </c>
      <c r="T409" s="67">
        <v>2.0864933711572969E-2</v>
      </c>
      <c r="U409" s="67">
        <v>2.0864933711572969E-2</v>
      </c>
      <c r="V409" s="67">
        <v>2.0864933711572969E-2</v>
      </c>
      <c r="W409" s="67">
        <v>2.0864933711572969E-2</v>
      </c>
      <c r="X409" s="67">
        <v>2.0864933711572969E-2</v>
      </c>
      <c r="Y409" s="67">
        <v>2.0864933711572969E-2</v>
      </c>
      <c r="Z409" s="61" t="s">
        <v>216</v>
      </c>
      <c r="AA409" s="68">
        <v>0.32340440549901867</v>
      </c>
      <c r="AB409" s="69">
        <v>1.3778681737591908E-4</v>
      </c>
    </row>
    <row r="410" spans="2:28" x14ac:dyDescent="0.3">
      <c r="B410" s="61" t="s">
        <v>227</v>
      </c>
      <c r="C410" s="61" t="s">
        <v>185</v>
      </c>
      <c r="D410" s="61" t="s">
        <v>123</v>
      </c>
      <c r="E410" s="61" t="s">
        <v>192</v>
      </c>
      <c r="F410" s="61" t="s">
        <v>94</v>
      </c>
      <c r="G410" s="62">
        <v>0.5</v>
      </c>
      <c r="H410" s="61">
        <v>5</v>
      </c>
      <c r="I410" s="61" t="s">
        <v>218</v>
      </c>
      <c r="J410" s="61" t="s">
        <v>215</v>
      </c>
      <c r="K410" s="67">
        <v>3.7947122861586323E-2</v>
      </c>
      <c r="L410" s="67">
        <v>3.7947122861586323E-2</v>
      </c>
      <c r="M410" s="67">
        <v>3.7947122861586323E-2</v>
      </c>
      <c r="N410" s="67">
        <v>3.7947122861586323E-2</v>
      </c>
      <c r="O410" s="67">
        <v>3.7947122861586323E-2</v>
      </c>
      <c r="P410" s="67">
        <v>3.7947122861586323E-2</v>
      </c>
      <c r="Q410" s="67">
        <v>3.7947122861586323E-2</v>
      </c>
      <c r="R410" s="67">
        <v>3.7947122861586323E-2</v>
      </c>
      <c r="S410" s="67">
        <v>3.7947122861586323E-2</v>
      </c>
      <c r="T410" s="67">
        <v>3.7947122861586323E-2</v>
      </c>
      <c r="U410" s="67">
        <v>3.7947122861586323E-2</v>
      </c>
      <c r="V410" s="67">
        <v>3.7947122861586323E-2</v>
      </c>
      <c r="W410" s="67">
        <v>3.7947122861586323E-2</v>
      </c>
      <c r="X410" s="67">
        <v>3.7947122861586323E-2</v>
      </c>
      <c r="Y410" s="67">
        <v>3.7947122861586323E-2</v>
      </c>
      <c r="Z410" s="61" t="s">
        <v>216</v>
      </c>
      <c r="AA410" s="68">
        <v>0.48910642858115427</v>
      </c>
      <c r="AB410" s="69">
        <v>0</v>
      </c>
    </row>
    <row r="411" spans="2:28" x14ac:dyDescent="0.3">
      <c r="B411" s="61" t="s">
        <v>227</v>
      </c>
      <c r="C411" s="61" t="s">
        <v>185</v>
      </c>
      <c r="D411" s="61" t="s">
        <v>123</v>
      </c>
      <c r="E411" s="61" t="s">
        <v>193</v>
      </c>
      <c r="F411" s="61" t="s">
        <v>93</v>
      </c>
      <c r="G411" s="62">
        <v>0.5</v>
      </c>
      <c r="H411" s="61">
        <v>5</v>
      </c>
      <c r="I411" s="61" t="s">
        <v>214</v>
      </c>
      <c r="J411" s="61" t="s">
        <v>215</v>
      </c>
      <c r="K411" s="67">
        <v>2.9915360066601917E-2</v>
      </c>
      <c r="L411" s="67">
        <v>2.9915360066601917E-2</v>
      </c>
      <c r="M411" s="67">
        <v>2.9915360066601917E-2</v>
      </c>
      <c r="N411" s="67">
        <v>2.9915360066601917E-2</v>
      </c>
      <c r="O411" s="67">
        <v>2.9915360066601917E-2</v>
      </c>
      <c r="P411" s="67">
        <v>2.9915360066601917E-2</v>
      </c>
      <c r="Q411" s="67">
        <v>2.9915360066601917E-2</v>
      </c>
      <c r="R411" s="67">
        <v>2.9915360066601917E-2</v>
      </c>
      <c r="S411" s="67">
        <v>2.9915360066601917E-2</v>
      </c>
      <c r="T411" s="67">
        <v>2.9915360066601917E-2</v>
      </c>
      <c r="U411" s="67">
        <v>2.9915360066601917E-2</v>
      </c>
      <c r="V411" s="67">
        <v>2.9915360066601917E-2</v>
      </c>
      <c r="W411" s="67">
        <v>2.9915360066601917E-2</v>
      </c>
      <c r="X411" s="67">
        <v>2.9915360066601917E-2</v>
      </c>
      <c r="Y411" s="67">
        <v>2.9915360066601917E-2</v>
      </c>
      <c r="Z411" s="61" t="s">
        <v>216</v>
      </c>
      <c r="AA411" s="68">
        <v>0.32340440549901867</v>
      </c>
      <c r="AB411" s="69">
        <v>1.3778681737591908E-4</v>
      </c>
    </row>
    <row r="412" spans="2:28" x14ac:dyDescent="0.3">
      <c r="B412" s="61" t="s">
        <v>227</v>
      </c>
      <c r="C412" s="61" t="s">
        <v>185</v>
      </c>
      <c r="D412" s="61" t="s">
        <v>123</v>
      </c>
      <c r="E412" s="61" t="s">
        <v>193</v>
      </c>
      <c r="F412" s="61" t="s">
        <v>94</v>
      </c>
      <c r="G412" s="62">
        <v>0.5</v>
      </c>
      <c r="H412" s="61">
        <v>5</v>
      </c>
      <c r="I412" s="61" t="s">
        <v>218</v>
      </c>
      <c r="J412" s="61" t="s">
        <v>215</v>
      </c>
      <c r="K412" s="67">
        <v>6.4028776978417287E-2</v>
      </c>
      <c r="L412" s="67">
        <v>6.4028776978417287E-2</v>
      </c>
      <c r="M412" s="67">
        <v>6.4028776978417287E-2</v>
      </c>
      <c r="N412" s="67">
        <v>6.4028776978417287E-2</v>
      </c>
      <c r="O412" s="67">
        <v>6.4028776978417287E-2</v>
      </c>
      <c r="P412" s="67">
        <v>6.4028776978417287E-2</v>
      </c>
      <c r="Q412" s="67">
        <v>6.4028776978417287E-2</v>
      </c>
      <c r="R412" s="67">
        <v>6.4028776978417287E-2</v>
      </c>
      <c r="S412" s="67">
        <v>6.4028776978417287E-2</v>
      </c>
      <c r="T412" s="67">
        <v>6.4028776978417287E-2</v>
      </c>
      <c r="U412" s="67">
        <v>6.4028776978417287E-2</v>
      </c>
      <c r="V412" s="67">
        <v>6.4028776978417287E-2</v>
      </c>
      <c r="W412" s="67">
        <v>6.4028776978417287E-2</v>
      </c>
      <c r="X412" s="67">
        <v>6.4028776978417287E-2</v>
      </c>
      <c r="Y412" s="67">
        <v>6.4028776978417287E-2</v>
      </c>
      <c r="Z412" s="61" t="s">
        <v>216</v>
      </c>
      <c r="AA412" s="68">
        <v>0.48910642858115427</v>
      </c>
      <c r="AB412" s="69">
        <v>0</v>
      </c>
    </row>
    <row r="413" spans="2:28" x14ac:dyDescent="0.3">
      <c r="B413" s="61" t="s">
        <v>227</v>
      </c>
      <c r="C413" s="61" t="s">
        <v>185</v>
      </c>
      <c r="D413" s="61" t="s">
        <v>123</v>
      </c>
      <c r="E413" s="61" t="s">
        <v>194</v>
      </c>
      <c r="F413" s="61" t="s">
        <v>93</v>
      </c>
      <c r="G413" s="62">
        <v>0.35</v>
      </c>
      <c r="H413" s="61">
        <v>5</v>
      </c>
      <c r="I413" s="61" t="s">
        <v>214</v>
      </c>
      <c r="J413" s="61" t="s">
        <v>215</v>
      </c>
      <c r="K413" s="67">
        <v>1.5993537964458803E-2</v>
      </c>
      <c r="L413" s="67">
        <v>1.5993537964458803E-2</v>
      </c>
      <c r="M413" s="67">
        <v>1.5993537964458803E-2</v>
      </c>
      <c r="N413" s="67">
        <v>1.5993537964458803E-2</v>
      </c>
      <c r="O413" s="67">
        <v>1.5993537964458803E-2</v>
      </c>
      <c r="P413" s="67">
        <v>1.5993537964458803E-2</v>
      </c>
      <c r="Q413" s="67">
        <v>1.5993537964458803E-2</v>
      </c>
      <c r="R413" s="67">
        <v>1.5993537964458803E-2</v>
      </c>
      <c r="S413" s="67">
        <v>1.5993537964458803E-2</v>
      </c>
      <c r="T413" s="67">
        <v>1.5993537964458803E-2</v>
      </c>
      <c r="U413" s="67">
        <v>1.5993537964458803E-2</v>
      </c>
      <c r="V413" s="67">
        <v>1.5993537964458803E-2</v>
      </c>
      <c r="W413" s="67">
        <v>1.5993537964458803E-2</v>
      </c>
      <c r="X413" s="67">
        <v>1.5993537964458803E-2</v>
      </c>
      <c r="Y413" s="67">
        <v>1.5993537964458803E-2</v>
      </c>
      <c r="Z413" s="61" t="s">
        <v>216</v>
      </c>
      <c r="AA413" s="68">
        <v>0.32340440549901867</v>
      </c>
      <c r="AB413" s="69">
        <v>1.3778681737591908E-4</v>
      </c>
    </row>
    <row r="414" spans="2:28" x14ac:dyDescent="0.3">
      <c r="B414" s="61" t="s">
        <v>227</v>
      </c>
      <c r="C414" s="61" t="s">
        <v>185</v>
      </c>
      <c r="D414" s="61" t="s">
        <v>123</v>
      </c>
      <c r="E414" s="61" t="s">
        <v>194</v>
      </c>
      <c r="F414" s="61" t="s">
        <v>94</v>
      </c>
      <c r="G414" s="62">
        <v>0.35</v>
      </c>
      <c r="H414" s="61">
        <v>5</v>
      </c>
      <c r="I414" s="61" t="s">
        <v>218</v>
      </c>
      <c r="J414" s="61" t="s">
        <v>215</v>
      </c>
      <c r="K414" s="67">
        <v>2.3556581986143188E-2</v>
      </c>
      <c r="L414" s="67">
        <v>2.3556581986143188E-2</v>
      </c>
      <c r="M414" s="67">
        <v>2.3556581986143188E-2</v>
      </c>
      <c r="N414" s="67">
        <v>2.3556581986143188E-2</v>
      </c>
      <c r="O414" s="67">
        <v>2.3556581986143188E-2</v>
      </c>
      <c r="P414" s="67">
        <v>2.3556581986143188E-2</v>
      </c>
      <c r="Q414" s="67">
        <v>2.3556581986143188E-2</v>
      </c>
      <c r="R414" s="67">
        <v>2.3556581986143188E-2</v>
      </c>
      <c r="S414" s="67">
        <v>2.3556581986143188E-2</v>
      </c>
      <c r="T414" s="67">
        <v>2.3556581986143188E-2</v>
      </c>
      <c r="U414" s="67">
        <v>2.3556581986143188E-2</v>
      </c>
      <c r="V414" s="67">
        <v>2.3556581986143188E-2</v>
      </c>
      <c r="W414" s="67">
        <v>2.3556581986143188E-2</v>
      </c>
      <c r="X414" s="67">
        <v>2.3556581986143188E-2</v>
      </c>
      <c r="Y414" s="67">
        <v>2.3556581986143188E-2</v>
      </c>
      <c r="Z414" s="61" t="s">
        <v>216</v>
      </c>
      <c r="AA414" s="68">
        <v>0.48910642858115427</v>
      </c>
      <c r="AB414" s="69">
        <v>0</v>
      </c>
    </row>
    <row r="415" spans="2:28" x14ac:dyDescent="0.3">
      <c r="B415" s="61" t="s">
        <v>227</v>
      </c>
      <c r="C415" s="61" t="s">
        <v>185</v>
      </c>
      <c r="D415" s="61" t="s">
        <v>123</v>
      </c>
      <c r="E415" s="61" t="s">
        <v>195</v>
      </c>
      <c r="F415" s="61" t="s">
        <v>93</v>
      </c>
      <c r="G415" s="62">
        <v>0.11</v>
      </c>
      <c r="H415" s="61">
        <v>5</v>
      </c>
      <c r="I415" s="61" t="s">
        <v>214</v>
      </c>
      <c r="J415" s="61" t="s">
        <v>215</v>
      </c>
      <c r="K415" s="67">
        <v>0</v>
      </c>
      <c r="L415" s="67">
        <v>0</v>
      </c>
      <c r="M415" s="67">
        <v>0</v>
      </c>
      <c r="N415" s="67">
        <v>0</v>
      </c>
      <c r="O415" s="67">
        <v>0</v>
      </c>
      <c r="P415" s="67">
        <v>0</v>
      </c>
      <c r="Q415" s="67">
        <v>0</v>
      </c>
      <c r="R415" s="67">
        <v>0</v>
      </c>
      <c r="S415" s="67">
        <v>0</v>
      </c>
      <c r="T415" s="67">
        <v>0</v>
      </c>
      <c r="U415" s="67">
        <v>0</v>
      </c>
      <c r="V415" s="67">
        <v>0</v>
      </c>
      <c r="W415" s="67">
        <v>0</v>
      </c>
      <c r="X415" s="67">
        <v>0</v>
      </c>
      <c r="Y415" s="67">
        <v>0</v>
      </c>
      <c r="Z415" s="61" t="s">
        <v>216</v>
      </c>
      <c r="AA415" s="68">
        <v>0.32340440549901867</v>
      </c>
      <c r="AB415" s="69">
        <v>1.3778681737591908E-4</v>
      </c>
    </row>
    <row r="416" spans="2:28" x14ac:dyDescent="0.3">
      <c r="B416" s="61" t="s">
        <v>227</v>
      </c>
      <c r="C416" s="61" t="s">
        <v>185</v>
      </c>
      <c r="D416" s="61" t="s">
        <v>123</v>
      </c>
      <c r="E416" s="61" t="s">
        <v>195</v>
      </c>
      <c r="F416" s="61" t="s">
        <v>94</v>
      </c>
      <c r="G416" s="62">
        <v>0.11</v>
      </c>
      <c r="H416" s="61">
        <v>5</v>
      </c>
      <c r="I416" s="61" t="s">
        <v>218</v>
      </c>
      <c r="J416" s="61" t="s">
        <v>215</v>
      </c>
      <c r="K416" s="67">
        <v>0</v>
      </c>
      <c r="L416" s="67">
        <v>0</v>
      </c>
      <c r="M416" s="67">
        <v>0</v>
      </c>
      <c r="N416" s="67">
        <v>0</v>
      </c>
      <c r="O416" s="67">
        <v>0</v>
      </c>
      <c r="P416" s="67">
        <v>0</v>
      </c>
      <c r="Q416" s="67">
        <v>0</v>
      </c>
      <c r="R416" s="67">
        <v>0</v>
      </c>
      <c r="S416" s="67">
        <v>0</v>
      </c>
      <c r="T416" s="67">
        <v>0</v>
      </c>
      <c r="U416" s="67">
        <v>0</v>
      </c>
      <c r="V416" s="67">
        <v>0</v>
      </c>
      <c r="W416" s="67">
        <v>0</v>
      </c>
      <c r="X416" s="67">
        <v>0</v>
      </c>
      <c r="Y416" s="67">
        <v>0</v>
      </c>
      <c r="Z416" s="61" t="s">
        <v>216</v>
      </c>
      <c r="AA416" s="68">
        <v>0.48910642858115427</v>
      </c>
      <c r="AB416" s="69">
        <v>0</v>
      </c>
    </row>
    <row r="417" spans="2:28" x14ac:dyDescent="0.3">
      <c r="B417" s="61" t="s">
        <v>227</v>
      </c>
      <c r="C417" s="61" t="s">
        <v>185</v>
      </c>
      <c r="D417" s="61" t="s">
        <v>123</v>
      </c>
      <c r="E417" s="61" t="s">
        <v>196</v>
      </c>
      <c r="F417" s="61" t="s">
        <v>93</v>
      </c>
      <c r="G417" s="62">
        <v>0.01</v>
      </c>
      <c r="H417" s="61">
        <v>5</v>
      </c>
      <c r="I417" s="61" t="s">
        <v>214</v>
      </c>
      <c r="J417" s="61" t="s">
        <v>215</v>
      </c>
      <c r="K417" s="67">
        <v>2.4699501612430383E-2</v>
      </c>
      <c r="L417" s="67">
        <v>2.4699501612430383E-2</v>
      </c>
      <c r="M417" s="67">
        <v>2.4699501612430383E-2</v>
      </c>
      <c r="N417" s="67">
        <v>2.4699501612430383E-2</v>
      </c>
      <c r="O417" s="67">
        <v>2.4699501612430383E-2</v>
      </c>
      <c r="P417" s="67">
        <v>2.4699501612430383E-2</v>
      </c>
      <c r="Q417" s="67">
        <v>2.4699501612430383E-2</v>
      </c>
      <c r="R417" s="67">
        <v>2.4699501612430383E-2</v>
      </c>
      <c r="S417" s="67">
        <v>2.4699501612430383E-2</v>
      </c>
      <c r="T417" s="67">
        <v>2.4699501612430383E-2</v>
      </c>
      <c r="U417" s="67">
        <v>2.4699501612430383E-2</v>
      </c>
      <c r="V417" s="67">
        <v>2.4699501612430383E-2</v>
      </c>
      <c r="W417" s="67">
        <v>2.4699501612430383E-2</v>
      </c>
      <c r="X417" s="67">
        <v>2.4699501612430383E-2</v>
      </c>
      <c r="Y417" s="67">
        <v>2.4699501612430383E-2</v>
      </c>
      <c r="Z417" s="61" t="s">
        <v>216</v>
      </c>
      <c r="AA417" s="68">
        <v>0.32340440549901867</v>
      </c>
      <c r="AB417" s="69">
        <v>1.3778681737591908E-4</v>
      </c>
    </row>
    <row r="418" spans="2:28" x14ac:dyDescent="0.3">
      <c r="B418" s="61" t="s">
        <v>227</v>
      </c>
      <c r="C418" s="61" t="s">
        <v>185</v>
      </c>
      <c r="D418" s="61" t="s">
        <v>123</v>
      </c>
      <c r="E418" s="61" t="s">
        <v>196</v>
      </c>
      <c r="F418" s="61" t="s">
        <v>94</v>
      </c>
      <c r="G418" s="62">
        <v>0.01</v>
      </c>
      <c r="H418" s="61">
        <v>5</v>
      </c>
      <c r="I418" s="61" t="s">
        <v>218</v>
      </c>
      <c r="J418" s="61" t="s">
        <v>215</v>
      </c>
      <c r="K418" s="67">
        <v>3.1474323578133622E-3</v>
      </c>
      <c r="L418" s="67">
        <v>3.1474323578133622E-3</v>
      </c>
      <c r="M418" s="67">
        <v>3.1474323578133622E-3</v>
      </c>
      <c r="N418" s="67">
        <v>3.1474323578133622E-3</v>
      </c>
      <c r="O418" s="67">
        <v>3.1474323578133622E-3</v>
      </c>
      <c r="P418" s="67">
        <v>3.1474323578133622E-3</v>
      </c>
      <c r="Q418" s="67">
        <v>3.1474323578133622E-3</v>
      </c>
      <c r="R418" s="67">
        <v>3.1474323578133622E-3</v>
      </c>
      <c r="S418" s="67">
        <v>3.1474323578133622E-3</v>
      </c>
      <c r="T418" s="67">
        <v>3.1474323578133622E-3</v>
      </c>
      <c r="U418" s="67">
        <v>3.1474323578133622E-3</v>
      </c>
      <c r="V418" s="67">
        <v>3.1474323578133622E-3</v>
      </c>
      <c r="W418" s="67">
        <v>3.1474323578133622E-3</v>
      </c>
      <c r="X418" s="67">
        <v>3.1474323578133622E-3</v>
      </c>
      <c r="Y418" s="67">
        <v>3.1474323578133622E-3</v>
      </c>
      <c r="Z418" s="61" t="s">
        <v>216</v>
      </c>
      <c r="AA418" s="68">
        <v>0.48910642858115427</v>
      </c>
      <c r="AB418" s="69">
        <v>0</v>
      </c>
    </row>
    <row r="419" spans="2:28" x14ac:dyDescent="0.3">
      <c r="B419" s="61" t="s">
        <v>227</v>
      </c>
      <c r="C419" s="61" t="s">
        <v>185</v>
      </c>
      <c r="D419" s="61" t="s">
        <v>123</v>
      </c>
      <c r="E419" s="61" t="s">
        <v>197</v>
      </c>
      <c r="F419" s="61" t="s">
        <v>93</v>
      </c>
      <c r="G419" s="62">
        <v>0.24</v>
      </c>
      <c r="H419" s="61">
        <v>5</v>
      </c>
      <c r="I419" s="61" t="s">
        <v>214</v>
      </c>
      <c r="J419" s="61" t="s">
        <v>215</v>
      </c>
      <c r="K419" s="67">
        <v>2.6604278074866306E-2</v>
      </c>
      <c r="L419" s="67">
        <v>2.6604278074866306E-2</v>
      </c>
      <c r="M419" s="67">
        <v>2.6604278074866306E-2</v>
      </c>
      <c r="N419" s="67">
        <v>2.6604278074866306E-2</v>
      </c>
      <c r="O419" s="67">
        <v>2.6604278074866306E-2</v>
      </c>
      <c r="P419" s="67">
        <v>2.6604278074866306E-2</v>
      </c>
      <c r="Q419" s="67">
        <v>2.6604278074866306E-2</v>
      </c>
      <c r="R419" s="67">
        <v>2.6604278074866306E-2</v>
      </c>
      <c r="S419" s="67">
        <v>2.6604278074866306E-2</v>
      </c>
      <c r="T419" s="67">
        <v>2.6604278074866306E-2</v>
      </c>
      <c r="U419" s="67">
        <v>2.6604278074866306E-2</v>
      </c>
      <c r="V419" s="67">
        <v>2.6604278074866306E-2</v>
      </c>
      <c r="W419" s="67">
        <v>2.6604278074866306E-2</v>
      </c>
      <c r="X419" s="67">
        <v>2.6604278074866306E-2</v>
      </c>
      <c r="Y419" s="67">
        <v>2.6604278074866306E-2</v>
      </c>
      <c r="Z419" s="61" t="s">
        <v>216</v>
      </c>
      <c r="AA419" s="68">
        <v>0.32340440549901867</v>
      </c>
      <c r="AB419" s="69">
        <v>1.3778681737591908E-4</v>
      </c>
    </row>
    <row r="420" spans="2:28" x14ac:dyDescent="0.3">
      <c r="B420" s="61" t="s">
        <v>227</v>
      </c>
      <c r="C420" s="61" t="s">
        <v>185</v>
      </c>
      <c r="D420" s="61" t="s">
        <v>123</v>
      </c>
      <c r="E420" s="61" t="s">
        <v>197</v>
      </c>
      <c r="F420" s="61" t="s">
        <v>94</v>
      </c>
      <c r="G420" s="62">
        <v>0.24</v>
      </c>
      <c r="H420" s="61">
        <v>5</v>
      </c>
      <c r="I420" s="61" t="s">
        <v>218</v>
      </c>
      <c r="J420" s="61" t="s">
        <v>215</v>
      </c>
      <c r="K420" s="67">
        <v>4.2105263157894736E-2</v>
      </c>
      <c r="L420" s="67">
        <v>4.2105263157894736E-2</v>
      </c>
      <c r="M420" s="67">
        <v>4.2105263157894736E-2</v>
      </c>
      <c r="N420" s="67">
        <v>4.2105263157894736E-2</v>
      </c>
      <c r="O420" s="67">
        <v>4.2105263157894736E-2</v>
      </c>
      <c r="P420" s="67">
        <v>4.2105263157894736E-2</v>
      </c>
      <c r="Q420" s="67">
        <v>4.2105263157894736E-2</v>
      </c>
      <c r="R420" s="67">
        <v>4.2105263157894736E-2</v>
      </c>
      <c r="S420" s="67">
        <v>4.2105263157894736E-2</v>
      </c>
      <c r="T420" s="67">
        <v>4.2105263157894736E-2</v>
      </c>
      <c r="U420" s="67">
        <v>4.2105263157894736E-2</v>
      </c>
      <c r="V420" s="67">
        <v>4.2105263157894736E-2</v>
      </c>
      <c r="W420" s="67">
        <v>4.2105263157894736E-2</v>
      </c>
      <c r="X420" s="67">
        <v>4.2105263157894736E-2</v>
      </c>
      <c r="Y420" s="67">
        <v>4.2105263157894736E-2</v>
      </c>
      <c r="Z420" s="61" t="s">
        <v>216</v>
      </c>
      <c r="AA420" s="68">
        <v>0.48910642858115427</v>
      </c>
      <c r="AB420" s="69">
        <v>0</v>
      </c>
    </row>
    <row r="421" spans="2:28" x14ac:dyDescent="0.3">
      <c r="B421" s="61" t="s">
        <v>227</v>
      </c>
      <c r="C421" s="61" t="s">
        <v>185</v>
      </c>
      <c r="D421" s="61" t="s">
        <v>123</v>
      </c>
      <c r="E421" s="61" t="s">
        <v>198</v>
      </c>
      <c r="F421" s="61" t="s">
        <v>93</v>
      </c>
      <c r="G421" s="62">
        <v>0.59</v>
      </c>
      <c r="H421" s="61">
        <v>5</v>
      </c>
      <c r="I421" s="61" t="s">
        <v>214</v>
      </c>
      <c r="J421" s="61" t="s">
        <v>215</v>
      </c>
      <c r="K421" s="67">
        <v>3.0708230790265245E-2</v>
      </c>
      <c r="L421" s="67">
        <v>3.0708230790265245E-2</v>
      </c>
      <c r="M421" s="67">
        <v>3.0708230790265245E-2</v>
      </c>
      <c r="N421" s="67">
        <v>3.0708230790265245E-2</v>
      </c>
      <c r="O421" s="67">
        <v>3.0708230790265245E-2</v>
      </c>
      <c r="P421" s="67">
        <v>3.0708230790265245E-2</v>
      </c>
      <c r="Q421" s="67">
        <v>3.0708230790265245E-2</v>
      </c>
      <c r="R421" s="67">
        <v>3.0708230790265245E-2</v>
      </c>
      <c r="S421" s="67">
        <v>3.0708230790265245E-2</v>
      </c>
      <c r="T421" s="67">
        <v>3.0708230790265245E-2</v>
      </c>
      <c r="U421" s="67">
        <v>3.0708230790265245E-2</v>
      </c>
      <c r="V421" s="67">
        <v>3.0708230790265245E-2</v>
      </c>
      <c r="W421" s="67">
        <v>3.0708230790265245E-2</v>
      </c>
      <c r="X421" s="67">
        <v>3.0708230790265245E-2</v>
      </c>
      <c r="Y421" s="67">
        <v>3.0708230790265245E-2</v>
      </c>
      <c r="Z421" s="61" t="s">
        <v>216</v>
      </c>
      <c r="AA421" s="68">
        <v>0.32340440549901867</v>
      </c>
      <c r="AB421" s="69">
        <v>1.3778681737591908E-4</v>
      </c>
    </row>
    <row r="422" spans="2:28" x14ac:dyDescent="0.3">
      <c r="B422" s="61" t="s">
        <v>227</v>
      </c>
      <c r="C422" s="61" t="s">
        <v>185</v>
      </c>
      <c r="D422" s="61" t="s">
        <v>123</v>
      </c>
      <c r="E422" s="61" t="s">
        <v>198</v>
      </c>
      <c r="F422" s="61" t="s">
        <v>94</v>
      </c>
      <c r="G422" s="62">
        <v>0.59</v>
      </c>
      <c r="H422" s="61">
        <v>5</v>
      </c>
      <c r="I422" s="61" t="s">
        <v>218</v>
      </c>
      <c r="J422" s="61" t="s">
        <v>215</v>
      </c>
      <c r="K422" s="67">
        <v>5.2173913043478265E-2</v>
      </c>
      <c r="L422" s="67">
        <v>5.2173913043478265E-2</v>
      </c>
      <c r="M422" s="67">
        <v>5.2173913043478265E-2</v>
      </c>
      <c r="N422" s="67">
        <v>5.2173913043478265E-2</v>
      </c>
      <c r="O422" s="67">
        <v>5.2173913043478265E-2</v>
      </c>
      <c r="P422" s="67">
        <v>5.2173913043478265E-2</v>
      </c>
      <c r="Q422" s="67">
        <v>5.2173913043478265E-2</v>
      </c>
      <c r="R422" s="67">
        <v>5.2173913043478265E-2</v>
      </c>
      <c r="S422" s="67">
        <v>5.2173913043478265E-2</v>
      </c>
      <c r="T422" s="67">
        <v>5.2173913043478265E-2</v>
      </c>
      <c r="U422" s="67">
        <v>5.2173913043478265E-2</v>
      </c>
      <c r="V422" s="67">
        <v>5.2173913043478265E-2</v>
      </c>
      <c r="W422" s="67">
        <v>5.2173913043478265E-2</v>
      </c>
      <c r="X422" s="67">
        <v>5.2173913043478265E-2</v>
      </c>
      <c r="Y422" s="67">
        <v>5.2173913043478265E-2</v>
      </c>
      <c r="Z422" s="61" t="s">
        <v>216</v>
      </c>
      <c r="AA422" s="68">
        <v>0.48910642858115427</v>
      </c>
      <c r="AB422" s="69">
        <v>0</v>
      </c>
    </row>
    <row r="423" spans="2:28" x14ac:dyDescent="0.3">
      <c r="B423" s="61" t="s">
        <v>227</v>
      </c>
      <c r="C423" s="61" t="s">
        <v>185</v>
      </c>
      <c r="D423" s="61" t="s">
        <v>123</v>
      </c>
      <c r="E423" s="61" t="s">
        <v>199</v>
      </c>
      <c r="F423" s="61" t="s">
        <v>93</v>
      </c>
      <c r="G423" s="62">
        <v>0.11</v>
      </c>
      <c r="H423" s="61">
        <v>5</v>
      </c>
      <c r="I423" s="61" t="s">
        <v>214</v>
      </c>
      <c r="J423" s="61" t="s">
        <v>215</v>
      </c>
      <c r="K423" s="67">
        <v>0</v>
      </c>
      <c r="L423" s="67">
        <v>0</v>
      </c>
      <c r="M423" s="67">
        <v>0</v>
      </c>
      <c r="N423" s="67">
        <v>0</v>
      </c>
      <c r="O423" s="67">
        <v>0</v>
      </c>
      <c r="P423" s="67">
        <v>0</v>
      </c>
      <c r="Q423" s="67">
        <v>0</v>
      </c>
      <c r="R423" s="67">
        <v>0</v>
      </c>
      <c r="S423" s="67">
        <v>0</v>
      </c>
      <c r="T423" s="67">
        <v>0</v>
      </c>
      <c r="U423" s="67">
        <v>0</v>
      </c>
      <c r="V423" s="67">
        <v>0</v>
      </c>
      <c r="W423" s="67">
        <v>0</v>
      </c>
      <c r="X423" s="67">
        <v>0</v>
      </c>
      <c r="Y423" s="67">
        <v>0</v>
      </c>
      <c r="Z423" s="61" t="s">
        <v>216</v>
      </c>
      <c r="AA423" s="68">
        <v>0.32340440549901867</v>
      </c>
      <c r="AB423" s="69">
        <v>1.3778681737591908E-4</v>
      </c>
    </row>
    <row r="424" spans="2:28" x14ac:dyDescent="0.3">
      <c r="B424" s="61" t="s">
        <v>227</v>
      </c>
      <c r="C424" s="61" t="s">
        <v>185</v>
      </c>
      <c r="D424" s="61" t="s">
        <v>123</v>
      </c>
      <c r="E424" s="61" t="s">
        <v>199</v>
      </c>
      <c r="F424" s="61" t="s">
        <v>94</v>
      </c>
      <c r="G424" s="62">
        <v>0.11</v>
      </c>
      <c r="H424" s="61">
        <v>5</v>
      </c>
      <c r="I424" s="61" t="s">
        <v>218</v>
      </c>
      <c r="J424" s="61" t="s">
        <v>215</v>
      </c>
      <c r="K424" s="67">
        <v>0</v>
      </c>
      <c r="L424" s="67">
        <v>0</v>
      </c>
      <c r="M424" s="67">
        <v>0</v>
      </c>
      <c r="N424" s="67">
        <v>0</v>
      </c>
      <c r="O424" s="67">
        <v>0</v>
      </c>
      <c r="P424" s="67">
        <v>0</v>
      </c>
      <c r="Q424" s="67">
        <v>0</v>
      </c>
      <c r="R424" s="67">
        <v>0</v>
      </c>
      <c r="S424" s="67">
        <v>0</v>
      </c>
      <c r="T424" s="67">
        <v>0</v>
      </c>
      <c r="U424" s="67">
        <v>0</v>
      </c>
      <c r="V424" s="67">
        <v>0</v>
      </c>
      <c r="W424" s="67">
        <v>0</v>
      </c>
      <c r="X424" s="67">
        <v>0</v>
      </c>
      <c r="Y424" s="67">
        <v>0</v>
      </c>
      <c r="Z424" s="61" t="s">
        <v>216</v>
      </c>
      <c r="AA424" s="68">
        <v>0.48910642858115427</v>
      </c>
      <c r="AB424" s="69">
        <v>0</v>
      </c>
    </row>
    <row r="425" spans="2:28" x14ac:dyDescent="0.3">
      <c r="B425" s="61" t="s">
        <v>184</v>
      </c>
      <c r="C425" s="61" t="s">
        <v>185</v>
      </c>
      <c r="D425" s="61" t="s">
        <v>121</v>
      </c>
      <c r="E425" s="61" t="s">
        <v>186</v>
      </c>
      <c r="F425" s="61" t="s">
        <v>93</v>
      </c>
      <c r="G425" s="62">
        <v>1</v>
      </c>
      <c r="H425" s="63">
        <v>6.5063621211282578</v>
      </c>
      <c r="I425" s="61" t="s">
        <v>187</v>
      </c>
      <c r="J425" s="61" t="s">
        <v>188</v>
      </c>
      <c r="K425" s="64">
        <v>44.563706563706567</v>
      </c>
      <c r="L425" s="64">
        <v>44.563706563706567</v>
      </c>
      <c r="M425" s="64">
        <v>44.563706563706567</v>
      </c>
      <c r="N425" s="64">
        <v>44.563706563706567</v>
      </c>
      <c r="O425" s="64">
        <v>44.563706563706567</v>
      </c>
      <c r="P425" s="64">
        <v>44.563706563706567</v>
      </c>
      <c r="Q425" s="64">
        <v>44.563706563706567</v>
      </c>
      <c r="R425" s="64">
        <v>44.563706563706567</v>
      </c>
      <c r="S425" s="64">
        <v>44.563706563706567</v>
      </c>
      <c r="T425" s="64">
        <v>44.563706563706567</v>
      </c>
      <c r="U425" s="64">
        <v>44.563706563706567</v>
      </c>
      <c r="V425" s="64">
        <v>44.563706563706567</v>
      </c>
      <c r="W425" s="64">
        <v>44.563706563706567</v>
      </c>
      <c r="X425" s="64">
        <v>44.563706563706567</v>
      </c>
      <c r="Y425" s="64">
        <v>44.563706563706567</v>
      </c>
      <c r="Z425" s="61" t="s">
        <v>216</v>
      </c>
      <c r="AA425" s="68">
        <v>0.29122305078152849</v>
      </c>
      <c r="AB425" s="69">
        <v>1.1428010983920346E-4</v>
      </c>
    </row>
    <row r="426" spans="2:28" x14ac:dyDescent="0.3">
      <c r="B426" s="61" t="s">
        <v>184</v>
      </c>
      <c r="C426" s="61" t="s">
        <v>185</v>
      </c>
      <c r="D426" s="61" t="s">
        <v>121</v>
      </c>
      <c r="E426" s="61" t="s">
        <v>186</v>
      </c>
      <c r="F426" s="61" t="s">
        <v>94</v>
      </c>
      <c r="G426" s="62">
        <v>1</v>
      </c>
      <c r="H426" s="63">
        <v>6.5063621211282578</v>
      </c>
      <c r="I426" s="61" t="s">
        <v>187</v>
      </c>
      <c r="J426" s="61" t="s">
        <v>188</v>
      </c>
      <c r="K426" s="64">
        <v>5.6923076923076916</v>
      </c>
      <c r="L426" s="64">
        <v>5.6923076923076916</v>
      </c>
      <c r="M426" s="64">
        <v>5.6923076923076916</v>
      </c>
      <c r="N426" s="64">
        <v>5.6923076923076916</v>
      </c>
      <c r="O426" s="64">
        <v>5.6923076923076916</v>
      </c>
      <c r="P426" s="64">
        <v>5.6923076923076916</v>
      </c>
      <c r="Q426" s="64">
        <v>5.6923076923076916</v>
      </c>
      <c r="R426" s="64">
        <v>5.6923076923076916</v>
      </c>
      <c r="S426" s="64">
        <v>5.6923076923076916</v>
      </c>
      <c r="T426" s="64">
        <v>5.6923076923076916</v>
      </c>
      <c r="U426" s="64">
        <v>5.6923076923076916</v>
      </c>
      <c r="V426" s="64">
        <v>5.6923076923076916</v>
      </c>
      <c r="W426" s="64">
        <v>5.6923076923076916</v>
      </c>
      <c r="X426" s="64">
        <v>5.6923076923076916</v>
      </c>
      <c r="Y426" s="64">
        <v>5.6923076923076916</v>
      </c>
      <c r="Z426" s="61" t="s">
        <v>216</v>
      </c>
      <c r="AA426" s="68">
        <v>3.6534583368262386</v>
      </c>
      <c r="AB426" s="69">
        <v>0</v>
      </c>
    </row>
    <row r="427" spans="2:28" x14ac:dyDescent="0.3">
      <c r="B427" s="61" t="s">
        <v>184</v>
      </c>
      <c r="C427" s="61" t="s">
        <v>185</v>
      </c>
      <c r="D427" s="61" t="s">
        <v>121</v>
      </c>
      <c r="E427" s="61" t="s">
        <v>189</v>
      </c>
      <c r="F427" s="61" t="s">
        <v>93</v>
      </c>
      <c r="G427" s="62">
        <v>0.5</v>
      </c>
      <c r="H427" s="63">
        <v>6.5063621211282578</v>
      </c>
      <c r="I427" s="61" t="s">
        <v>187</v>
      </c>
      <c r="J427" s="61" t="s">
        <v>188</v>
      </c>
      <c r="K427" s="64">
        <v>151.30759330759332</v>
      </c>
      <c r="L427" s="64">
        <v>151.30759330759332</v>
      </c>
      <c r="M427" s="64">
        <v>151.30759330759332</v>
      </c>
      <c r="N427" s="64">
        <v>151.30759330759332</v>
      </c>
      <c r="O427" s="64">
        <v>151.30759330759332</v>
      </c>
      <c r="P427" s="64">
        <v>151.30759330759332</v>
      </c>
      <c r="Q427" s="64">
        <v>151.30759330759332</v>
      </c>
      <c r="R427" s="64">
        <v>151.30759330759332</v>
      </c>
      <c r="S427" s="64">
        <v>151.30759330759332</v>
      </c>
      <c r="T427" s="64">
        <v>151.30759330759332</v>
      </c>
      <c r="U427" s="64">
        <v>151.30759330759332</v>
      </c>
      <c r="V427" s="64">
        <v>151.30759330759332</v>
      </c>
      <c r="W427" s="64">
        <v>151.30759330759332</v>
      </c>
      <c r="X427" s="64">
        <v>151.30759330759332</v>
      </c>
      <c r="Y427" s="64">
        <v>151.30759330759332</v>
      </c>
      <c r="Z427" s="61" t="s">
        <v>216</v>
      </c>
      <c r="AA427" s="68">
        <v>0.29122305078152849</v>
      </c>
      <c r="AB427" s="69">
        <v>1.1428010983920346E-4</v>
      </c>
    </row>
    <row r="428" spans="2:28" x14ac:dyDescent="0.3">
      <c r="B428" s="61" t="s">
        <v>184</v>
      </c>
      <c r="C428" s="61" t="s">
        <v>185</v>
      </c>
      <c r="D428" s="61" t="s">
        <v>121</v>
      </c>
      <c r="E428" s="61" t="s">
        <v>189</v>
      </c>
      <c r="F428" s="61" t="s">
        <v>94</v>
      </c>
      <c r="G428" s="62">
        <v>0.5</v>
      </c>
      <c r="H428" s="63">
        <v>6.5063621211282578</v>
      </c>
      <c r="I428" s="61" t="s">
        <v>187</v>
      </c>
      <c r="J428" s="61" t="s">
        <v>188</v>
      </c>
      <c r="K428" s="64">
        <v>5.2307692307692308</v>
      </c>
      <c r="L428" s="64">
        <v>5.2307692307692308</v>
      </c>
      <c r="M428" s="64">
        <v>5.2307692307692308</v>
      </c>
      <c r="N428" s="64">
        <v>5.2307692307692308</v>
      </c>
      <c r="O428" s="64">
        <v>5.2307692307692308</v>
      </c>
      <c r="P428" s="64">
        <v>5.2307692307692308</v>
      </c>
      <c r="Q428" s="64">
        <v>5.2307692307692308</v>
      </c>
      <c r="R428" s="64">
        <v>5.2307692307692308</v>
      </c>
      <c r="S428" s="64">
        <v>5.2307692307692308</v>
      </c>
      <c r="T428" s="64">
        <v>5.2307692307692308</v>
      </c>
      <c r="U428" s="64">
        <v>5.2307692307692308</v>
      </c>
      <c r="V428" s="64">
        <v>5.2307692307692308</v>
      </c>
      <c r="W428" s="64">
        <v>5.2307692307692308</v>
      </c>
      <c r="X428" s="64">
        <v>5.2307692307692308</v>
      </c>
      <c r="Y428" s="64">
        <v>5.2307692307692308</v>
      </c>
      <c r="Z428" s="61" t="s">
        <v>216</v>
      </c>
      <c r="AA428" s="68">
        <v>3.6534583368262386</v>
      </c>
      <c r="AB428" s="69">
        <v>0</v>
      </c>
    </row>
    <row r="429" spans="2:28" x14ac:dyDescent="0.3">
      <c r="B429" s="61" t="s">
        <v>184</v>
      </c>
      <c r="C429" s="61" t="s">
        <v>185</v>
      </c>
      <c r="D429" s="61" t="s">
        <v>121</v>
      </c>
      <c r="E429" s="61" t="s">
        <v>190</v>
      </c>
      <c r="F429" s="61" t="s">
        <v>93</v>
      </c>
      <c r="G429" s="62">
        <v>1</v>
      </c>
      <c r="H429" s="63">
        <v>6.5063621211282578</v>
      </c>
      <c r="I429" s="61" t="s">
        <v>187</v>
      </c>
      <c r="J429" s="61" t="s">
        <v>188</v>
      </c>
      <c r="K429" s="64">
        <v>69.084942084942085</v>
      </c>
      <c r="L429" s="64">
        <v>69.084942084942085</v>
      </c>
      <c r="M429" s="64">
        <v>69.084942084942085</v>
      </c>
      <c r="N429" s="64">
        <v>69.084942084942085</v>
      </c>
      <c r="O429" s="64">
        <v>69.084942084942085</v>
      </c>
      <c r="P429" s="64">
        <v>69.084942084942085</v>
      </c>
      <c r="Q429" s="64">
        <v>69.084942084942085</v>
      </c>
      <c r="R429" s="64">
        <v>69.084942084942085</v>
      </c>
      <c r="S429" s="64">
        <v>69.084942084942085</v>
      </c>
      <c r="T429" s="64">
        <v>69.084942084942085</v>
      </c>
      <c r="U429" s="64">
        <v>69.084942084942085</v>
      </c>
      <c r="V429" s="64">
        <v>69.084942084942085</v>
      </c>
      <c r="W429" s="64">
        <v>69.084942084942085</v>
      </c>
      <c r="X429" s="64">
        <v>69.084942084942085</v>
      </c>
      <c r="Y429" s="64">
        <v>69.084942084942085</v>
      </c>
      <c r="Z429" s="61" t="s">
        <v>216</v>
      </c>
      <c r="AA429" s="68">
        <v>0.29122305078152849</v>
      </c>
      <c r="AB429" s="69">
        <v>1.1428010983920346E-4</v>
      </c>
    </row>
    <row r="430" spans="2:28" x14ac:dyDescent="0.3">
      <c r="B430" s="61" t="s">
        <v>184</v>
      </c>
      <c r="C430" s="61" t="s">
        <v>185</v>
      </c>
      <c r="D430" s="61" t="s">
        <v>121</v>
      </c>
      <c r="E430" s="61" t="s">
        <v>190</v>
      </c>
      <c r="F430" s="61" t="s">
        <v>94</v>
      </c>
      <c r="G430" s="62">
        <v>1</v>
      </c>
      <c r="H430" s="63">
        <v>6.5063621211282578</v>
      </c>
      <c r="I430" s="61" t="s">
        <v>187</v>
      </c>
      <c r="J430" s="61" t="s">
        <v>188</v>
      </c>
      <c r="K430" s="64">
        <v>14.153846153846152</v>
      </c>
      <c r="L430" s="64">
        <v>14.153846153846152</v>
      </c>
      <c r="M430" s="64">
        <v>14.153846153846152</v>
      </c>
      <c r="N430" s="64">
        <v>14.153846153846152</v>
      </c>
      <c r="O430" s="64">
        <v>14.153846153846152</v>
      </c>
      <c r="P430" s="64">
        <v>14.153846153846152</v>
      </c>
      <c r="Q430" s="64">
        <v>14.153846153846152</v>
      </c>
      <c r="R430" s="64">
        <v>14.153846153846152</v>
      </c>
      <c r="S430" s="64">
        <v>14.153846153846152</v>
      </c>
      <c r="T430" s="64">
        <v>14.153846153846152</v>
      </c>
      <c r="U430" s="64">
        <v>14.153846153846152</v>
      </c>
      <c r="V430" s="64">
        <v>14.153846153846152</v>
      </c>
      <c r="W430" s="64">
        <v>14.153846153846152</v>
      </c>
      <c r="X430" s="64">
        <v>14.153846153846152</v>
      </c>
      <c r="Y430" s="64">
        <v>14.153846153846152</v>
      </c>
      <c r="Z430" s="61" t="s">
        <v>216</v>
      </c>
      <c r="AA430" s="68">
        <v>3.6534583368262386</v>
      </c>
      <c r="AB430" s="69">
        <v>0</v>
      </c>
    </row>
    <row r="431" spans="2:28" x14ac:dyDescent="0.3">
      <c r="B431" s="61" t="s">
        <v>184</v>
      </c>
      <c r="C431" s="61" t="s">
        <v>185</v>
      </c>
      <c r="D431" s="61" t="s">
        <v>121</v>
      </c>
      <c r="E431" s="61" t="s">
        <v>191</v>
      </c>
      <c r="F431" s="61" t="s">
        <v>93</v>
      </c>
      <c r="G431" s="62">
        <v>1</v>
      </c>
      <c r="H431" s="63">
        <v>6.5063621211282578</v>
      </c>
      <c r="I431" s="61" t="s">
        <v>187</v>
      </c>
      <c r="J431" s="61" t="s">
        <v>188</v>
      </c>
      <c r="K431" s="64">
        <v>36.501930501930502</v>
      </c>
      <c r="L431" s="64">
        <v>36.501930501930502</v>
      </c>
      <c r="M431" s="64">
        <v>36.501930501930502</v>
      </c>
      <c r="N431" s="64">
        <v>36.501930501930502</v>
      </c>
      <c r="O431" s="64">
        <v>36.501930501930502</v>
      </c>
      <c r="P431" s="64">
        <v>36.501930501930502</v>
      </c>
      <c r="Q431" s="64">
        <v>36.501930501930502</v>
      </c>
      <c r="R431" s="64">
        <v>36.501930501930502</v>
      </c>
      <c r="S431" s="64">
        <v>36.501930501930502</v>
      </c>
      <c r="T431" s="64">
        <v>36.501930501930502</v>
      </c>
      <c r="U431" s="64">
        <v>36.501930501930502</v>
      </c>
      <c r="V431" s="64">
        <v>36.501930501930502</v>
      </c>
      <c r="W431" s="64">
        <v>36.501930501930502</v>
      </c>
      <c r="X431" s="64">
        <v>36.501930501930502</v>
      </c>
      <c r="Y431" s="64">
        <v>36.501930501930502</v>
      </c>
      <c r="Z431" s="61" t="s">
        <v>216</v>
      </c>
      <c r="AA431" s="68">
        <v>0.29122305078152849</v>
      </c>
      <c r="AB431" s="69">
        <v>1.1428010983920346E-4</v>
      </c>
    </row>
    <row r="432" spans="2:28" x14ac:dyDescent="0.3">
      <c r="B432" s="61" t="s">
        <v>184</v>
      </c>
      <c r="C432" s="61" t="s">
        <v>185</v>
      </c>
      <c r="D432" s="61" t="s">
        <v>121</v>
      </c>
      <c r="E432" s="61" t="s">
        <v>191</v>
      </c>
      <c r="F432" s="61" t="s">
        <v>94</v>
      </c>
      <c r="G432" s="62">
        <v>1</v>
      </c>
      <c r="H432" s="63">
        <v>6.5063621211282578</v>
      </c>
      <c r="I432" s="61" t="s">
        <v>187</v>
      </c>
      <c r="J432" s="61" t="s">
        <v>188</v>
      </c>
      <c r="K432" s="64">
        <v>5.8461538461538458</v>
      </c>
      <c r="L432" s="64">
        <v>5.8461538461538458</v>
      </c>
      <c r="M432" s="64">
        <v>5.8461538461538458</v>
      </c>
      <c r="N432" s="64">
        <v>5.8461538461538458</v>
      </c>
      <c r="O432" s="64">
        <v>5.8461538461538458</v>
      </c>
      <c r="P432" s="64">
        <v>5.8461538461538458</v>
      </c>
      <c r="Q432" s="64">
        <v>5.8461538461538458</v>
      </c>
      <c r="R432" s="64">
        <v>5.8461538461538458</v>
      </c>
      <c r="S432" s="64">
        <v>5.8461538461538458</v>
      </c>
      <c r="T432" s="64">
        <v>5.8461538461538458</v>
      </c>
      <c r="U432" s="64">
        <v>5.8461538461538458</v>
      </c>
      <c r="V432" s="64">
        <v>5.8461538461538458</v>
      </c>
      <c r="W432" s="64">
        <v>5.8461538461538458</v>
      </c>
      <c r="X432" s="64">
        <v>5.8461538461538458</v>
      </c>
      <c r="Y432" s="64">
        <v>5.8461538461538458</v>
      </c>
      <c r="Z432" s="61" t="s">
        <v>216</v>
      </c>
      <c r="AA432" s="68">
        <v>3.6534583368262386</v>
      </c>
      <c r="AB432" s="69">
        <v>0</v>
      </c>
    </row>
    <row r="433" spans="2:28" x14ac:dyDescent="0.3">
      <c r="B433" s="61" t="s">
        <v>184</v>
      </c>
      <c r="C433" s="61" t="s">
        <v>185</v>
      </c>
      <c r="D433" s="61" t="s">
        <v>121</v>
      </c>
      <c r="E433" s="61" t="s">
        <v>192</v>
      </c>
      <c r="F433" s="61" t="s">
        <v>93</v>
      </c>
      <c r="G433" s="62">
        <v>1</v>
      </c>
      <c r="H433" s="63">
        <v>6.5063621211282578</v>
      </c>
      <c r="I433" s="61" t="s">
        <v>187</v>
      </c>
      <c r="J433" s="61" t="s">
        <v>188</v>
      </c>
      <c r="K433" s="64">
        <v>62.590733590733585</v>
      </c>
      <c r="L433" s="64">
        <v>62.590733590733585</v>
      </c>
      <c r="M433" s="64">
        <v>62.590733590733585</v>
      </c>
      <c r="N433" s="64">
        <v>62.590733590733585</v>
      </c>
      <c r="O433" s="64">
        <v>62.590733590733585</v>
      </c>
      <c r="P433" s="64">
        <v>62.590733590733585</v>
      </c>
      <c r="Q433" s="64">
        <v>62.590733590733585</v>
      </c>
      <c r="R433" s="64">
        <v>62.590733590733585</v>
      </c>
      <c r="S433" s="64">
        <v>62.590733590733585</v>
      </c>
      <c r="T433" s="64">
        <v>62.590733590733585</v>
      </c>
      <c r="U433" s="64">
        <v>62.590733590733585</v>
      </c>
      <c r="V433" s="64">
        <v>62.590733590733585</v>
      </c>
      <c r="W433" s="64">
        <v>62.590733590733585</v>
      </c>
      <c r="X433" s="64">
        <v>62.590733590733585</v>
      </c>
      <c r="Y433" s="64">
        <v>62.590733590733585</v>
      </c>
      <c r="Z433" s="61" t="s">
        <v>216</v>
      </c>
      <c r="AA433" s="68">
        <v>0.29122305078152849</v>
      </c>
      <c r="AB433" s="69">
        <v>1.1428010983920346E-4</v>
      </c>
    </row>
    <row r="434" spans="2:28" x14ac:dyDescent="0.3">
      <c r="B434" s="61" t="s">
        <v>184</v>
      </c>
      <c r="C434" s="61" t="s">
        <v>185</v>
      </c>
      <c r="D434" s="61" t="s">
        <v>121</v>
      </c>
      <c r="E434" s="61" t="s">
        <v>192</v>
      </c>
      <c r="F434" s="61" t="s">
        <v>94</v>
      </c>
      <c r="G434" s="62">
        <v>1</v>
      </c>
      <c r="H434" s="63">
        <v>6.5063621211282578</v>
      </c>
      <c r="I434" s="61" t="s">
        <v>187</v>
      </c>
      <c r="J434" s="61" t="s">
        <v>188</v>
      </c>
      <c r="K434" s="64">
        <v>3.6923076923076921</v>
      </c>
      <c r="L434" s="64">
        <v>3.6923076923076921</v>
      </c>
      <c r="M434" s="64">
        <v>3.6923076923076921</v>
      </c>
      <c r="N434" s="64">
        <v>3.6923076923076921</v>
      </c>
      <c r="O434" s="64">
        <v>3.6923076923076921</v>
      </c>
      <c r="P434" s="64">
        <v>3.6923076923076921</v>
      </c>
      <c r="Q434" s="64">
        <v>3.6923076923076921</v>
      </c>
      <c r="R434" s="64">
        <v>3.6923076923076921</v>
      </c>
      <c r="S434" s="64">
        <v>3.6923076923076921</v>
      </c>
      <c r="T434" s="64">
        <v>3.6923076923076921</v>
      </c>
      <c r="U434" s="64">
        <v>3.6923076923076921</v>
      </c>
      <c r="V434" s="64">
        <v>3.6923076923076921</v>
      </c>
      <c r="W434" s="64">
        <v>3.6923076923076921</v>
      </c>
      <c r="X434" s="64">
        <v>3.6923076923076921</v>
      </c>
      <c r="Y434" s="64">
        <v>3.6923076923076921</v>
      </c>
      <c r="Z434" s="61" t="s">
        <v>216</v>
      </c>
      <c r="AA434" s="68">
        <v>3.6534583368262386</v>
      </c>
      <c r="AB434" s="69">
        <v>0</v>
      </c>
    </row>
    <row r="435" spans="2:28" x14ac:dyDescent="0.3">
      <c r="B435" s="61" t="s">
        <v>184</v>
      </c>
      <c r="C435" s="61" t="s">
        <v>185</v>
      </c>
      <c r="D435" s="61" t="s">
        <v>121</v>
      </c>
      <c r="E435" s="61" t="s">
        <v>193</v>
      </c>
      <c r="F435" s="61" t="s">
        <v>93</v>
      </c>
      <c r="G435" s="62">
        <v>0.15</v>
      </c>
      <c r="H435" s="63">
        <v>6.5063621211282578</v>
      </c>
      <c r="I435" s="61" t="s">
        <v>187</v>
      </c>
      <c r="J435" s="61" t="s">
        <v>188</v>
      </c>
      <c r="K435" s="64">
        <v>50.348777348777347</v>
      </c>
      <c r="L435" s="64">
        <v>50.348777348777347</v>
      </c>
      <c r="M435" s="64">
        <v>50.348777348777347</v>
      </c>
      <c r="N435" s="64">
        <v>50.348777348777347</v>
      </c>
      <c r="O435" s="64">
        <v>50.348777348777347</v>
      </c>
      <c r="P435" s="64">
        <v>50.348777348777347</v>
      </c>
      <c r="Q435" s="64">
        <v>50.348777348777347</v>
      </c>
      <c r="R435" s="64">
        <v>50.348777348777347</v>
      </c>
      <c r="S435" s="64">
        <v>50.348777348777347</v>
      </c>
      <c r="T435" s="64">
        <v>50.348777348777347</v>
      </c>
      <c r="U435" s="64">
        <v>50.348777348777347</v>
      </c>
      <c r="V435" s="64">
        <v>50.348777348777347</v>
      </c>
      <c r="W435" s="64">
        <v>50.348777348777347</v>
      </c>
      <c r="X435" s="64">
        <v>50.348777348777347</v>
      </c>
      <c r="Y435" s="64">
        <v>50.348777348777347</v>
      </c>
      <c r="Z435" s="61" t="s">
        <v>216</v>
      </c>
      <c r="AA435" s="68">
        <v>0.29122305078152849</v>
      </c>
      <c r="AB435" s="69">
        <v>1.1428010983920346E-4</v>
      </c>
    </row>
    <row r="436" spans="2:28" x14ac:dyDescent="0.3">
      <c r="B436" s="61" t="s">
        <v>184</v>
      </c>
      <c r="C436" s="61" t="s">
        <v>185</v>
      </c>
      <c r="D436" s="61" t="s">
        <v>121</v>
      </c>
      <c r="E436" s="61" t="s">
        <v>193</v>
      </c>
      <c r="F436" s="61" t="s">
        <v>94</v>
      </c>
      <c r="G436" s="62">
        <v>0.15</v>
      </c>
      <c r="H436" s="63">
        <v>6.5063621211282578</v>
      </c>
      <c r="I436" s="61" t="s">
        <v>187</v>
      </c>
      <c r="J436" s="61" t="s">
        <v>188</v>
      </c>
      <c r="K436" s="64">
        <v>2.7692307692307692</v>
      </c>
      <c r="L436" s="64">
        <v>2.7692307692307692</v>
      </c>
      <c r="M436" s="64">
        <v>2.7692307692307692</v>
      </c>
      <c r="N436" s="64">
        <v>2.7692307692307692</v>
      </c>
      <c r="O436" s="64">
        <v>2.7692307692307692</v>
      </c>
      <c r="P436" s="64">
        <v>2.7692307692307692</v>
      </c>
      <c r="Q436" s="64">
        <v>2.7692307692307692</v>
      </c>
      <c r="R436" s="64">
        <v>2.7692307692307692</v>
      </c>
      <c r="S436" s="64">
        <v>2.7692307692307692</v>
      </c>
      <c r="T436" s="64">
        <v>2.7692307692307692</v>
      </c>
      <c r="U436" s="64">
        <v>2.7692307692307692</v>
      </c>
      <c r="V436" s="64">
        <v>2.7692307692307692</v>
      </c>
      <c r="W436" s="64">
        <v>2.7692307692307692</v>
      </c>
      <c r="X436" s="64">
        <v>2.7692307692307692</v>
      </c>
      <c r="Y436" s="64">
        <v>2.7692307692307692</v>
      </c>
      <c r="Z436" s="61" t="s">
        <v>216</v>
      </c>
      <c r="AA436" s="68">
        <v>3.6534583368262386</v>
      </c>
      <c r="AB436" s="69">
        <v>0</v>
      </c>
    </row>
    <row r="437" spans="2:28" x14ac:dyDescent="0.3">
      <c r="B437" s="61" t="s">
        <v>184</v>
      </c>
      <c r="C437" s="61" t="s">
        <v>185</v>
      </c>
      <c r="D437" s="61" t="s">
        <v>121</v>
      </c>
      <c r="E437" s="61" t="s">
        <v>194</v>
      </c>
      <c r="F437" s="61" t="s">
        <v>93</v>
      </c>
      <c r="G437" s="62">
        <v>0.15</v>
      </c>
      <c r="H437" s="63">
        <v>6.5063621211282578</v>
      </c>
      <c r="I437" s="61" t="s">
        <v>187</v>
      </c>
      <c r="J437" s="61" t="s">
        <v>188</v>
      </c>
      <c r="K437" s="64">
        <v>34.113256113256114</v>
      </c>
      <c r="L437" s="64">
        <v>34.113256113256114</v>
      </c>
      <c r="M437" s="64">
        <v>34.113256113256114</v>
      </c>
      <c r="N437" s="64">
        <v>34.113256113256114</v>
      </c>
      <c r="O437" s="64">
        <v>34.113256113256114</v>
      </c>
      <c r="P437" s="64">
        <v>34.113256113256114</v>
      </c>
      <c r="Q437" s="64">
        <v>34.113256113256114</v>
      </c>
      <c r="R437" s="64">
        <v>34.113256113256114</v>
      </c>
      <c r="S437" s="64">
        <v>34.113256113256114</v>
      </c>
      <c r="T437" s="64">
        <v>34.113256113256114</v>
      </c>
      <c r="U437" s="64">
        <v>34.113256113256114</v>
      </c>
      <c r="V437" s="64">
        <v>34.113256113256114</v>
      </c>
      <c r="W437" s="64">
        <v>34.113256113256114</v>
      </c>
      <c r="X437" s="64">
        <v>34.113256113256114</v>
      </c>
      <c r="Y437" s="64">
        <v>34.113256113256114</v>
      </c>
      <c r="Z437" s="61" t="s">
        <v>216</v>
      </c>
      <c r="AA437" s="68">
        <v>0.29122305078152849</v>
      </c>
      <c r="AB437" s="69">
        <v>1.1428010983920346E-4</v>
      </c>
    </row>
    <row r="438" spans="2:28" x14ac:dyDescent="0.3">
      <c r="B438" s="61" t="s">
        <v>184</v>
      </c>
      <c r="C438" s="61" t="s">
        <v>185</v>
      </c>
      <c r="D438" s="61" t="s">
        <v>121</v>
      </c>
      <c r="E438" s="61" t="s">
        <v>194</v>
      </c>
      <c r="F438" s="61" t="s">
        <v>94</v>
      </c>
      <c r="G438" s="62">
        <v>0.15</v>
      </c>
      <c r="H438" s="63">
        <v>6.5063621211282578</v>
      </c>
      <c r="I438" s="61" t="s">
        <v>187</v>
      </c>
      <c r="J438" s="61" t="s">
        <v>188</v>
      </c>
      <c r="K438" s="64">
        <v>3.6923076923076921</v>
      </c>
      <c r="L438" s="64">
        <v>3.6923076923076921</v>
      </c>
      <c r="M438" s="64">
        <v>3.6923076923076921</v>
      </c>
      <c r="N438" s="64">
        <v>3.6923076923076921</v>
      </c>
      <c r="O438" s="64">
        <v>3.6923076923076921</v>
      </c>
      <c r="P438" s="64">
        <v>3.6923076923076921</v>
      </c>
      <c r="Q438" s="64">
        <v>3.6923076923076921</v>
      </c>
      <c r="R438" s="64">
        <v>3.6923076923076921</v>
      </c>
      <c r="S438" s="64">
        <v>3.6923076923076921</v>
      </c>
      <c r="T438" s="64">
        <v>3.6923076923076921</v>
      </c>
      <c r="U438" s="64">
        <v>3.6923076923076921</v>
      </c>
      <c r="V438" s="64">
        <v>3.6923076923076921</v>
      </c>
      <c r="W438" s="64">
        <v>3.6923076923076921</v>
      </c>
      <c r="X438" s="64">
        <v>3.6923076923076921</v>
      </c>
      <c r="Y438" s="64">
        <v>3.6923076923076921</v>
      </c>
      <c r="Z438" s="61" t="s">
        <v>216</v>
      </c>
      <c r="AA438" s="68">
        <v>3.6534583368262386</v>
      </c>
      <c r="AB438" s="69">
        <v>0</v>
      </c>
    </row>
    <row r="439" spans="2:28" x14ac:dyDescent="0.3">
      <c r="B439" s="61" t="s">
        <v>184</v>
      </c>
      <c r="C439" s="61" t="s">
        <v>185</v>
      </c>
      <c r="D439" s="61" t="s">
        <v>121</v>
      </c>
      <c r="E439" s="61" t="s">
        <v>195</v>
      </c>
      <c r="F439" s="61" t="s">
        <v>93</v>
      </c>
      <c r="G439" s="62">
        <v>1</v>
      </c>
      <c r="H439" s="63">
        <v>6.5063621211282578</v>
      </c>
      <c r="I439" s="61" t="s">
        <v>187</v>
      </c>
      <c r="J439" s="61" t="s">
        <v>188</v>
      </c>
      <c r="K439" s="64">
        <v>69.047619047619051</v>
      </c>
      <c r="L439" s="64">
        <v>69.047619047619051</v>
      </c>
      <c r="M439" s="64">
        <v>69.047619047619051</v>
      </c>
      <c r="N439" s="64">
        <v>69.047619047619051</v>
      </c>
      <c r="O439" s="64">
        <v>69.047619047619051</v>
      </c>
      <c r="P439" s="64">
        <v>69.047619047619051</v>
      </c>
      <c r="Q439" s="64">
        <v>69.047619047619051</v>
      </c>
      <c r="R439" s="64">
        <v>69.047619047619051</v>
      </c>
      <c r="S439" s="64">
        <v>69.047619047619051</v>
      </c>
      <c r="T439" s="64">
        <v>69.047619047619051</v>
      </c>
      <c r="U439" s="64">
        <v>69.047619047619051</v>
      </c>
      <c r="V439" s="64">
        <v>69.047619047619051</v>
      </c>
      <c r="W439" s="64">
        <v>69.047619047619051</v>
      </c>
      <c r="X439" s="64">
        <v>69.047619047619051</v>
      </c>
      <c r="Y439" s="64">
        <v>69.047619047619051</v>
      </c>
      <c r="Z439" s="61" t="s">
        <v>216</v>
      </c>
      <c r="AA439" s="68">
        <v>0.29122305078152849</v>
      </c>
      <c r="AB439" s="69">
        <v>1.1428010983920346E-4</v>
      </c>
    </row>
    <row r="440" spans="2:28" x14ac:dyDescent="0.3">
      <c r="B440" s="61" t="s">
        <v>184</v>
      </c>
      <c r="C440" s="61" t="s">
        <v>185</v>
      </c>
      <c r="D440" s="61" t="s">
        <v>121</v>
      </c>
      <c r="E440" s="61" t="s">
        <v>195</v>
      </c>
      <c r="F440" s="61" t="s">
        <v>94</v>
      </c>
      <c r="G440" s="62">
        <v>1</v>
      </c>
      <c r="H440" s="63">
        <v>6.5063621211282578</v>
      </c>
      <c r="I440" s="61" t="s">
        <v>187</v>
      </c>
      <c r="J440" s="61" t="s">
        <v>188</v>
      </c>
      <c r="K440" s="64">
        <v>0.76923076923076927</v>
      </c>
      <c r="L440" s="64">
        <v>0.76923076923076927</v>
      </c>
      <c r="M440" s="64">
        <v>0.76923076923076927</v>
      </c>
      <c r="N440" s="64">
        <v>0.76923076923076927</v>
      </c>
      <c r="O440" s="64">
        <v>0.76923076923076927</v>
      </c>
      <c r="P440" s="64">
        <v>0.76923076923076927</v>
      </c>
      <c r="Q440" s="64">
        <v>0.76923076923076927</v>
      </c>
      <c r="R440" s="64">
        <v>0.76923076923076927</v>
      </c>
      <c r="S440" s="64">
        <v>0.76923076923076927</v>
      </c>
      <c r="T440" s="64">
        <v>0.76923076923076927</v>
      </c>
      <c r="U440" s="64">
        <v>0.76923076923076927</v>
      </c>
      <c r="V440" s="64">
        <v>0.76923076923076927</v>
      </c>
      <c r="W440" s="64">
        <v>0.76923076923076927</v>
      </c>
      <c r="X440" s="64">
        <v>0.76923076923076927</v>
      </c>
      <c r="Y440" s="64">
        <v>0.76923076923076927</v>
      </c>
      <c r="Z440" s="61" t="s">
        <v>216</v>
      </c>
      <c r="AA440" s="68">
        <v>3.6534583368262386</v>
      </c>
      <c r="AB440" s="69">
        <v>0</v>
      </c>
    </row>
    <row r="441" spans="2:28" x14ac:dyDescent="0.3">
      <c r="B441" s="61" t="s">
        <v>184</v>
      </c>
      <c r="C441" s="61" t="s">
        <v>185</v>
      </c>
      <c r="D441" s="61" t="s">
        <v>121</v>
      </c>
      <c r="E441" s="61" t="s">
        <v>196</v>
      </c>
      <c r="F441" s="61" t="s">
        <v>93</v>
      </c>
      <c r="G441" s="62">
        <v>0.15</v>
      </c>
      <c r="H441" s="63">
        <v>6.5063621211282578</v>
      </c>
      <c r="I441" s="61" t="s">
        <v>187</v>
      </c>
      <c r="J441" s="61" t="s">
        <v>188</v>
      </c>
      <c r="K441" s="64">
        <v>123.61389961389962</v>
      </c>
      <c r="L441" s="64">
        <v>123.61389961389962</v>
      </c>
      <c r="M441" s="64">
        <v>123.61389961389962</v>
      </c>
      <c r="N441" s="64">
        <v>123.61389961389962</v>
      </c>
      <c r="O441" s="64">
        <v>123.61389961389962</v>
      </c>
      <c r="P441" s="64">
        <v>123.61389961389962</v>
      </c>
      <c r="Q441" s="64">
        <v>123.61389961389962</v>
      </c>
      <c r="R441" s="64">
        <v>123.61389961389962</v>
      </c>
      <c r="S441" s="64">
        <v>123.61389961389962</v>
      </c>
      <c r="T441" s="64">
        <v>123.61389961389962</v>
      </c>
      <c r="U441" s="64">
        <v>123.61389961389962</v>
      </c>
      <c r="V441" s="64">
        <v>123.61389961389962</v>
      </c>
      <c r="W441" s="64">
        <v>123.61389961389962</v>
      </c>
      <c r="X441" s="64">
        <v>123.61389961389962</v>
      </c>
      <c r="Y441" s="64">
        <v>123.61389961389962</v>
      </c>
      <c r="Z441" s="61" t="s">
        <v>216</v>
      </c>
      <c r="AA441" s="68">
        <v>0.29122305078152849</v>
      </c>
      <c r="AB441" s="69">
        <v>1.1428010983920346E-4</v>
      </c>
    </row>
    <row r="442" spans="2:28" x14ac:dyDescent="0.3">
      <c r="B442" s="61" t="s">
        <v>184</v>
      </c>
      <c r="C442" s="61" t="s">
        <v>185</v>
      </c>
      <c r="D442" s="61" t="s">
        <v>121</v>
      </c>
      <c r="E442" s="61" t="s">
        <v>196</v>
      </c>
      <c r="F442" s="61" t="s">
        <v>94</v>
      </c>
      <c r="G442" s="62">
        <v>0.15</v>
      </c>
      <c r="H442" s="63">
        <v>6.5063621211282578</v>
      </c>
      <c r="I442" s="61" t="s">
        <v>187</v>
      </c>
      <c r="J442" s="61" t="s">
        <v>188</v>
      </c>
      <c r="K442" s="64">
        <v>28.307692307692303</v>
      </c>
      <c r="L442" s="64">
        <v>28.307692307692303</v>
      </c>
      <c r="M442" s="64">
        <v>28.307692307692303</v>
      </c>
      <c r="N442" s="64">
        <v>28.307692307692303</v>
      </c>
      <c r="O442" s="64">
        <v>28.307692307692303</v>
      </c>
      <c r="P442" s="64">
        <v>28.307692307692303</v>
      </c>
      <c r="Q442" s="64">
        <v>28.307692307692303</v>
      </c>
      <c r="R442" s="64">
        <v>28.307692307692303</v>
      </c>
      <c r="S442" s="64">
        <v>28.307692307692303</v>
      </c>
      <c r="T442" s="64">
        <v>28.307692307692303</v>
      </c>
      <c r="U442" s="64">
        <v>28.307692307692303</v>
      </c>
      <c r="V442" s="64">
        <v>28.307692307692303</v>
      </c>
      <c r="W442" s="64">
        <v>28.307692307692303</v>
      </c>
      <c r="X442" s="64">
        <v>28.307692307692303</v>
      </c>
      <c r="Y442" s="64">
        <v>28.307692307692303</v>
      </c>
      <c r="Z442" s="61" t="s">
        <v>216</v>
      </c>
      <c r="AA442" s="68">
        <v>3.6534583368262386</v>
      </c>
      <c r="AB442" s="69">
        <v>0</v>
      </c>
    </row>
    <row r="443" spans="2:28" x14ac:dyDescent="0.3">
      <c r="B443" s="61" t="s">
        <v>184</v>
      </c>
      <c r="C443" s="61" t="s">
        <v>185</v>
      </c>
      <c r="D443" s="61" t="s">
        <v>121</v>
      </c>
      <c r="E443" s="61" t="s">
        <v>197</v>
      </c>
      <c r="F443" s="61" t="s">
        <v>93</v>
      </c>
      <c r="G443" s="62">
        <v>0.15</v>
      </c>
      <c r="H443" s="63">
        <v>6.5063621211282578</v>
      </c>
      <c r="I443" s="61" t="s">
        <v>187</v>
      </c>
      <c r="J443" s="61" t="s">
        <v>188</v>
      </c>
      <c r="K443" s="64">
        <v>45.496782496782494</v>
      </c>
      <c r="L443" s="64">
        <v>45.496782496782494</v>
      </c>
      <c r="M443" s="64">
        <v>45.496782496782494</v>
      </c>
      <c r="N443" s="64">
        <v>45.496782496782494</v>
      </c>
      <c r="O443" s="64">
        <v>45.496782496782494</v>
      </c>
      <c r="P443" s="64">
        <v>45.496782496782494</v>
      </c>
      <c r="Q443" s="64">
        <v>45.496782496782494</v>
      </c>
      <c r="R443" s="64">
        <v>45.496782496782494</v>
      </c>
      <c r="S443" s="64">
        <v>45.496782496782494</v>
      </c>
      <c r="T443" s="64">
        <v>45.496782496782494</v>
      </c>
      <c r="U443" s="64">
        <v>45.496782496782494</v>
      </c>
      <c r="V443" s="64">
        <v>45.496782496782494</v>
      </c>
      <c r="W443" s="64">
        <v>45.496782496782494</v>
      </c>
      <c r="X443" s="64">
        <v>45.496782496782494</v>
      </c>
      <c r="Y443" s="64">
        <v>45.496782496782494</v>
      </c>
      <c r="Z443" s="61" t="s">
        <v>216</v>
      </c>
      <c r="AA443" s="68">
        <v>0.29122305078152849</v>
      </c>
      <c r="AB443" s="69">
        <v>1.1428010983920346E-4</v>
      </c>
    </row>
    <row r="444" spans="2:28" x14ac:dyDescent="0.3">
      <c r="B444" s="61" t="s">
        <v>184</v>
      </c>
      <c r="C444" s="61" t="s">
        <v>185</v>
      </c>
      <c r="D444" s="61" t="s">
        <v>121</v>
      </c>
      <c r="E444" s="61" t="s">
        <v>197</v>
      </c>
      <c r="F444" s="61" t="s">
        <v>94</v>
      </c>
      <c r="G444" s="62">
        <v>0.15</v>
      </c>
      <c r="H444" s="63">
        <v>6.5063621211282578</v>
      </c>
      <c r="I444" s="61" t="s">
        <v>187</v>
      </c>
      <c r="J444" s="61" t="s">
        <v>188</v>
      </c>
      <c r="K444" s="64">
        <v>1.0769230769230769</v>
      </c>
      <c r="L444" s="64">
        <v>1.0769230769230769</v>
      </c>
      <c r="M444" s="64">
        <v>1.0769230769230769</v>
      </c>
      <c r="N444" s="64">
        <v>1.0769230769230769</v>
      </c>
      <c r="O444" s="64">
        <v>1.0769230769230769</v>
      </c>
      <c r="P444" s="64">
        <v>1.0769230769230769</v>
      </c>
      <c r="Q444" s="64">
        <v>1.0769230769230769</v>
      </c>
      <c r="R444" s="64">
        <v>1.0769230769230769</v>
      </c>
      <c r="S444" s="64">
        <v>1.0769230769230769</v>
      </c>
      <c r="T444" s="64">
        <v>1.0769230769230769</v>
      </c>
      <c r="U444" s="64">
        <v>1.0769230769230769</v>
      </c>
      <c r="V444" s="64">
        <v>1.0769230769230769</v>
      </c>
      <c r="W444" s="64">
        <v>1.0769230769230769</v>
      </c>
      <c r="X444" s="64">
        <v>1.0769230769230769</v>
      </c>
      <c r="Y444" s="64">
        <v>1.0769230769230769</v>
      </c>
      <c r="Z444" s="61" t="s">
        <v>216</v>
      </c>
      <c r="AA444" s="68">
        <v>3.6534583368262386</v>
      </c>
      <c r="AB444" s="69">
        <v>0</v>
      </c>
    </row>
    <row r="445" spans="2:28" x14ac:dyDescent="0.3">
      <c r="B445" s="61" t="s">
        <v>184</v>
      </c>
      <c r="C445" s="61" t="s">
        <v>185</v>
      </c>
      <c r="D445" s="61" t="s">
        <v>121</v>
      </c>
      <c r="E445" s="61" t="s">
        <v>198</v>
      </c>
      <c r="F445" s="61" t="s">
        <v>93</v>
      </c>
      <c r="G445" s="62">
        <v>1</v>
      </c>
      <c r="H445" s="63">
        <v>6.5063621211282578</v>
      </c>
      <c r="I445" s="61" t="s">
        <v>187</v>
      </c>
      <c r="J445" s="61" t="s">
        <v>188</v>
      </c>
      <c r="K445" s="64">
        <v>25.454311454311451</v>
      </c>
      <c r="L445" s="64">
        <v>25.454311454311451</v>
      </c>
      <c r="M445" s="64">
        <v>25.454311454311451</v>
      </c>
      <c r="N445" s="64">
        <v>25.454311454311451</v>
      </c>
      <c r="O445" s="64">
        <v>25.454311454311451</v>
      </c>
      <c r="P445" s="64">
        <v>25.454311454311451</v>
      </c>
      <c r="Q445" s="64">
        <v>25.454311454311451</v>
      </c>
      <c r="R445" s="64">
        <v>25.454311454311451</v>
      </c>
      <c r="S445" s="64">
        <v>25.454311454311451</v>
      </c>
      <c r="T445" s="64">
        <v>25.454311454311451</v>
      </c>
      <c r="U445" s="64">
        <v>25.454311454311451</v>
      </c>
      <c r="V445" s="64">
        <v>25.454311454311451</v>
      </c>
      <c r="W445" s="64">
        <v>25.454311454311451</v>
      </c>
      <c r="X445" s="64">
        <v>25.454311454311451</v>
      </c>
      <c r="Y445" s="64">
        <v>25.454311454311451</v>
      </c>
      <c r="Z445" s="61" t="s">
        <v>216</v>
      </c>
      <c r="AA445" s="68">
        <v>0.29122305078152849</v>
      </c>
      <c r="AB445" s="69">
        <v>1.1428010983920346E-4</v>
      </c>
    </row>
    <row r="446" spans="2:28" x14ac:dyDescent="0.3">
      <c r="B446" s="61" t="s">
        <v>184</v>
      </c>
      <c r="C446" s="61" t="s">
        <v>185</v>
      </c>
      <c r="D446" s="61" t="s">
        <v>121</v>
      </c>
      <c r="E446" s="61" t="s">
        <v>198</v>
      </c>
      <c r="F446" s="61" t="s">
        <v>94</v>
      </c>
      <c r="G446" s="62">
        <v>1</v>
      </c>
      <c r="H446" s="63">
        <v>6.5063621211282578</v>
      </c>
      <c r="I446" s="61" t="s">
        <v>187</v>
      </c>
      <c r="J446" s="61" t="s">
        <v>188</v>
      </c>
      <c r="K446" s="64">
        <v>3.3846153846153841</v>
      </c>
      <c r="L446" s="64">
        <v>3.3846153846153841</v>
      </c>
      <c r="M446" s="64">
        <v>3.3846153846153841</v>
      </c>
      <c r="N446" s="64">
        <v>3.3846153846153841</v>
      </c>
      <c r="O446" s="64">
        <v>3.3846153846153841</v>
      </c>
      <c r="P446" s="64">
        <v>3.3846153846153841</v>
      </c>
      <c r="Q446" s="64">
        <v>3.3846153846153841</v>
      </c>
      <c r="R446" s="64">
        <v>3.3846153846153841</v>
      </c>
      <c r="S446" s="64">
        <v>3.3846153846153841</v>
      </c>
      <c r="T446" s="64">
        <v>3.3846153846153841</v>
      </c>
      <c r="U446" s="64">
        <v>3.3846153846153841</v>
      </c>
      <c r="V446" s="64">
        <v>3.3846153846153841</v>
      </c>
      <c r="W446" s="64">
        <v>3.3846153846153841</v>
      </c>
      <c r="X446" s="64">
        <v>3.3846153846153841</v>
      </c>
      <c r="Y446" s="64">
        <v>3.3846153846153841</v>
      </c>
      <c r="Z446" s="61" t="s">
        <v>216</v>
      </c>
      <c r="AA446" s="68">
        <v>3.6534583368262386</v>
      </c>
      <c r="AB446" s="69">
        <v>0</v>
      </c>
    </row>
    <row r="447" spans="2:28" x14ac:dyDescent="0.3">
      <c r="B447" s="61" t="s">
        <v>184</v>
      </c>
      <c r="C447" s="61" t="s">
        <v>185</v>
      </c>
      <c r="D447" s="61" t="s">
        <v>121</v>
      </c>
      <c r="E447" s="61" t="s">
        <v>199</v>
      </c>
      <c r="F447" s="61" t="s">
        <v>93</v>
      </c>
      <c r="G447" s="62">
        <v>0.05</v>
      </c>
      <c r="H447" s="63">
        <v>6.5063621211282578</v>
      </c>
      <c r="I447" s="61" t="s">
        <v>187</v>
      </c>
      <c r="J447" s="61" t="s">
        <v>188</v>
      </c>
      <c r="K447" s="64">
        <v>18.176319176319176</v>
      </c>
      <c r="L447" s="64">
        <v>18.176319176319176</v>
      </c>
      <c r="M447" s="64">
        <v>18.176319176319176</v>
      </c>
      <c r="N447" s="64">
        <v>18.176319176319176</v>
      </c>
      <c r="O447" s="64">
        <v>18.176319176319176</v>
      </c>
      <c r="P447" s="64">
        <v>18.176319176319176</v>
      </c>
      <c r="Q447" s="64">
        <v>18.176319176319176</v>
      </c>
      <c r="R447" s="64">
        <v>18.176319176319176</v>
      </c>
      <c r="S447" s="64">
        <v>18.176319176319176</v>
      </c>
      <c r="T447" s="64">
        <v>18.176319176319176</v>
      </c>
      <c r="U447" s="64">
        <v>18.176319176319176</v>
      </c>
      <c r="V447" s="64">
        <v>18.176319176319176</v>
      </c>
      <c r="W447" s="64">
        <v>18.176319176319176</v>
      </c>
      <c r="X447" s="64">
        <v>18.176319176319176</v>
      </c>
      <c r="Y447" s="64">
        <v>18.176319176319176</v>
      </c>
      <c r="Z447" s="61" t="s">
        <v>216</v>
      </c>
      <c r="AA447" s="68">
        <v>0.29122305078152849</v>
      </c>
      <c r="AB447" s="69">
        <v>1.1428010983920346E-4</v>
      </c>
    </row>
    <row r="448" spans="2:28" x14ac:dyDescent="0.3">
      <c r="B448" s="61" t="s">
        <v>184</v>
      </c>
      <c r="C448" s="61" t="s">
        <v>185</v>
      </c>
      <c r="D448" s="61" t="s">
        <v>121</v>
      </c>
      <c r="E448" s="61" t="s">
        <v>199</v>
      </c>
      <c r="F448" s="61" t="s">
        <v>94</v>
      </c>
      <c r="G448" s="62">
        <v>0.05</v>
      </c>
      <c r="H448" s="63">
        <v>6.5063621211282578</v>
      </c>
      <c r="I448" s="61" t="s">
        <v>187</v>
      </c>
      <c r="J448" s="61" t="s">
        <v>188</v>
      </c>
      <c r="K448" s="64">
        <v>0.76923076923076927</v>
      </c>
      <c r="L448" s="64">
        <v>0.76923076923076927</v>
      </c>
      <c r="M448" s="64">
        <v>0.76923076923076927</v>
      </c>
      <c r="N448" s="64">
        <v>0.76923076923076927</v>
      </c>
      <c r="O448" s="64">
        <v>0.76923076923076927</v>
      </c>
      <c r="P448" s="64">
        <v>0.76923076923076927</v>
      </c>
      <c r="Q448" s="64">
        <v>0.76923076923076927</v>
      </c>
      <c r="R448" s="64">
        <v>0.76923076923076927</v>
      </c>
      <c r="S448" s="64">
        <v>0.76923076923076927</v>
      </c>
      <c r="T448" s="64">
        <v>0.76923076923076927</v>
      </c>
      <c r="U448" s="64">
        <v>0.76923076923076927</v>
      </c>
      <c r="V448" s="64">
        <v>0.76923076923076927</v>
      </c>
      <c r="W448" s="64">
        <v>0.76923076923076927</v>
      </c>
      <c r="X448" s="64">
        <v>0.76923076923076927</v>
      </c>
      <c r="Y448" s="64">
        <v>0.76923076923076927</v>
      </c>
      <c r="Z448" s="61" t="s">
        <v>216</v>
      </c>
      <c r="AA448" s="68">
        <v>3.6534583368262386</v>
      </c>
      <c r="AB448" s="69">
        <v>0</v>
      </c>
    </row>
    <row r="449" spans="2:28" x14ac:dyDescent="0.3">
      <c r="B449" s="61" t="s">
        <v>184</v>
      </c>
      <c r="C449" s="61" t="s">
        <v>185</v>
      </c>
      <c r="D449" s="61" t="s">
        <v>122</v>
      </c>
      <c r="E449" s="61" t="s">
        <v>186</v>
      </c>
      <c r="F449" s="61" t="s">
        <v>93</v>
      </c>
      <c r="G449" s="62">
        <v>1</v>
      </c>
      <c r="H449" s="63">
        <v>6.5063621211282578</v>
      </c>
      <c r="I449" s="61" t="s">
        <v>187</v>
      </c>
      <c r="J449" s="61" t="s">
        <v>188</v>
      </c>
      <c r="K449" s="64">
        <v>45.259539360605018</v>
      </c>
      <c r="L449" s="64">
        <v>45.259539360605018</v>
      </c>
      <c r="M449" s="64">
        <v>45.259539360605018</v>
      </c>
      <c r="N449" s="64">
        <v>45.259539360605018</v>
      </c>
      <c r="O449" s="64">
        <v>45.259539360605018</v>
      </c>
      <c r="P449" s="64">
        <v>45.259539360605018</v>
      </c>
      <c r="Q449" s="64">
        <v>45.259539360605018</v>
      </c>
      <c r="R449" s="64">
        <v>45.259539360605018</v>
      </c>
      <c r="S449" s="64">
        <v>45.259539360605018</v>
      </c>
      <c r="T449" s="64">
        <v>45.259539360605018</v>
      </c>
      <c r="U449" s="64">
        <v>45.259539360605018</v>
      </c>
      <c r="V449" s="64">
        <v>45.259539360605018</v>
      </c>
      <c r="W449" s="64">
        <v>45.259539360605018</v>
      </c>
      <c r="X449" s="64">
        <v>45.259539360605018</v>
      </c>
      <c r="Y449" s="64">
        <v>45.259539360605018</v>
      </c>
      <c r="Z449" s="61" t="s">
        <v>216</v>
      </c>
      <c r="AA449" s="68">
        <v>0.29122305078152849</v>
      </c>
      <c r="AB449" s="69">
        <v>1.1428010983920346E-4</v>
      </c>
    </row>
    <row r="450" spans="2:28" x14ac:dyDescent="0.3">
      <c r="B450" s="61" t="s">
        <v>184</v>
      </c>
      <c r="C450" s="61" t="s">
        <v>185</v>
      </c>
      <c r="D450" s="61" t="s">
        <v>122</v>
      </c>
      <c r="E450" s="61" t="s">
        <v>189</v>
      </c>
      <c r="F450" s="61" t="s">
        <v>93</v>
      </c>
      <c r="G450" s="62">
        <v>1</v>
      </c>
      <c r="H450" s="63">
        <v>6.5063621211282578</v>
      </c>
      <c r="I450" s="61" t="s">
        <v>187</v>
      </c>
      <c r="J450" s="61" t="s">
        <v>188</v>
      </c>
      <c r="K450" s="64">
        <v>138.60318551621404</v>
      </c>
      <c r="L450" s="64">
        <v>138.60318551621404</v>
      </c>
      <c r="M450" s="64">
        <v>138.60318551621404</v>
      </c>
      <c r="N450" s="64">
        <v>138.60318551621404</v>
      </c>
      <c r="O450" s="64">
        <v>138.60318551621404</v>
      </c>
      <c r="P450" s="64">
        <v>138.60318551621404</v>
      </c>
      <c r="Q450" s="64">
        <v>138.60318551621404</v>
      </c>
      <c r="R450" s="64">
        <v>138.60318551621404</v>
      </c>
      <c r="S450" s="64">
        <v>138.60318551621404</v>
      </c>
      <c r="T450" s="64">
        <v>138.60318551621404</v>
      </c>
      <c r="U450" s="64">
        <v>138.60318551621404</v>
      </c>
      <c r="V450" s="64">
        <v>138.60318551621404</v>
      </c>
      <c r="W450" s="64">
        <v>138.60318551621404</v>
      </c>
      <c r="X450" s="64">
        <v>138.60318551621404</v>
      </c>
      <c r="Y450" s="64">
        <v>138.60318551621404</v>
      </c>
      <c r="Z450" s="61" t="s">
        <v>216</v>
      </c>
      <c r="AA450" s="68">
        <v>0.29122305078152849</v>
      </c>
      <c r="AB450" s="69">
        <v>1.1428010983920346E-4</v>
      </c>
    </row>
    <row r="451" spans="2:28" x14ac:dyDescent="0.3">
      <c r="B451" s="61" t="s">
        <v>184</v>
      </c>
      <c r="C451" s="61" t="s">
        <v>185</v>
      </c>
      <c r="D451" s="61" t="s">
        <v>122</v>
      </c>
      <c r="E451" s="61" t="s">
        <v>190</v>
      </c>
      <c r="F451" s="61" t="s">
        <v>93</v>
      </c>
      <c r="G451" s="62">
        <v>1</v>
      </c>
      <c r="H451" s="63">
        <v>6.5063621211282578</v>
      </c>
      <c r="I451" s="61" t="s">
        <v>187</v>
      </c>
      <c r="J451" s="61" t="s">
        <v>188</v>
      </c>
      <c r="K451" s="64">
        <v>67.457316374470039</v>
      </c>
      <c r="L451" s="64">
        <v>67.457316374470039</v>
      </c>
      <c r="M451" s="64">
        <v>67.457316374470039</v>
      </c>
      <c r="N451" s="64">
        <v>67.457316374470039</v>
      </c>
      <c r="O451" s="64">
        <v>67.457316374470039</v>
      </c>
      <c r="P451" s="64">
        <v>67.457316374470039</v>
      </c>
      <c r="Q451" s="64">
        <v>67.457316374470039</v>
      </c>
      <c r="R451" s="64">
        <v>67.457316374470039</v>
      </c>
      <c r="S451" s="64">
        <v>67.457316374470039</v>
      </c>
      <c r="T451" s="64">
        <v>67.457316374470039</v>
      </c>
      <c r="U451" s="64">
        <v>67.457316374470039</v>
      </c>
      <c r="V451" s="64">
        <v>67.457316374470039</v>
      </c>
      <c r="W451" s="64">
        <v>67.457316374470039</v>
      </c>
      <c r="X451" s="64">
        <v>67.457316374470039</v>
      </c>
      <c r="Y451" s="64">
        <v>67.457316374470039</v>
      </c>
      <c r="Z451" s="61" t="s">
        <v>216</v>
      </c>
      <c r="AA451" s="68">
        <v>0.29122305078152849</v>
      </c>
      <c r="AB451" s="69">
        <v>1.1428010983920346E-4</v>
      </c>
    </row>
    <row r="452" spans="2:28" x14ac:dyDescent="0.3">
      <c r="B452" s="61" t="s">
        <v>184</v>
      </c>
      <c r="C452" s="61" t="s">
        <v>185</v>
      </c>
      <c r="D452" s="61" t="s">
        <v>122</v>
      </c>
      <c r="E452" s="61" t="s">
        <v>191</v>
      </c>
      <c r="F452" s="61" t="s">
        <v>93</v>
      </c>
      <c r="G452" s="62">
        <v>1</v>
      </c>
      <c r="H452" s="63">
        <v>6.5063621211282578</v>
      </c>
      <c r="I452" s="61" t="s">
        <v>187</v>
      </c>
      <c r="J452" s="61" t="s">
        <v>188</v>
      </c>
      <c r="K452" s="64">
        <v>44.129712386845419</v>
      </c>
      <c r="L452" s="64">
        <v>44.129712386845419</v>
      </c>
      <c r="M452" s="64">
        <v>44.129712386845419</v>
      </c>
      <c r="N452" s="64">
        <v>44.129712386845419</v>
      </c>
      <c r="O452" s="64">
        <v>44.129712386845419</v>
      </c>
      <c r="P452" s="64">
        <v>44.129712386845419</v>
      </c>
      <c r="Q452" s="64">
        <v>44.129712386845419</v>
      </c>
      <c r="R452" s="64">
        <v>44.129712386845419</v>
      </c>
      <c r="S452" s="64">
        <v>44.129712386845419</v>
      </c>
      <c r="T452" s="64">
        <v>44.129712386845419</v>
      </c>
      <c r="U452" s="64">
        <v>44.129712386845419</v>
      </c>
      <c r="V452" s="64">
        <v>44.129712386845419</v>
      </c>
      <c r="W452" s="64">
        <v>44.129712386845419</v>
      </c>
      <c r="X452" s="64">
        <v>44.129712386845419</v>
      </c>
      <c r="Y452" s="64">
        <v>44.129712386845419</v>
      </c>
      <c r="Z452" s="61" t="s">
        <v>216</v>
      </c>
      <c r="AA452" s="68">
        <v>0.29122305078152849</v>
      </c>
      <c r="AB452" s="69">
        <v>1.1428010983920346E-4</v>
      </c>
    </row>
    <row r="453" spans="2:28" x14ac:dyDescent="0.3">
      <c r="B453" s="61" t="s">
        <v>184</v>
      </c>
      <c r="C453" s="61" t="s">
        <v>185</v>
      </c>
      <c r="D453" s="61" t="s">
        <v>122</v>
      </c>
      <c r="E453" s="61" t="s">
        <v>192</v>
      </c>
      <c r="F453" s="61" t="s">
        <v>93</v>
      </c>
      <c r="G453" s="62">
        <v>1</v>
      </c>
      <c r="H453" s="63">
        <v>6.5063621211282578</v>
      </c>
      <c r="I453" s="61" t="s">
        <v>187</v>
      </c>
      <c r="J453" s="61" t="s">
        <v>188</v>
      </c>
      <c r="K453" s="64">
        <v>59.515297353042286</v>
      </c>
      <c r="L453" s="64">
        <v>59.515297353042286</v>
      </c>
      <c r="M453" s="64">
        <v>59.515297353042286</v>
      </c>
      <c r="N453" s="64">
        <v>59.515297353042286</v>
      </c>
      <c r="O453" s="64">
        <v>59.515297353042286</v>
      </c>
      <c r="P453" s="64">
        <v>59.515297353042286</v>
      </c>
      <c r="Q453" s="64">
        <v>59.515297353042286</v>
      </c>
      <c r="R453" s="64">
        <v>59.515297353042286</v>
      </c>
      <c r="S453" s="64">
        <v>59.515297353042286</v>
      </c>
      <c r="T453" s="64">
        <v>59.515297353042286</v>
      </c>
      <c r="U453" s="64">
        <v>59.515297353042286</v>
      </c>
      <c r="V453" s="64">
        <v>59.515297353042286</v>
      </c>
      <c r="W453" s="64">
        <v>59.515297353042286</v>
      </c>
      <c r="X453" s="64">
        <v>59.515297353042286</v>
      </c>
      <c r="Y453" s="64">
        <v>59.515297353042286</v>
      </c>
      <c r="Z453" s="61" t="s">
        <v>216</v>
      </c>
      <c r="AA453" s="68">
        <v>0.29122305078152849</v>
      </c>
      <c r="AB453" s="69">
        <v>1.1428010983920346E-4</v>
      </c>
    </row>
    <row r="454" spans="2:28" x14ac:dyDescent="0.3">
      <c r="B454" s="61" t="s">
        <v>184</v>
      </c>
      <c r="C454" s="61" t="s">
        <v>185</v>
      </c>
      <c r="D454" s="61" t="s">
        <v>122</v>
      </c>
      <c r="E454" s="61" t="s">
        <v>193</v>
      </c>
      <c r="F454" s="61" t="s">
        <v>93</v>
      </c>
      <c r="G454" s="62">
        <v>1</v>
      </c>
      <c r="H454" s="63">
        <v>6.5063621211282578</v>
      </c>
      <c r="I454" s="61" t="s">
        <v>187</v>
      </c>
      <c r="J454" s="61" t="s">
        <v>188</v>
      </c>
      <c r="K454" s="64">
        <v>44.030021771513688</v>
      </c>
      <c r="L454" s="64">
        <v>44.030021771513688</v>
      </c>
      <c r="M454" s="64">
        <v>44.030021771513688</v>
      </c>
      <c r="N454" s="64">
        <v>44.030021771513688</v>
      </c>
      <c r="O454" s="64">
        <v>44.030021771513688</v>
      </c>
      <c r="P454" s="64">
        <v>44.030021771513688</v>
      </c>
      <c r="Q454" s="64">
        <v>44.030021771513688</v>
      </c>
      <c r="R454" s="64">
        <v>44.030021771513688</v>
      </c>
      <c r="S454" s="64">
        <v>44.030021771513688</v>
      </c>
      <c r="T454" s="64">
        <v>44.030021771513688</v>
      </c>
      <c r="U454" s="64">
        <v>44.030021771513688</v>
      </c>
      <c r="V454" s="64">
        <v>44.030021771513688</v>
      </c>
      <c r="W454" s="64">
        <v>44.030021771513688</v>
      </c>
      <c r="X454" s="64">
        <v>44.030021771513688</v>
      </c>
      <c r="Y454" s="64">
        <v>44.030021771513688</v>
      </c>
      <c r="Z454" s="61" t="s">
        <v>216</v>
      </c>
      <c r="AA454" s="68">
        <v>0.29122305078152849</v>
      </c>
      <c r="AB454" s="69">
        <v>1.1428010983920346E-4</v>
      </c>
    </row>
    <row r="455" spans="2:28" x14ac:dyDescent="0.3">
      <c r="B455" s="61" t="s">
        <v>184</v>
      </c>
      <c r="C455" s="61" t="s">
        <v>185</v>
      </c>
      <c r="D455" s="61" t="s">
        <v>122</v>
      </c>
      <c r="E455" s="61" t="s">
        <v>194</v>
      </c>
      <c r="F455" s="61" t="s">
        <v>93</v>
      </c>
      <c r="G455" s="62">
        <v>1</v>
      </c>
      <c r="H455" s="63">
        <v>6.5063621211282578</v>
      </c>
      <c r="I455" s="61" t="s">
        <v>187</v>
      </c>
      <c r="J455" s="61" t="s">
        <v>188</v>
      </c>
      <c r="K455" s="64">
        <v>32.798212444138876</v>
      </c>
      <c r="L455" s="64">
        <v>32.798212444138876</v>
      </c>
      <c r="M455" s="64">
        <v>32.798212444138876</v>
      </c>
      <c r="N455" s="64">
        <v>32.798212444138876</v>
      </c>
      <c r="O455" s="64">
        <v>32.798212444138876</v>
      </c>
      <c r="P455" s="64">
        <v>32.798212444138876</v>
      </c>
      <c r="Q455" s="64">
        <v>32.798212444138876</v>
      </c>
      <c r="R455" s="64">
        <v>32.798212444138876</v>
      </c>
      <c r="S455" s="64">
        <v>32.798212444138876</v>
      </c>
      <c r="T455" s="64">
        <v>32.798212444138876</v>
      </c>
      <c r="U455" s="64">
        <v>32.798212444138876</v>
      </c>
      <c r="V455" s="64">
        <v>32.798212444138876</v>
      </c>
      <c r="W455" s="64">
        <v>32.798212444138876</v>
      </c>
      <c r="X455" s="64">
        <v>32.798212444138876</v>
      </c>
      <c r="Y455" s="64">
        <v>32.798212444138876</v>
      </c>
      <c r="Z455" s="61" t="s">
        <v>216</v>
      </c>
      <c r="AA455" s="68">
        <v>0.29122305078152849</v>
      </c>
      <c r="AB455" s="69">
        <v>1.1428010983920346E-4</v>
      </c>
    </row>
    <row r="456" spans="2:28" x14ac:dyDescent="0.3">
      <c r="B456" s="61" t="s">
        <v>184</v>
      </c>
      <c r="C456" s="61" t="s">
        <v>185</v>
      </c>
      <c r="D456" s="61" t="s">
        <v>122</v>
      </c>
      <c r="E456" s="61" t="s">
        <v>195</v>
      </c>
      <c r="F456" s="61" t="s">
        <v>93</v>
      </c>
      <c r="G456" s="62">
        <v>1</v>
      </c>
      <c r="H456" s="63">
        <v>6.5063621211282578</v>
      </c>
      <c r="I456" s="61" t="s">
        <v>187</v>
      </c>
      <c r="J456" s="61" t="s">
        <v>188</v>
      </c>
      <c r="K456" s="64">
        <v>74.46888965280165</v>
      </c>
      <c r="L456" s="64">
        <v>74.46888965280165</v>
      </c>
      <c r="M456" s="64">
        <v>74.46888965280165</v>
      </c>
      <c r="N456" s="64">
        <v>74.46888965280165</v>
      </c>
      <c r="O456" s="64">
        <v>74.46888965280165</v>
      </c>
      <c r="P456" s="64">
        <v>74.46888965280165</v>
      </c>
      <c r="Q456" s="64">
        <v>74.46888965280165</v>
      </c>
      <c r="R456" s="64">
        <v>74.46888965280165</v>
      </c>
      <c r="S456" s="64">
        <v>74.46888965280165</v>
      </c>
      <c r="T456" s="64">
        <v>74.46888965280165</v>
      </c>
      <c r="U456" s="64">
        <v>74.46888965280165</v>
      </c>
      <c r="V456" s="64">
        <v>74.46888965280165</v>
      </c>
      <c r="W456" s="64">
        <v>74.46888965280165</v>
      </c>
      <c r="X456" s="64">
        <v>74.46888965280165</v>
      </c>
      <c r="Y456" s="64">
        <v>74.46888965280165</v>
      </c>
      <c r="Z456" s="61" t="s">
        <v>216</v>
      </c>
      <c r="AA456" s="68">
        <v>0.29122305078152849</v>
      </c>
      <c r="AB456" s="69">
        <v>1.1428010983920346E-4</v>
      </c>
    </row>
    <row r="457" spans="2:28" x14ac:dyDescent="0.3">
      <c r="B457" s="61" t="s">
        <v>184</v>
      </c>
      <c r="C457" s="61" t="s">
        <v>185</v>
      </c>
      <c r="D457" s="61" t="s">
        <v>122</v>
      </c>
      <c r="E457" s="61" t="s">
        <v>196</v>
      </c>
      <c r="F457" s="61" t="s">
        <v>93</v>
      </c>
      <c r="G457" s="62">
        <v>1</v>
      </c>
      <c r="H457" s="63">
        <v>6.5063621211282578</v>
      </c>
      <c r="I457" s="61" t="s">
        <v>187</v>
      </c>
      <c r="J457" s="61" t="s">
        <v>188</v>
      </c>
      <c r="K457" s="64">
        <v>153.49031740575225</v>
      </c>
      <c r="L457" s="64">
        <v>153.49031740575225</v>
      </c>
      <c r="M457" s="64">
        <v>153.49031740575225</v>
      </c>
      <c r="N457" s="64">
        <v>153.49031740575225</v>
      </c>
      <c r="O457" s="64">
        <v>153.49031740575225</v>
      </c>
      <c r="P457" s="64">
        <v>153.49031740575225</v>
      </c>
      <c r="Q457" s="64">
        <v>153.49031740575225</v>
      </c>
      <c r="R457" s="64">
        <v>153.49031740575225</v>
      </c>
      <c r="S457" s="64">
        <v>153.49031740575225</v>
      </c>
      <c r="T457" s="64">
        <v>153.49031740575225</v>
      </c>
      <c r="U457" s="64">
        <v>153.49031740575225</v>
      </c>
      <c r="V457" s="64">
        <v>153.49031740575225</v>
      </c>
      <c r="W457" s="64">
        <v>153.49031740575225</v>
      </c>
      <c r="X457" s="64">
        <v>153.49031740575225</v>
      </c>
      <c r="Y457" s="64">
        <v>153.49031740575225</v>
      </c>
      <c r="Z457" s="61" t="s">
        <v>216</v>
      </c>
      <c r="AA457" s="68">
        <v>0.29122305078152849</v>
      </c>
      <c r="AB457" s="69">
        <v>1.1428010983920346E-4</v>
      </c>
    </row>
    <row r="458" spans="2:28" x14ac:dyDescent="0.3">
      <c r="B458" s="61" t="s">
        <v>184</v>
      </c>
      <c r="C458" s="61" t="s">
        <v>185</v>
      </c>
      <c r="D458" s="61" t="s">
        <v>122</v>
      </c>
      <c r="E458" s="61" t="s">
        <v>197</v>
      </c>
      <c r="F458" s="61" t="s">
        <v>93</v>
      </c>
      <c r="G458" s="62">
        <v>1</v>
      </c>
      <c r="H458" s="63">
        <v>6.5063621211282578</v>
      </c>
      <c r="I458" s="61" t="s">
        <v>187</v>
      </c>
      <c r="J458" s="61" t="s">
        <v>188</v>
      </c>
      <c r="K458" s="64">
        <v>51.041595049845306</v>
      </c>
      <c r="L458" s="64">
        <v>51.041595049845306</v>
      </c>
      <c r="M458" s="64">
        <v>51.041595049845306</v>
      </c>
      <c r="N458" s="64">
        <v>51.041595049845306</v>
      </c>
      <c r="O458" s="64">
        <v>51.041595049845306</v>
      </c>
      <c r="P458" s="64">
        <v>51.041595049845306</v>
      </c>
      <c r="Q458" s="64">
        <v>51.041595049845306</v>
      </c>
      <c r="R458" s="64">
        <v>51.041595049845306</v>
      </c>
      <c r="S458" s="64">
        <v>51.041595049845306</v>
      </c>
      <c r="T458" s="64">
        <v>51.041595049845306</v>
      </c>
      <c r="U458" s="64">
        <v>51.041595049845306</v>
      </c>
      <c r="V458" s="64">
        <v>51.041595049845306</v>
      </c>
      <c r="W458" s="64">
        <v>51.041595049845306</v>
      </c>
      <c r="X458" s="64">
        <v>51.041595049845306</v>
      </c>
      <c r="Y458" s="64">
        <v>51.041595049845306</v>
      </c>
      <c r="Z458" s="61" t="s">
        <v>216</v>
      </c>
      <c r="AA458" s="68">
        <v>0.29122305078152849</v>
      </c>
      <c r="AB458" s="69">
        <v>1.1428010983920346E-4</v>
      </c>
    </row>
    <row r="459" spans="2:28" x14ac:dyDescent="0.3">
      <c r="B459" s="61" t="s">
        <v>184</v>
      </c>
      <c r="C459" s="61" t="s">
        <v>185</v>
      </c>
      <c r="D459" s="61" t="s">
        <v>122</v>
      </c>
      <c r="E459" s="61" t="s">
        <v>198</v>
      </c>
      <c r="F459" s="61" t="s">
        <v>93</v>
      </c>
      <c r="G459" s="62">
        <v>1</v>
      </c>
      <c r="H459" s="63">
        <v>6.5063621211282578</v>
      </c>
      <c r="I459" s="61" t="s">
        <v>187</v>
      </c>
      <c r="J459" s="61" t="s">
        <v>188</v>
      </c>
      <c r="K459" s="64">
        <v>27.315228600893779</v>
      </c>
      <c r="L459" s="64">
        <v>27.315228600893779</v>
      </c>
      <c r="M459" s="64">
        <v>27.315228600893779</v>
      </c>
      <c r="N459" s="64">
        <v>27.315228600893779</v>
      </c>
      <c r="O459" s="64">
        <v>27.315228600893779</v>
      </c>
      <c r="P459" s="64">
        <v>27.315228600893779</v>
      </c>
      <c r="Q459" s="64">
        <v>27.315228600893779</v>
      </c>
      <c r="R459" s="64">
        <v>27.315228600893779</v>
      </c>
      <c r="S459" s="64">
        <v>27.315228600893779</v>
      </c>
      <c r="T459" s="64">
        <v>27.315228600893779</v>
      </c>
      <c r="U459" s="64">
        <v>27.315228600893779</v>
      </c>
      <c r="V459" s="64">
        <v>27.315228600893779</v>
      </c>
      <c r="W459" s="64">
        <v>27.315228600893779</v>
      </c>
      <c r="X459" s="64">
        <v>27.315228600893779</v>
      </c>
      <c r="Y459" s="64">
        <v>27.315228600893779</v>
      </c>
      <c r="Z459" s="61" t="s">
        <v>216</v>
      </c>
      <c r="AA459" s="68">
        <v>0.29122305078152849</v>
      </c>
      <c r="AB459" s="69">
        <v>1.1428010983920346E-4</v>
      </c>
    </row>
    <row r="460" spans="2:28" x14ac:dyDescent="0.3">
      <c r="B460" s="61" t="s">
        <v>184</v>
      </c>
      <c r="C460" s="61" t="s">
        <v>185</v>
      </c>
      <c r="D460" s="61" t="s">
        <v>122</v>
      </c>
      <c r="E460" s="61" t="s">
        <v>199</v>
      </c>
      <c r="F460" s="61" t="s">
        <v>93</v>
      </c>
      <c r="G460" s="62">
        <v>1</v>
      </c>
      <c r="H460" s="63">
        <v>6.5063621211282578</v>
      </c>
      <c r="I460" s="61" t="s">
        <v>187</v>
      </c>
      <c r="J460" s="61" t="s">
        <v>188</v>
      </c>
      <c r="K460" s="64">
        <v>14.255757992437264</v>
      </c>
      <c r="L460" s="64">
        <v>14.255757992437264</v>
      </c>
      <c r="M460" s="64">
        <v>14.255757992437264</v>
      </c>
      <c r="N460" s="64">
        <v>14.255757992437264</v>
      </c>
      <c r="O460" s="64">
        <v>14.255757992437264</v>
      </c>
      <c r="P460" s="64">
        <v>14.255757992437264</v>
      </c>
      <c r="Q460" s="64">
        <v>14.255757992437264</v>
      </c>
      <c r="R460" s="64">
        <v>14.255757992437264</v>
      </c>
      <c r="S460" s="64">
        <v>14.255757992437264</v>
      </c>
      <c r="T460" s="64">
        <v>14.255757992437264</v>
      </c>
      <c r="U460" s="64">
        <v>14.255757992437264</v>
      </c>
      <c r="V460" s="64">
        <v>14.255757992437264</v>
      </c>
      <c r="W460" s="64">
        <v>14.255757992437264</v>
      </c>
      <c r="X460" s="64">
        <v>14.255757992437264</v>
      </c>
      <c r="Y460" s="64">
        <v>14.255757992437264</v>
      </c>
      <c r="Z460" s="61" t="s">
        <v>216</v>
      </c>
      <c r="AA460" s="68">
        <v>0.29122305078152849</v>
      </c>
      <c r="AB460" s="69">
        <v>1.1428010983920346E-4</v>
      </c>
    </row>
    <row r="461" spans="2:28" x14ac:dyDescent="0.3">
      <c r="B461" s="61" t="s">
        <v>184</v>
      </c>
      <c r="C461" s="61" t="s">
        <v>185</v>
      </c>
      <c r="D461" s="61" t="s">
        <v>200</v>
      </c>
      <c r="E461" s="61" t="s">
        <v>186</v>
      </c>
      <c r="F461" s="61" t="s">
        <v>94</v>
      </c>
      <c r="G461" s="62">
        <v>1</v>
      </c>
      <c r="H461" s="63">
        <v>6.5063621211282578</v>
      </c>
      <c r="I461" s="61" t="s">
        <v>187</v>
      </c>
      <c r="J461" s="61" t="s">
        <v>188</v>
      </c>
      <c r="K461" s="64">
        <v>5.6111665004985039</v>
      </c>
      <c r="L461" s="64">
        <v>5.6111665004985039</v>
      </c>
      <c r="M461" s="64">
        <v>5.6111665004985039</v>
      </c>
      <c r="N461" s="64">
        <v>5.6111665004985039</v>
      </c>
      <c r="O461" s="64">
        <v>5.6111665004985039</v>
      </c>
      <c r="P461" s="64">
        <v>5.6111665004985039</v>
      </c>
      <c r="Q461" s="64">
        <v>5.6111665004985039</v>
      </c>
      <c r="R461" s="64">
        <v>5.6111665004985039</v>
      </c>
      <c r="S461" s="64">
        <v>5.6111665004985039</v>
      </c>
      <c r="T461" s="64">
        <v>5.6111665004985039</v>
      </c>
      <c r="U461" s="64">
        <v>5.6111665004985039</v>
      </c>
      <c r="V461" s="64">
        <v>5.6111665004985039</v>
      </c>
      <c r="W461" s="64">
        <v>5.6111665004985039</v>
      </c>
      <c r="X461" s="64">
        <v>5.6111665004985039</v>
      </c>
      <c r="Y461" s="64">
        <v>5.6111665004985039</v>
      </c>
      <c r="Z461" s="61" t="s">
        <v>216</v>
      </c>
      <c r="AA461" s="68">
        <v>3.6534583368262386</v>
      </c>
      <c r="AB461" s="69">
        <v>0</v>
      </c>
    </row>
    <row r="462" spans="2:28" x14ac:dyDescent="0.3">
      <c r="B462" s="61" t="s">
        <v>184</v>
      </c>
      <c r="C462" s="61" t="s">
        <v>185</v>
      </c>
      <c r="D462" s="61" t="s">
        <v>200</v>
      </c>
      <c r="E462" s="61" t="s">
        <v>189</v>
      </c>
      <c r="F462" s="61" t="s">
        <v>94</v>
      </c>
      <c r="G462" s="62">
        <v>1</v>
      </c>
      <c r="H462" s="63">
        <v>6.5063621211282578</v>
      </c>
      <c r="I462" s="61" t="s">
        <v>187</v>
      </c>
      <c r="J462" s="61" t="s">
        <v>188</v>
      </c>
      <c r="K462" s="64">
        <v>4.1036889332003987</v>
      </c>
      <c r="L462" s="64">
        <v>4.1036889332003987</v>
      </c>
      <c r="M462" s="64">
        <v>4.1036889332003987</v>
      </c>
      <c r="N462" s="64">
        <v>4.1036889332003987</v>
      </c>
      <c r="O462" s="64">
        <v>4.1036889332003987</v>
      </c>
      <c r="P462" s="64">
        <v>4.1036889332003987</v>
      </c>
      <c r="Q462" s="64">
        <v>4.1036889332003987</v>
      </c>
      <c r="R462" s="64">
        <v>4.1036889332003987</v>
      </c>
      <c r="S462" s="64">
        <v>4.1036889332003987</v>
      </c>
      <c r="T462" s="64">
        <v>4.1036889332003987</v>
      </c>
      <c r="U462" s="64">
        <v>4.1036889332003987</v>
      </c>
      <c r="V462" s="64">
        <v>4.1036889332003987</v>
      </c>
      <c r="W462" s="64">
        <v>4.1036889332003987</v>
      </c>
      <c r="X462" s="64">
        <v>4.1036889332003987</v>
      </c>
      <c r="Y462" s="64">
        <v>4.1036889332003987</v>
      </c>
      <c r="Z462" s="61" t="s">
        <v>216</v>
      </c>
      <c r="AA462" s="68">
        <v>3.6534583368262386</v>
      </c>
      <c r="AB462" s="69">
        <v>0</v>
      </c>
    </row>
    <row r="463" spans="2:28" x14ac:dyDescent="0.3">
      <c r="B463" s="61" t="s">
        <v>184</v>
      </c>
      <c r="C463" s="61" t="s">
        <v>185</v>
      </c>
      <c r="D463" s="61" t="s">
        <v>200</v>
      </c>
      <c r="E463" s="61" t="s">
        <v>190</v>
      </c>
      <c r="F463" s="61" t="s">
        <v>94</v>
      </c>
      <c r="G463" s="62">
        <v>1</v>
      </c>
      <c r="H463" s="63">
        <v>6.5063621211282578</v>
      </c>
      <c r="I463" s="61" t="s">
        <v>187</v>
      </c>
      <c r="J463" s="61" t="s">
        <v>188</v>
      </c>
      <c r="K463" s="64">
        <v>10.803589232303091</v>
      </c>
      <c r="L463" s="64">
        <v>10.803589232303091</v>
      </c>
      <c r="M463" s="64">
        <v>10.803589232303091</v>
      </c>
      <c r="N463" s="64">
        <v>10.803589232303091</v>
      </c>
      <c r="O463" s="64">
        <v>10.803589232303091</v>
      </c>
      <c r="P463" s="64">
        <v>10.803589232303091</v>
      </c>
      <c r="Q463" s="64">
        <v>10.803589232303091</v>
      </c>
      <c r="R463" s="64">
        <v>10.803589232303091</v>
      </c>
      <c r="S463" s="64">
        <v>10.803589232303091</v>
      </c>
      <c r="T463" s="64">
        <v>10.803589232303091</v>
      </c>
      <c r="U463" s="64">
        <v>10.803589232303091</v>
      </c>
      <c r="V463" s="64">
        <v>10.803589232303091</v>
      </c>
      <c r="W463" s="64">
        <v>10.803589232303091</v>
      </c>
      <c r="X463" s="64">
        <v>10.803589232303091</v>
      </c>
      <c r="Y463" s="64">
        <v>10.803589232303091</v>
      </c>
      <c r="Z463" s="61" t="s">
        <v>216</v>
      </c>
      <c r="AA463" s="68">
        <v>3.6534583368262386</v>
      </c>
      <c r="AB463" s="69">
        <v>0</v>
      </c>
    </row>
    <row r="464" spans="2:28" x14ac:dyDescent="0.3">
      <c r="B464" s="61" t="s">
        <v>184</v>
      </c>
      <c r="C464" s="61" t="s">
        <v>185</v>
      </c>
      <c r="D464" s="61" t="s">
        <v>200</v>
      </c>
      <c r="E464" s="61" t="s">
        <v>191</v>
      </c>
      <c r="F464" s="61" t="s">
        <v>94</v>
      </c>
      <c r="G464" s="62">
        <v>1</v>
      </c>
      <c r="H464" s="63">
        <v>6.5063621211282578</v>
      </c>
      <c r="I464" s="61" t="s">
        <v>187</v>
      </c>
      <c r="J464" s="61" t="s">
        <v>188</v>
      </c>
      <c r="K464" s="64">
        <v>8.6261216350947159</v>
      </c>
      <c r="L464" s="64">
        <v>8.6261216350947159</v>
      </c>
      <c r="M464" s="64">
        <v>8.6261216350947159</v>
      </c>
      <c r="N464" s="64">
        <v>8.6261216350947159</v>
      </c>
      <c r="O464" s="64">
        <v>8.6261216350947159</v>
      </c>
      <c r="P464" s="64">
        <v>8.6261216350947159</v>
      </c>
      <c r="Q464" s="64">
        <v>8.6261216350947159</v>
      </c>
      <c r="R464" s="64">
        <v>8.6261216350947159</v>
      </c>
      <c r="S464" s="64">
        <v>8.6261216350947159</v>
      </c>
      <c r="T464" s="64">
        <v>8.6261216350947159</v>
      </c>
      <c r="U464" s="64">
        <v>8.6261216350947159</v>
      </c>
      <c r="V464" s="64">
        <v>8.6261216350947159</v>
      </c>
      <c r="W464" s="64">
        <v>8.6261216350947159</v>
      </c>
      <c r="X464" s="64">
        <v>8.6261216350947159</v>
      </c>
      <c r="Y464" s="64">
        <v>8.6261216350947159</v>
      </c>
      <c r="Z464" s="61" t="s">
        <v>216</v>
      </c>
      <c r="AA464" s="68">
        <v>3.6534583368262386</v>
      </c>
      <c r="AB464" s="69">
        <v>0</v>
      </c>
    </row>
    <row r="465" spans="2:28" x14ac:dyDescent="0.3">
      <c r="B465" s="61" t="s">
        <v>184</v>
      </c>
      <c r="C465" s="61" t="s">
        <v>185</v>
      </c>
      <c r="D465" s="61" t="s">
        <v>200</v>
      </c>
      <c r="E465" s="61" t="s">
        <v>192</v>
      </c>
      <c r="F465" s="61" t="s">
        <v>94</v>
      </c>
      <c r="G465" s="62">
        <v>1</v>
      </c>
      <c r="H465" s="63">
        <v>6.5063621211282578</v>
      </c>
      <c r="I465" s="61" t="s">
        <v>187</v>
      </c>
      <c r="J465" s="61" t="s">
        <v>188</v>
      </c>
      <c r="K465" s="64">
        <v>4.3549351944167496</v>
      </c>
      <c r="L465" s="64">
        <v>4.3549351944167496</v>
      </c>
      <c r="M465" s="64">
        <v>4.3549351944167496</v>
      </c>
      <c r="N465" s="64">
        <v>4.3549351944167496</v>
      </c>
      <c r="O465" s="64">
        <v>4.3549351944167496</v>
      </c>
      <c r="P465" s="64">
        <v>4.3549351944167496</v>
      </c>
      <c r="Q465" s="64">
        <v>4.3549351944167496</v>
      </c>
      <c r="R465" s="64">
        <v>4.3549351944167496</v>
      </c>
      <c r="S465" s="64">
        <v>4.3549351944167496</v>
      </c>
      <c r="T465" s="64">
        <v>4.3549351944167496</v>
      </c>
      <c r="U465" s="64">
        <v>4.3549351944167496</v>
      </c>
      <c r="V465" s="64">
        <v>4.3549351944167496</v>
      </c>
      <c r="W465" s="64">
        <v>4.3549351944167496</v>
      </c>
      <c r="X465" s="64">
        <v>4.3549351944167496</v>
      </c>
      <c r="Y465" s="64">
        <v>4.3549351944167496</v>
      </c>
      <c r="Z465" s="61" t="s">
        <v>216</v>
      </c>
      <c r="AA465" s="68">
        <v>3.6534583368262386</v>
      </c>
      <c r="AB465" s="69">
        <v>0</v>
      </c>
    </row>
    <row r="466" spans="2:28" x14ac:dyDescent="0.3">
      <c r="B466" s="61" t="s">
        <v>184</v>
      </c>
      <c r="C466" s="61" t="s">
        <v>185</v>
      </c>
      <c r="D466" s="61" t="s">
        <v>200</v>
      </c>
      <c r="E466" s="61" t="s">
        <v>193</v>
      </c>
      <c r="F466" s="61" t="s">
        <v>94</v>
      </c>
      <c r="G466" s="62">
        <v>1</v>
      </c>
      <c r="H466" s="63">
        <v>6.5063621211282578</v>
      </c>
      <c r="I466" s="61" t="s">
        <v>187</v>
      </c>
      <c r="J466" s="61" t="s">
        <v>188</v>
      </c>
      <c r="K466" s="64">
        <v>0.83748753738783654</v>
      </c>
      <c r="L466" s="64">
        <v>0.83748753738783654</v>
      </c>
      <c r="M466" s="64">
        <v>0.83748753738783654</v>
      </c>
      <c r="N466" s="64">
        <v>0.83748753738783654</v>
      </c>
      <c r="O466" s="64">
        <v>0.83748753738783654</v>
      </c>
      <c r="P466" s="64">
        <v>0.83748753738783654</v>
      </c>
      <c r="Q466" s="64">
        <v>0.83748753738783654</v>
      </c>
      <c r="R466" s="64">
        <v>0.83748753738783654</v>
      </c>
      <c r="S466" s="64">
        <v>0.83748753738783654</v>
      </c>
      <c r="T466" s="64">
        <v>0.83748753738783654</v>
      </c>
      <c r="U466" s="64">
        <v>0.83748753738783654</v>
      </c>
      <c r="V466" s="64">
        <v>0.83748753738783654</v>
      </c>
      <c r="W466" s="64">
        <v>0.83748753738783654</v>
      </c>
      <c r="X466" s="64">
        <v>0.83748753738783654</v>
      </c>
      <c r="Y466" s="64">
        <v>0.83748753738783654</v>
      </c>
      <c r="Z466" s="61" t="s">
        <v>216</v>
      </c>
      <c r="AA466" s="68">
        <v>3.6534583368262386</v>
      </c>
      <c r="AB466" s="69">
        <v>0</v>
      </c>
    </row>
    <row r="467" spans="2:28" x14ac:dyDescent="0.3">
      <c r="B467" s="61" t="s">
        <v>184</v>
      </c>
      <c r="C467" s="61" t="s">
        <v>185</v>
      </c>
      <c r="D467" s="61" t="s">
        <v>200</v>
      </c>
      <c r="E467" s="61" t="s">
        <v>194</v>
      </c>
      <c r="F467" s="61" t="s">
        <v>94</v>
      </c>
      <c r="G467" s="62">
        <v>1</v>
      </c>
      <c r="H467" s="63">
        <v>6.5063621211282578</v>
      </c>
      <c r="I467" s="61" t="s">
        <v>187</v>
      </c>
      <c r="J467" s="61" t="s">
        <v>188</v>
      </c>
      <c r="K467" s="64">
        <v>3.0149551345962116</v>
      </c>
      <c r="L467" s="64">
        <v>3.0149551345962116</v>
      </c>
      <c r="M467" s="64">
        <v>3.0149551345962116</v>
      </c>
      <c r="N467" s="64">
        <v>3.0149551345962116</v>
      </c>
      <c r="O467" s="64">
        <v>3.0149551345962116</v>
      </c>
      <c r="P467" s="64">
        <v>3.0149551345962116</v>
      </c>
      <c r="Q467" s="64">
        <v>3.0149551345962116</v>
      </c>
      <c r="R467" s="64">
        <v>3.0149551345962116</v>
      </c>
      <c r="S467" s="64">
        <v>3.0149551345962116</v>
      </c>
      <c r="T467" s="64">
        <v>3.0149551345962116</v>
      </c>
      <c r="U467" s="64">
        <v>3.0149551345962116</v>
      </c>
      <c r="V467" s="64">
        <v>3.0149551345962116</v>
      </c>
      <c r="W467" s="64">
        <v>3.0149551345962116</v>
      </c>
      <c r="X467" s="64">
        <v>3.0149551345962116</v>
      </c>
      <c r="Y467" s="64">
        <v>3.0149551345962116</v>
      </c>
      <c r="Z467" s="61" t="s">
        <v>216</v>
      </c>
      <c r="AA467" s="68">
        <v>3.6534583368262386</v>
      </c>
      <c r="AB467" s="69">
        <v>0</v>
      </c>
    </row>
    <row r="468" spans="2:28" x14ac:dyDescent="0.3">
      <c r="B468" s="61" t="s">
        <v>184</v>
      </c>
      <c r="C468" s="61" t="s">
        <v>185</v>
      </c>
      <c r="D468" s="61" t="s">
        <v>200</v>
      </c>
      <c r="E468" s="61" t="s">
        <v>195</v>
      </c>
      <c r="F468" s="61" t="s">
        <v>94</v>
      </c>
      <c r="G468" s="62">
        <v>1</v>
      </c>
      <c r="H468" s="63">
        <v>6.5063621211282578</v>
      </c>
      <c r="I468" s="61" t="s">
        <v>187</v>
      </c>
      <c r="J468" s="61" t="s">
        <v>188</v>
      </c>
      <c r="K468" s="64">
        <v>1.2562313060817549</v>
      </c>
      <c r="L468" s="64">
        <v>1.2562313060817549</v>
      </c>
      <c r="M468" s="64">
        <v>1.2562313060817549</v>
      </c>
      <c r="N468" s="64">
        <v>1.2562313060817549</v>
      </c>
      <c r="O468" s="64">
        <v>1.2562313060817549</v>
      </c>
      <c r="P468" s="64">
        <v>1.2562313060817549</v>
      </c>
      <c r="Q468" s="64">
        <v>1.2562313060817549</v>
      </c>
      <c r="R468" s="64">
        <v>1.2562313060817549</v>
      </c>
      <c r="S468" s="64">
        <v>1.2562313060817549</v>
      </c>
      <c r="T468" s="64">
        <v>1.2562313060817549</v>
      </c>
      <c r="U468" s="64">
        <v>1.2562313060817549</v>
      </c>
      <c r="V468" s="64">
        <v>1.2562313060817549</v>
      </c>
      <c r="W468" s="64">
        <v>1.2562313060817549</v>
      </c>
      <c r="X468" s="64">
        <v>1.2562313060817549</v>
      </c>
      <c r="Y468" s="64">
        <v>1.2562313060817549</v>
      </c>
      <c r="Z468" s="61" t="s">
        <v>216</v>
      </c>
      <c r="AA468" s="68">
        <v>3.6534583368262386</v>
      </c>
      <c r="AB468" s="69">
        <v>0</v>
      </c>
    </row>
    <row r="469" spans="2:28" x14ac:dyDescent="0.3">
      <c r="B469" s="61" t="s">
        <v>184</v>
      </c>
      <c r="C469" s="61" t="s">
        <v>185</v>
      </c>
      <c r="D469" s="61" t="s">
        <v>200</v>
      </c>
      <c r="E469" s="61" t="s">
        <v>196</v>
      </c>
      <c r="F469" s="61" t="s">
        <v>94</v>
      </c>
      <c r="G469" s="62">
        <v>1</v>
      </c>
      <c r="H469" s="63">
        <v>6.5063621211282578</v>
      </c>
      <c r="I469" s="61" t="s">
        <v>187</v>
      </c>
      <c r="J469" s="61" t="s">
        <v>188</v>
      </c>
      <c r="K469" s="64">
        <v>35.676969092721833</v>
      </c>
      <c r="L469" s="64">
        <v>35.676969092721833</v>
      </c>
      <c r="M469" s="64">
        <v>35.676969092721833</v>
      </c>
      <c r="N469" s="64">
        <v>35.676969092721833</v>
      </c>
      <c r="O469" s="64">
        <v>35.676969092721833</v>
      </c>
      <c r="P469" s="64">
        <v>35.676969092721833</v>
      </c>
      <c r="Q469" s="64">
        <v>35.676969092721833</v>
      </c>
      <c r="R469" s="64">
        <v>35.676969092721833</v>
      </c>
      <c r="S469" s="64">
        <v>35.676969092721833</v>
      </c>
      <c r="T469" s="64">
        <v>35.676969092721833</v>
      </c>
      <c r="U469" s="64">
        <v>35.676969092721833</v>
      </c>
      <c r="V469" s="64">
        <v>35.676969092721833</v>
      </c>
      <c r="W469" s="64">
        <v>35.676969092721833</v>
      </c>
      <c r="X469" s="64">
        <v>35.676969092721833</v>
      </c>
      <c r="Y469" s="64">
        <v>35.676969092721833</v>
      </c>
      <c r="Z469" s="61" t="s">
        <v>216</v>
      </c>
      <c r="AA469" s="68">
        <v>3.6534583368262386</v>
      </c>
      <c r="AB469" s="69">
        <v>0</v>
      </c>
    </row>
    <row r="470" spans="2:28" x14ac:dyDescent="0.3">
      <c r="B470" s="61" t="s">
        <v>184</v>
      </c>
      <c r="C470" s="61" t="s">
        <v>185</v>
      </c>
      <c r="D470" s="61" t="s">
        <v>200</v>
      </c>
      <c r="E470" s="61" t="s">
        <v>197</v>
      </c>
      <c r="F470" s="61" t="s">
        <v>94</v>
      </c>
      <c r="G470" s="62">
        <v>1</v>
      </c>
      <c r="H470" s="63">
        <v>6.5063621211282578</v>
      </c>
      <c r="I470" s="61" t="s">
        <v>187</v>
      </c>
      <c r="J470" s="61" t="s">
        <v>188</v>
      </c>
      <c r="K470" s="64">
        <v>0.33499501495513462</v>
      </c>
      <c r="L470" s="64">
        <v>0.33499501495513462</v>
      </c>
      <c r="M470" s="64">
        <v>0.33499501495513462</v>
      </c>
      <c r="N470" s="64">
        <v>0.33499501495513462</v>
      </c>
      <c r="O470" s="64">
        <v>0.33499501495513462</v>
      </c>
      <c r="P470" s="64">
        <v>0.33499501495513462</v>
      </c>
      <c r="Q470" s="64">
        <v>0.33499501495513462</v>
      </c>
      <c r="R470" s="64">
        <v>0.33499501495513462</v>
      </c>
      <c r="S470" s="64">
        <v>0.33499501495513462</v>
      </c>
      <c r="T470" s="64">
        <v>0.33499501495513462</v>
      </c>
      <c r="U470" s="64">
        <v>0.33499501495513462</v>
      </c>
      <c r="V470" s="64">
        <v>0.33499501495513462</v>
      </c>
      <c r="W470" s="64">
        <v>0.33499501495513462</v>
      </c>
      <c r="X470" s="64">
        <v>0.33499501495513462</v>
      </c>
      <c r="Y470" s="64">
        <v>0.33499501495513462</v>
      </c>
      <c r="Z470" s="61" t="s">
        <v>216</v>
      </c>
      <c r="AA470" s="68">
        <v>3.6534583368262386</v>
      </c>
      <c r="AB470" s="69">
        <v>0</v>
      </c>
    </row>
    <row r="471" spans="2:28" x14ac:dyDescent="0.3">
      <c r="B471" s="61" t="s">
        <v>184</v>
      </c>
      <c r="C471" s="61" t="s">
        <v>185</v>
      </c>
      <c r="D471" s="61" t="s">
        <v>200</v>
      </c>
      <c r="E471" s="61" t="s">
        <v>198</v>
      </c>
      <c r="F471" s="61" t="s">
        <v>94</v>
      </c>
      <c r="G471" s="62">
        <v>1</v>
      </c>
      <c r="H471" s="63">
        <v>6.5063621211282578</v>
      </c>
      <c r="I471" s="61" t="s">
        <v>187</v>
      </c>
      <c r="J471" s="61" t="s">
        <v>188</v>
      </c>
      <c r="K471" s="64">
        <v>1.5912263210368891</v>
      </c>
      <c r="L471" s="64">
        <v>1.5912263210368891</v>
      </c>
      <c r="M471" s="64">
        <v>1.5912263210368891</v>
      </c>
      <c r="N471" s="64">
        <v>1.5912263210368891</v>
      </c>
      <c r="O471" s="64">
        <v>1.5912263210368891</v>
      </c>
      <c r="P471" s="64">
        <v>1.5912263210368891</v>
      </c>
      <c r="Q471" s="64">
        <v>1.5912263210368891</v>
      </c>
      <c r="R471" s="64">
        <v>1.5912263210368891</v>
      </c>
      <c r="S471" s="64">
        <v>1.5912263210368891</v>
      </c>
      <c r="T471" s="64">
        <v>1.5912263210368891</v>
      </c>
      <c r="U471" s="64">
        <v>1.5912263210368891</v>
      </c>
      <c r="V471" s="64">
        <v>1.5912263210368891</v>
      </c>
      <c r="W471" s="64">
        <v>1.5912263210368891</v>
      </c>
      <c r="X471" s="64">
        <v>1.5912263210368891</v>
      </c>
      <c r="Y471" s="64">
        <v>1.5912263210368891</v>
      </c>
      <c r="Z471" s="61" t="s">
        <v>216</v>
      </c>
      <c r="AA471" s="68">
        <v>3.6534583368262386</v>
      </c>
      <c r="AB471" s="69">
        <v>0</v>
      </c>
    </row>
    <row r="472" spans="2:28" x14ac:dyDescent="0.3">
      <c r="B472" s="61" t="s">
        <v>184</v>
      </c>
      <c r="C472" s="61" t="s">
        <v>185</v>
      </c>
      <c r="D472" s="61" t="s">
        <v>200</v>
      </c>
      <c r="E472" s="61" t="s">
        <v>199</v>
      </c>
      <c r="F472" s="61" t="s">
        <v>94</v>
      </c>
      <c r="G472" s="62">
        <v>1</v>
      </c>
      <c r="H472" s="63">
        <v>6.5063621211282578</v>
      </c>
      <c r="I472" s="61" t="s">
        <v>187</v>
      </c>
      <c r="J472" s="61" t="s">
        <v>188</v>
      </c>
      <c r="K472" s="64">
        <v>0.33499501495513462</v>
      </c>
      <c r="L472" s="64">
        <v>0.33499501495513462</v>
      </c>
      <c r="M472" s="64">
        <v>0.33499501495513462</v>
      </c>
      <c r="N472" s="64">
        <v>0.33499501495513462</v>
      </c>
      <c r="O472" s="64">
        <v>0.33499501495513462</v>
      </c>
      <c r="P472" s="64">
        <v>0.33499501495513462</v>
      </c>
      <c r="Q472" s="64">
        <v>0.33499501495513462</v>
      </c>
      <c r="R472" s="64">
        <v>0.33499501495513462</v>
      </c>
      <c r="S472" s="64">
        <v>0.33499501495513462</v>
      </c>
      <c r="T472" s="64">
        <v>0.33499501495513462</v>
      </c>
      <c r="U472" s="64">
        <v>0.33499501495513462</v>
      </c>
      <c r="V472" s="64">
        <v>0.33499501495513462</v>
      </c>
      <c r="W472" s="64">
        <v>0.33499501495513462</v>
      </c>
      <c r="X472" s="64">
        <v>0.33499501495513462</v>
      </c>
      <c r="Y472" s="64">
        <v>0.33499501495513462</v>
      </c>
      <c r="Z472" s="61" t="s">
        <v>216</v>
      </c>
      <c r="AA472" s="68">
        <v>3.6534583368262386</v>
      </c>
      <c r="AB472" s="69">
        <v>0</v>
      </c>
    </row>
    <row r="473" spans="2:28" x14ac:dyDescent="0.3">
      <c r="B473" s="61" t="s">
        <v>184</v>
      </c>
      <c r="C473" s="61" t="s">
        <v>185</v>
      </c>
      <c r="D473" s="61" t="s">
        <v>123</v>
      </c>
      <c r="E473" s="61" t="s">
        <v>186</v>
      </c>
      <c r="F473" s="61" t="s">
        <v>93</v>
      </c>
      <c r="G473" s="62">
        <v>1</v>
      </c>
      <c r="H473" s="63">
        <v>6.5063621211282578</v>
      </c>
      <c r="I473" s="61" t="s">
        <v>187</v>
      </c>
      <c r="J473" s="61" t="s">
        <v>188</v>
      </c>
      <c r="K473" s="64">
        <v>36.54187228674261</v>
      </c>
      <c r="L473" s="64">
        <v>36.54187228674261</v>
      </c>
      <c r="M473" s="64">
        <v>36.54187228674261</v>
      </c>
      <c r="N473" s="64">
        <v>36.54187228674261</v>
      </c>
      <c r="O473" s="64">
        <v>36.54187228674261</v>
      </c>
      <c r="P473" s="64">
        <v>36.54187228674261</v>
      </c>
      <c r="Q473" s="64">
        <v>36.54187228674261</v>
      </c>
      <c r="R473" s="64">
        <v>36.54187228674261</v>
      </c>
      <c r="S473" s="64">
        <v>36.54187228674261</v>
      </c>
      <c r="T473" s="64">
        <v>36.54187228674261</v>
      </c>
      <c r="U473" s="64">
        <v>36.54187228674261</v>
      </c>
      <c r="V473" s="64">
        <v>36.54187228674261</v>
      </c>
      <c r="W473" s="64">
        <v>36.54187228674261</v>
      </c>
      <c r="X473" s="64">
        <v>36.54187228674261</v>
      </c>
      <c r="Y473" s="64">
        <v>36.54187228674261</v>
      </c>
      <c r="Z473" s="61" t="s">
        <v>216</v>
      </c>
      <c r="AA473" s="68">
        <v>0.29122305078152849</v>
      </c>
      <c r="AB473" s="69">
        <v>1.1428010983920346E-4</v>
      </c>
    </row>
    <row r="474" spans="2:28" x14ac:dyDescent="0.3">
      <c r="B474" s="61" t="s">
        <v>184</v>
      </c>
      <c r="C474" s="61" t="s">
        <v>185</v>
      </c>
      <c r="D474" s="61" t="s">
        <v>123</v>
      </c>
      <c r="E474" s="61" t="s">
        <v>186</v>
      </c>
      <c r="F474" s="61" t="s">
        <v>94</v>
      </c>
      <c r="G474" s="62">
        <v>1</v>
      </c>
      <c r="H474" s="63">
        <v>6.5063621211282578</v>
      </c>
      <c r="I474" s="61" t="s">
        <v>187</v>
      </c>
      <c r="J474" s="61" t="s">
        <v>188</v>
      </c>
      <c r="K474" s="64">
        <v>7.3265720081135894</v>
      </c>
      <c r="L474" s="64">
        <v>7.3265720081135894</v>
      </c>
      <c r="M474" s="64">
        <v>7.3265720081135894</v>
      </c>
      <c r="N474" s="64">
        <v>7.3265720081135894</v>
      </c>
      <c r="O474" s="64">
        <v>7.3265720081135894</v>
      </c>
      <c r="P474" s="64">
        <v>7.3265720081135894</v>
      </c>
      <c r="Q474" s="64">
        <v>7.3265720081135894</v>
      </c>
      <c r="R474" s="64">
        <v>7.3265720081135894</v>
      </c>
      <c r="S474" s="64">
        <v>7.3265720081135894</v>
      </c>
      <c r="T474" s="64">
        <v>7.3265720081135894</v>
      </c>
      <c r="U474" s="64">
        <v>7.3265720081135894</v>
      </c>
      <c r="V474" s="64">
        <v>7.3265720081135894</v>
      </c>
      <c r="W474" s="64">
        <v>7.3265720081135894</v>
      </c>
      <c r="X474" s="64">
        <v>7.3265720081135894</v>
      </c>
      <c r="Y474" s="64">
        <v>7.3265720081135894</v>
      </c>
      <c r="Z474" s="61" t="s">
        <v>216</v>
      </c>
      <c r="AA474" s="68">
        <v>3.6534583368262386</v>
      </c>
      <c r="AB474" s="69">
        <v>0</v>
      </c>
    </row>
    <row r="475" spans="2:28" x14ac:dyDescent="0.3">
      <c r="B475" s="61" t="s">
        <v>184</v>
      </c>
      <c r="C475" s="61" t="s">
        <v>185</v>
      </c>
      <c r="D475" s="61" t="s">
        <v>123</v>
      </c>
      <c r="E475" s="61" t="s">
        <v>189</v>
      </c>
      <c r="F475" s="61" t="s">
        <v>93</v>
      </c>
      <c r="G475" s="62">
        <v>1</v>
      </c>
      <c r="H475" s="63">
        <v>6.5063621211282578</v>
      </c>
      <c r="I475" s="61" t="s">
        <v>187</v>
      </c>
      <c r="J475" s="61" t="s">
        <v>188</v>
      </c>
      <c r="K475" s="64">
        <v>125.21724611331676</v>
      </c>
      <c r="L475" s="64">
        <v>125.21724611331676</v>
      </c>
      <c r="M475" s="64">
        <v>125.21724611331676</v>
      </c>
      <c r="N475" s="64">
        <v>125.21724611331676</v>
      </c>
      <c r="O475" s="64">
        <v>125.21724611331676</v>
      </c>
      <c r="P475" s="64">
        <v>125.21724611331676</v>
      </c>
      <c r="Q475" s="64">
        <v>125.21724611331676</v>
      </c>
      <c r="R475" s="64">
        <v>125.21724611331676</v>
      </c>
      <c r="S475" s="64">
        <v>125.21724611331676</v>
      </c>
      <c r="T475" s="64">
        <v>125.21724611331676</v>
      </c>
      <c r="U475" s="64">
        <v>125.21724611331676</v>
      </c>
      <c r="V475" s="64">
        <v>125.21724611331676</v>
      </c>
      <c r="W475" s="64">
        <v>125.21724611331676</v>
      </c>
      <c r="X475" s="64">
        <v>125.21724611331676</v>
      </c>
      <c r="Y475" s="64">
        <v>125.21724611331676</v>
      </c>
      <c r="Z475" s="61" t="s">
        <v>216</v>
      </c>
      <c r="AA475" s="68">
        <v>0.29122305078152849</v>
      </c>
      <c r="AB475" s="69">
        <v>1.1428010983920346E-4</v>
      </c>
    </row>
    <row r="476" spans="2:28" x14ac:dyDescent="0.3">
      <c r="B476" s="61" t="s">
        <v>184</v>
      </c>
      <c r="C476" s="61" t="s">
        <v>185</v>
      </c>
      <c r="D476" s="61" t="s">
        <v>123</v>
      </c>
      <c r="E476" s="61" t="s">
        <v>189</v>
      </c>
      <c r="F476" s="61" t="s">
        <v>94</v>
      </c>
      <c r="G476" s="62">
        <v>1</v>
      </c>
      <c r="H476" s="63">
        <v>6.5063621211282578</v>
      </c>
      <c r="I476" s="61" t="s">
        <v>187</v>
      </c>
      <c r="J476" s="61" t="s">
        <v>188</v>
      </c>
      <c r="K476" s="64">
        <v>4.6004056795131847</v>
      </c>
      <c r="L476" s="64">
        <v>4.6004056795131847</v>
      </c>
      <c r="M476" s="64">
        <v>4.6004056795131847</v>
      </c>
      <c r="N476" s="64">
        <v>4.6004056795131847</v>
      </c>
      <c r="O476" s="64">
        <v>4.6004056795131847</v>
      </c>
      <c r="P476" s="64">
        <v>4.6004056795131847</v>
      </c>
      <c r="Q476" s="64">
        <v>4.6004056795131847</v>
      </c>
      <c r="R476" s="64">
        <v>4.6004056795131847</v>
      </c>
      <c r="S476" s="64">
        <v>4.6004056795131847</v>
      </c>
      <c r="T476" s="64">
        <v>4.6004056795131847</v>
      </c>
      <c r="U476" s="64">
        <v>4.6004056795131847</v>
      </c>
      <c r="V476" s="64">
        <v>4.6004056795131847</v>
      </c>
      <c r="W476" s="64">
        <v>4.6004056795131847</v>
      </c>
      <c r="X476" s="64">
        <v>4.6004056795131847</v>
      </c>
      <c r="Y476" s="64">
        <v>4.6004056795131847</v>
      </c>
      <c r="Z476" s="61" t="s">
        <v>216</v>
      </c>
      <c r="AA476" s="68">
        <v>3.6534583368262386</v>
      </c>
      <c r="AB476" s="69">
        <v>0</v>
      </c>
    </row>
    <row r="477" spans="2:28" x14ac:dyDescent="0.3">
      <c r="B477" s="61" t="s">
        <v>184</v>
      </c>
      <c r="C477" s="61" t="s">
        <v>185</v>
      </c>
      <c r="D477" s="61" t="s">
        <v>123</v>
      </c>
      <c r="E477" s="61" t="s">
        <v>190</v>
      </c>
      <c r="F477" s="61" t="s">
        <v>93</v>
      </c>
      <c r="G477" s="62">
        <v>1</v>
      </c>
      <c r="H477" s="63">
        <v>6.5063621211282578</v>
      </c>
      <c r="I477" s="61" t="s">
        <v>187</v>
      </c>
      <c r="J477" s="61" t="s">
        <v>188</v>
      </c>
      <c r="K477" s="64">
        <v>61.075284776075108</v>
      </c>
      <c r="L477" s="64">
        <v>61.075284776075108</v>
      </c>
      <c r="M477" s="64">
        <v>61.075284776075108</v>
      </c>
      <c r="N477" s="64">
        <v>61.075284776075108</v>
      </c>
      <c r="O477" s="64">
        <v>61.075284776075108</v>
      </c>
      <c r="P477" s="64">
        <v>61.075284776075108</v>
      </c>
      <c r="Q477" s="64">
        <v>61.075284776075108</v>
      </c>
      <c r="R477" s="64">
        <v>61.075284776075108</v>
      </c>
      <c r="S477" s="64">
        <v>61.075284776075108</v>
      </c>
      <c r="T477" s="64">
        <v>61.075284776075108</v>
      </c>
      <c r="U477" s="64">
        <v>61.075284776075108</v>
      </c>
      <c r="V477" s="64">
        <v>61.075284776075108</v>
      </c>
      <c r="W477" s="64">
        <v>61.075284776075108</v>
      </c>
      <c r="X477" s="64">
        <v>61.075284776075108</v>
      </c>
      <c r="Y477" s="64">
        <v>61.075284776075108</v>
      </c>
      <c r="Z477" s="61" t="s">
        <v>216</v>
      </c>
      <c r="AA477" s="68">
        <v>0.29122305078152849</v>
      </c>
      <c r="AB477" s="69">
        <v>1.1428010983920346E-4</v>
      </c>
    </row>
    <row r="478" spans="2:28" x14ac:dyDescent="0.3">
      <c r="B478" s="61" t="s">
        <v>184</v>
      </c>
      <c r="C478" s="61" t="s">
        <v>185</v>
      </c>
      <c r="D478" s="61" t="s">
        <v>123</v>
      </c>
      <c r="E478" s="61" t="s">
        <v>190</v>
      </c>
      <c r="F478" s="61" t="s">
        <v>94</v>
      </c>
      <c r="G478" s="62">
        <v>1</v>
      </c>
      <c r="H478" s="63">
        <v>6.5063621211282578</v>
      </c>
      <c r="I478" s="61" t="s">
        <v>187</v>
      </c>
      <c r="J478" s="61" t="s">
        <v>188</v>
      </c>
      <c r="K478" s="64">
        <v>10.393509127789045</v>
      </c>
      <c r="L478" s="64">
        <v>10.393509127789045</v>
      </c>
      <c r="M478" s="64">
        <v>10.393509127789045</v>
      </c>
      <c r="N478" s="64">
        <v>10.393509127789045</v>
      </c>
      <c r="O478" s="64">
        <v>10.393509127789045</v>
      </c>
      <c r="P478" s="64">
        <v>10.393509127789045</v>
      </c>
      <c r="Q478" s="64">
        <v>10.393509127789045</v>
      </c>
      <c r="R478" s="64">
        <v>10.393509127789045</v>
      </c>
      <c r="S478" s="64">
        <v>10.393509127789045</v>
      </c>
      <c r="T478" s="64">
        <v>10.393509127789045</v>
      </c>
      <c r="U478" s="64">
        <v>10.393509127789045</v>
      </c>
      <c r="V478" s="64">
        <v>10.393509127789045</v>
      </c>
      <c r="W478" s="64">
        <v>10.393509127789045</v>
      </c>
      <c r="X478" s="64">
        <v>10.393509127789045</v>
      </c>
      <c r="Y478" s="64">
        <v>10.393509127789045</v>
      </c>
      <c r="Z478" s="61" t="s">
        <v>216</v>
      </c>
      <c r="AA478" s="68">
        <v>3.6534583368262386</v>
      </c>
      <c r="AB478" s="69">
        <v>0</v>
      </c>
    </row>
    <row r="479" spans="2:28" x14ac:dyDescent="0.3">
      <c r="B479" s="61" t="s">
        <v>184</v>
      </c>
      <c r="C479" s="61" t="s">
        <v>185</v>
      </c>
      <c r="D479" s="61" t="s">
        <v>123</v>
      </c>
      <c r="E479" s="61" t="s">
        <v>191</v>
      </c>
      <c r="F479" s="61" t="s">
        <v>93</v>
      </c>
      <c r="G479" s="62">
        <v>1</v>
      </c>
      <c r="H479" s="63">
        <v>6.5063621211282578</v>
      </c>
      <c r="I479" s="61" t="s">
        <v>187</v>
      </c>
      <c r="J479" s="61" t="s">
        <v>188</v>
      </c>
      <c r="K479" s="64">
        <v>51.972097510296472</v>
      </c>
      <c r="L479" s="64">
        <v>51.972097510296472</v>
      </c>
      <c r="M479" s="64">
        <v>51.972097510296472</v>
      </c>
      <c r="N479" s="64">
        <v>51.972097510296472</v>
      </c>
      <c r="O479" s="64">
        <v>51.972097510296472</v>
      </c>
      <c r="P479" s="64">
        <v>51.972097510296472</v>
      </c>
      <c r="Q479" s="64">
        <v>51.972097510296472</v>
      </c>
      <c r="R479" s="64">
        <v>51.972097510296472</v>
      </c>
      <c r="S479" s="64">
        <v>51.972097510296472</v>
      </c>
      <c r="T479" s="64">
        <v>51.972097510296472</v>
      </c>
      <c r="U479" s="64">
        <v>51.972097510296472</v>
      </c>
      <c r="V479" s="64">
        <v>51.972097510296472</v>
      </c>
      <c r="W479" s="64">
        <v>51.972097510296472</v>
      </c>
      <c r="X479" s="64">
        <v>51.972097510296472</v>
      </c>
      <c r="Y479" s="64">
        <v>51.972097510296472</v>
      </c>
      <c r="Z479" s="61" t="s">
        <v>216</v>
      </c>
      <c r="AA479" s="68">
        <v>0.29122305078152849</v>
      </c>
      <c r="AB479" s="69">
        <v>1.1428010983920346E-4</v>
      </c>
    </row>
    <row r="480" spans="2:28" x14ac:dyDescent="0.3">
      <c r="B480" s="61" t="s">
        <v>184</v>
      </c>
      <c r="C480" s="61" t="s">
        <v>185</v>
      </c>
      <c r="D480" s="61" t="s">
        <v>123</v>
      </c>
      <c r="E480" s="61" t="s">
        <v>191</v>
      </c>
      <c r="F480" s="61" t="s">
        <v>94</v>
      </c>
      <c r="G480" s="62">
        <v>1</v>
      </c>
      <c r="H480" s="63">
        <v>6.5063621211282578</v>
      </c>
      <c r="I480" s="61" t="s">
        <v>187</v>
      </c>
      <c r="J480" s="61" t="s">
        <v>188</v>
      </c>
      <c r="K480" s="64">
        <v>10.563894523326571</v>
      </c>
      <c r="L480" s="64">
        <v>10.563894523326571</v>
      </c>
      <c r="M480" s="64">
        <v>10.563894523326571</v>
      </c>
      <c r="N480" s="64">
        <v>10.563894523326571</v>
      </c>
      <c r="O480" s="64">
        <v>10.563894523326571</v>
      </c>
      <c r="P480" s="64">
        <v>10.563894523326571</v>
      </c>
      <c r="Q480" s="64">
        <v>10.563894523326571</v>
      </c>
      <c r="R480" s="64">
        <v>10.563894523326571</v>
      </c>
      <c r="S480" s="64">
        <v>10.563894523326571</v>
      </c>
      <c r="T480" s="64">
        <v>10.563894523326571</v>
      </c>
      <c r="U480" s="64">
        <v>10.563894523326571</v>
      </c>
      <c r="V480" s="64">
        <v>10.563894523326571</v>
      </c>
      <c r="W480" s="64">
        <v>10.563894523326571</v>
      </c>
      <c r="X480" s="64">
        <v>10.563894523326571</v>
      </c>
      <c r="Y480" s="64">
        <v>10.563894523326571</v>
      </c>
      <c r="Z480" s="61" t="s">
        <v>216</v>
      </c>
      <c r="AA480" s="68">
        <v>3.6534583368262386</v>
      </c>
      <c r="AB480" s="69">
        <v>0</v>
      </c>
    </row>
    <row r="481" spans="2:28" x14ac:dyDescent="0.3">
      <c r="B481" s="61" t="s">
        <v>184</v>
      </c>
      <c r="C481" s="61" t="s">
        <v>185</v>
      </c>
      <c r="D481" s="61" t="s">
        <v>123</v>
      </c>
      <c r="E481" s="61" t="s">
        <v>192</v>
      </c>
      <c r="F481" s="61" t="s">
        <v>93</v>
      </c>
      <c r="G481" s="62">
        <v>1</v>
      </c>
      <c r="H481" s="63">
        <v>6.5063621211282578</v>
      </c>
      <c r="I481" s="61" t="s">
        <v>187</v>
      </c>
      <c r="J481" s="61" t="s">
        <v>188</v>
      </c>
      <c r="K481" s="64">
        <v>62.075989759192609</v>
      </c>
      <c r="L481" s="64">
        <v>62.075989759192609</v>
      </c>
      <c r="M481" s="64">
        <v>62.075989759192609</v>
      </c>
      <c r="N481" s="64">
        <v>62.075989759192609</v>
      </c>
      <c r="O481" s="64">
        <v>62.075989759192609</v>
      </c>
      <c r="P481" s="64">
        <v>62.075989759192609</v>
      </c>
      <c r="Q481" s="64">
        <v>62.075989759192609</v>
      </c>
      <c r="R481" s="64">
        <v>62.075989759192609</v>
      </c>
      <c r="S481" s="64">
        <v>62.075989759192609</v>
      </c>
      <c r="T481" s="64">
        <v>62.075989759192609</v>
      </c>
      <c r="U481" s="64">
        <v>62.075989759192609</v>
      </c>
      <c r="V481" s="64">
        <v>62.075989759192609</v>
      </c>
      <c r="W481" s="64">
        <v>62.075989759192609</v>
      </c>
      <c r="X481" s="64">
        <v>62.075989759192609</v>
      </c>
      <c r="Y481" s="64">
        <v>62.075989759192609</v>
      </c>
      <c r="Z481" s="61" t="s">
        <v>216</v>
      </c>
      <c r="AA481" s="68">
        <v>0.29122305078152849</v>
      </c>
      <c r="AB481" s="69">
        <v>1.1428010983920346E-4</v>
      </c>
    </row>
    <row r="482" spans="2:28" x14ac:dyDescent="0.3">
      <c r="B482" s="61" t="s">
        <v>184</v>
      </c>
      <c r="C482" s="61" t="s">
        <v>185</v>
      </c>
      <c r="D482" s="61" t="s">
        <v>123</v>
      </c>
      <c r="E482" s="61" t="s">
        <v>192</v>
      </c>
      <c r="F482" s="61" t="s">
        <v>94</v>
      </c>
      <c r="G482" s="62">
        <v>1</v>
      </c>
      <c r="H482" s="63">
        <v>6.5063621211282578</v>
      </c>
      <c r="I482" s="61" t="s">
        <v>187</v>
      </c>
      <c r="J482" s="61" t="s">
        <v>188</v>
      </c>
      <c r="K482" s="64">
        <v>6.6450304259634878</v>
      </c>
      <c r="L482" s="64">
        <v>6.6450304259634878</v>
      </c>
      <c r="M482" s="64">
        <v>6.6450304259634878</v>
      </c>
      <c r="N482" s="64">
        <v>6.6450304259634878</v>
      </c>
      <c r="O482" s="64">
        <v>6.6450304259634878</v>
      </c>
      <c r="P482" s="64">
        <v>6.6450304259634878</v>
      </c>
      <c r="Q482" s="64">
        <v>6.6450304259634878</v>
      </c>
      <c r="R482" s="64">
        <v>6.6450304259634878</v>
      </c>
      <c r="S482" s="64">
        <v>6.6450304259634878</v>
      </c>
      <c r="T482" s="64">
        <v>6.6450304259634878</v>
      </c>
      <c r="U482" s="64">
        <v>6.6450304259634878</v>
      </c>
      <c r="V482" s="64">
        <v>6.6450304259634878</v>
      </c>
      <c r="W482" s="64">
        <v>6.6450304259634878</v>
      </c>
      <c r="X482" s="64">
        <v>6.6450304259634878</v>
      </c>
      <c r="Y482" s="64">
        <v>6.6450304259634878</v>
      </c>
      <c r="Z482" s="61" t="s">
        <v>216</v>
      </c>
      <c r="AA482" s="68">
        <v>3.6534583368262386</v>
      </c>
      <c r="AB482" s="69">
        <v>0</v>
      </c>
    </row>
    <row r="483" spans="2:28" x14ac:dyDescent="0.3">
      <c r="B483" s="61" t="s">
        <v>184</v>
      </c>
      <c r="C483" s="61" t="s">
        <v>185</v>
      </c>
      <c r="D483" s="61" t="s">
        <v>123</v>
      </c>
      <c r="E483" s="61" t="s">
        <v>193</v>
      </c>
      <c r="F483" s="61" t="s">
        <v>93</v>
      </c>
      <c r="G483" s="62">
        <v>1</v>
      </c>
      <c r="H483" s="63">
        <v>6.5063621211282578</v>
      </c>
      <c r="I483" s="61" t="s">
        <v>187</v>
      </c>
      <c r="J483" s="61" t="s">
        <v>188</v>
      </c>
      <c r="K483" s="64">
        <v>39.156617565210937</v>
      </c>
      <c r="L483" s="64">
        <v>39.156617565210937</v>
      </c>
      <c r="M483" s="64">
        <v>39.156617565210937</v>
      </c>
      <c r="N483" s="64">
        <v>39.156617565210937</v>
      </c>
      <c r="O483" s="64">
        <v>39.156617565210937</v>
      </c>
      <c r="P483" s="64">
        <v>39.156617565210937</v>
      </c>
      <c r="Q483" s="64">
        <v>39.156617565210937</v>
      </c>
      <c r="R483" s="64">
        <v>39.156617565210937</v>
      </c>
      <c r="S483" s="64">
        <v>39.156617565210937</v>
      </c>
      <c r="T483" s="64">
        <v>39.156617565210937</v>
      </c>
      <c r="U483" s="64">
        <v>39.156617565210937</v>
      </c>
      <c r="V483" s="64">
        <v>39.156617565210937</v>
      </c>
      <c r="W483" s="64">
        <v>39.156617565210937</v>
      </c>
      <c r="X483" s="64">
        <v>39.156617565210937</v>
      </c>
      <c r="Y483" s="64">
        <v>39.156617565210937</v>
      </c>
      <c r="Z483" s="61" t="s">
        <v>216</v>
      </c>
      <c r="AA483" s="68">
        <v>0.29122305078152849</v>
      </c>
      <c r="AB483" s="69">
        <v>1.1428010983920346E-4</v>
      </c>
    </row>
    <row r="484" spans="2:28" x14ac:dyDescent="0.3">
      <c r="B484" s="61" t="s">
        <v>184</v>
      </c>
      <c r="C484" s="61" t="s">
        <v>185</v>
      </c>
      <c r="D484" s="61" t="s">
        <v>123</v>
      </c>
      <c r="E484" s="61" t="s">
        <v>193</v>
      </c>
      <c r="F484" s="61" t="s">
        <v>94</v>
      </c>
      <c r="G484" s="62">
        <v>1</v>
      </c>
      <c r="H484" s="63">
        <v>6.5063621211282578</v>
      </c>
      <c r="I484" s="61" t="s">
        <v>187</v>
      </c>
      <c r="J484" s="61" t="s">
        <v>188</v>
      </c>
      <c r="K484" s="64">
        <v>0.34077079107505071</v>
      </c>
      <c r="L484" s="64">
        <v>0.34077079107505071</v>
      </c>
      <c r="M484" s="64">
        <v>0.34077079107505071</v>
      </c>
      <c r="N484" s="64">
        <v>0.34077079107505071</v>
      </c>
      <c r="O484" s="64">
        <v>0.34077079107505071</v>
      </c>
      <c r="P484" s="64">
        <v>0.34077079107505071</v>
      </c>
      <c r="Q484" s="64">
        <v>0.34077079107505071</v>
      </c>
      <c r="R484" s="64">
        <v>0.34077079107505071</v>
      </c>
      <c r="S484" s="64">
        <v>0.34077079107505071</v>
      </c>
      <c r="T484" s="64">
        <v>0.34077079107505071</v>
      </c>
      <c r="U484" s="64">
        <v>0.34077079107505071</v>
      </c>
      <c r="V484" s="64">
        <v>0.34077079107505071</v>
      </c>
      <c r="W484" s="64">
        <v>0.34077079107505071</v>
      </c>
      <c r="X484" s="64">
        <v>0.34077079107505071</v>
      </c>
      <c r="Y484" s="64">
        <v>0.34077079107505071</v>
      </c>
      <c r="Z484" s="61" t="s">
        <v>216</v>
      </c>
      <c r="AA484" s="68">
        <v>3.6534583368262386</v>
      </c>
      <c r="AB484" s="69">
        <v>0</v>
      </c>
    </row>
    <row r="485" spans="2:28" x14ac:dyDescent="0.3">
      <c r="B485" s="61" t="s">
        <v>184</v>
      </c>
      <c r="C485" s="61" t="s">
        <v>185</v>
      </c>
      <c r="D485" s="61" t="s">
        <v>123</v>
      </c>
      <c r="E485" s="61" t="s">
        <v>194</v>
      </c>
      <c r="F485" s="61" t="s">
        <v>93</v>
      </c>
      <c r="G485" s="62">
        <v>1</v>
      </c>
      <c r="H485" s="63">
        <v>6.5063621211282578</v>
      </c>
      <c r="I485" s="61" t="s">
        <v>187</v>
      </c>
      <c r="J485" s="61" t="s">
        <v>188</v>
      </c>
      <c r="K485" s="64">
        <v>31.376943341619977</v>
      </c>
      <c r="L485" s="64">
        <v>31.376943341619977</v>
      </c>
      <c r="M485" s="64">
        <v>31.376943341619977</v>
      </c>
      <c r="N485" s="64">
        <v>31.376943341619977</v>
      </c>
      <c r="O485" s="64">
        <v>31.376943341619977</v>
      </c>
      <c r="P485" s="64">
        <v>31.376943341619977</v>
      </c>
      <c r="Q485" s="64">
        <v>31.376943341619977</v>
      </c>
      <c r="R485" s="64">
        <v>31.376943341619977</v>
      </c>
      <c r="S485" s="64">
        <v>31.376943341619977</v>
      </c>
      <c r="T485" s="64">
        <v>31.376943341619977</v>
      </c>
      <c r="U485" s="64">
        <v>31.376943341619977</v>
      </c>
      <c r="V485" s="64">
        <v>31.376943341619977</v>
      </c>
      <c r="W485" s="64">
        <v>31.376943341619977</v>
      </c>
      <c r="X485" s="64">
        <v>31.376943341619977</v>
      </c>
      <c r="Y485" s="64">
        <v>31.376943341619977</v>
      </c>
      <c r="Z485" s="61" t="s">
        <v>216</v>
      </c>
      <c r="AA485" s="68">
        <v>0.29122305078152849</v>
      </c>
      <c r="AB485" s="69">
        <v>1.1428010983920346E-4</v>
      </c>
    </row>
    <row r="486" spans="2:28" x14ac:dyDescent="0.3">
      <c r="B486" s="61" t="s">
        <v>184</v>
      </c>
      <c r="C486" s="61" t="s">
        <v>185</v>
      </c>
      <c r="D486" s="61" t="s">
        <v>123</v>
      </c>
      <c r="E486" s="61" t="s">
        <v>194</v>
      </c>
      <c r="F486" s="61" t="s">
        <v>94</v>
      </c>
      <c r="G486" s="62">
        <v>1</v>
      </c>
      <c r="H486" s="63">
        <v>6.5063621211282578</v>
      </c>
      <c r="I486" s="61" t="s">
        <v>187</v>
      </c>
      <c r="J486" s="61" t="s">
        <v>188</v>
      </c>
      <c r="K486" s="64">
        <v>2.044624746450304</v>
      </c>
      <c r="L486" s="64">
        <v>2.044624746450304</v>
      </c>
      <c r="M486" s="64">
        <v>2.044624746450304</v>
      </c>
      <c r="N486" s="64">
        <v>2.044624746450304</v>
      </c>
      <c r="O486" s="64">
        <v>2.044624746450304</v>
      </c>
      <c r="P486" s="64">
        <v>2.044624746450304</v>
      </c>
      <c r="Q486" s="64">
        <v>2.044624746450304</v>
      </c>
      <c r="R486" s="64">
        <v>2.044624746450304</v>
      </c>
      <c r="S486" s="64">
        <v>2.044624746450304</v>
      </c>
      <c r="T486" s="64">
        <v>2.044624746450304</v>
      </c>
      <c r="U486" s="64">
        <v>2.044624746450304</v>
      </c>
      <c r="V486" s="64">
        <v>2.044624746450304</v>
      </c>
      <c r="W486" s="64">
        <v>2.044624746450304</v>
      </c>
      <c r="X486" s="64">
        <v>2.044624746450304</v>
      </c>
      <c r="Y486" s="64">
        <v>2.044624746450304</v>
      </c>
      <c r="Z486" s="61" t="s">
        <v>216</v>
      </c>
      <c r="AA486" s="68">
        <v>3.6534583368262386</v>
      </c>
      <c r="AB486" s="69">
        <v>0</v>
      </c>
    </row>
    <row r="487" spans="2:28" x14ac:dyDescent="0.3">
      <c r="B487" s="61" t="s">
        <v>184</v>
      </c>
      <c r="C487" s="61" t="s">
        <v>185</v>
      </c>
      <c r="D487" s="61" t="s">
        <v>123</v>
      </c>
      <c r="E487" s="61" t="s">
        <v>195</v>
      </c>
      <c r="F487" s="61" t="s">
        <v>93</v>
      </c>
      <c r="G487" s="62">
        <v>1</v>
      </c>
      <c r="H487" s="63">
        <v>6.5063621211282578</v>
      </c>
      <c r="I487" s="61" t="s">
        <v>187</v>
      </c>
      <c r="J487" s="61" t="s">
        <v>188</v>
      </c>
      <c r="K487" s="64">
        <v>113.98352565767505</v>
      </c>
      <c r="L487" s="64">
        <v>113.98352565767505</v>
      </c>
      <c r="M487" s="64">
        <v>113.98352565767505</v>
      </c>
      <c r="N487" s="64">
        <v>113.98352565767505</v>
      </c>
      <c r="O487" s="64">
        <v>113.98352565767505</v>
      </c>
      <c r="P487" s="64">
        <v>113.98352565767505</v>
      </c>
      <c r="Q487" s="64">
        <v>113.98352565767505</v>
      </c>
      <c r="R487" s="64">
        <v>113.98352565767505</v>
      </c>
      <c r="S487" s="64">
        <v>113.98352565767505</v>
      </c>
      <c r="T487" s="64">
        <v>113.98352565767505</v>
      </c>
      <c r="U487" s="64">
        <v>113.98352565767505</v>
      </c>
      <c r="V487" s="64">
        <v>113.98352565767505</v>
      </c>
      <c r="W487" s="64">
        <v>113.98352565767505</v>
      </c>
      <c r="X487" s="64">
        <v>113.98352565767505</v>
      </c>
      <c r="Y487" s="64">
        <v>113.98352565767505</v>
      </c>
      <c r="Z487" s="61" t="s">
        <v>216</v>
      </c>
      <c r="AA487" s="68">
        <v>0.29122305078152849</v>
      </c>
      <c r="AB487" s="69">
        <v>1.1428010983920346E-4</v>
      </c>
    </row>
    <row r="488" spans="2:28" x14ac:dyDescent="0.3">
      <c r="B488" s="61" t="s">
        <v>184</v>
      </c>
      <c r="C488" s="61" t="s">
        <v>185</v>
      </c>
      <c r="D488" s="61" t="s">
        <v>123</v>
      </c>
      <c r="E488" s="61" t="s">
        <v>195</v>
      </c>
      <c r="F488" s="61" t="s">
        <v>94</v>
      </c>
      <c r="G488" s="62">
        <v>1</v>
      </c>
      <c r="H488" s="63">
        <v>6.5063621211282578</v>
      </c>
      <c r="I488" s="61" t="s">
        <v>187</v>
      </c>
      <c r="J488" s="61" t="s">
        <v>188</v>
      </c>
      <c r="K488" s="64">
        <v>1.1926977687626774</v>
      </c>
      <c r="L488" s="64">
        <v>1.1926977687626774</v>
      </c>
      <c r="M488" s="64">
        <v>1.1926977687626774</v>
      </c>
      <c r="N488" s="64">
        <v>1.1926977687626774</v>
      </c>
      <c r="O488" s="64">
        <v>1.1926977687626774</v>
      </c>
      <c r="P488" s="64">
        <v>1.1926977687626774</v>
      </c>
      <c r="Q488" s="64">
        <v>1.1926977687626774</v>
      </c>
      <c r="R488" s="64">
        <v>1.1926977687626774</v>
      </c>
      <c r="S488" s="64">
        <v>1.1926977687626774</v>
      </c>
      <c r="T488" s="64">
        <v>1.1926977687626774</v>
      </c>
      <c r="U488" s="64">
        <v>1.1926977687626774</v>
      </c>
      <c r="V488" s="64">
        <v>1.1926977687626774</v>
      </c>
      <c r="W488" s="64">
        <v>1.1926977687626774</v>
      </c>
      <c r="X488" s="64">
        <v>1.1926977687626774</v>
      </c>
      <c r="Y488" s="64">
        <v>1.1926977687626774</v>
      </c>
      <c r="Z488" s="61" t="s">
        <v>216</v>
      </c>
      <c r="AA488" s="68">
        <v>3.6534583368262386</v>
      </c>
      <c r="AB488" s="69">
        <v>0</v>
      </c>
    </row>
    <row r="489" spans="2:28" x14ac:dyDescent="0.3">
      <c r="B489" s="61" t="s">
        <v>184</v>
      </c>
      <c r="C489" s="61" t="s">
        <v>185</v>
      </c>
      <c r="D489" s="61" t="s">
        <v>123</v>
      </c>
      <c r="E489" s="61" t="s">
        <v>196</v>
      </c>
      <c r="F489" s="61" t="s">
        <v>93</v>
      </c>
      <c r="G489" s="62">
        <v>1</v>
      </c>
      <c r="H489" s="63">
        <v>6.5063621211282578</v>
      </c>
      <c r="I489" s="61" t="s">
        <v>187</v>
      </c>
      <c r="J489" s="61" t="s">
        <v>188</v>
      </c>
      <c r="K489" s="64">
        <v>141.16396423138289</v>
      </c>
      <c r="L489" s="64">
        <v>141.16396423138289</v>
      </c>
      <c r="M489" s="64">
        <v>141.16396423138289</v>
      </c>
      <c r="N489" s="64">
        <v>141.16396423138289</v>
      </c>
      <c r="O489" s="64">
        <v>141.16396423138289</v>
      </c>
      <c r="P489" s="64">
        <v>141.16396423138289</v>
      </c>
      <c r="Q489" s="64">
        <v>141.16396423138289</v>
      </c>
      <c r="R489" s="64">
        <v>141.16396423138289</v>
      </c>
      <c r="S489" s="64">
        <v>141.16396423138289</v>
      </c>
      <c r="T489" s="64">
        <v>141.16396423138289</v>
      </c>
      <c r="U489" s="64">
        <v>141.16396423138289</v>
      </c>
      <c r="V489" s="64">
        <v>141.16396423138289</v>
      </c>
      <c r="W489" s="64">
        <v>141.16396423138289</v>
      </c>
      <c r="X489" s="64">
        <v>141.16396423138289</v>
      </c>
      <c r="Y489" s="64">
        <v>141.16396423138289</v>
      </c>
      <c r="Z489" s="61" t="s">
        <v>216</v>
      </c>
      <c r="AA489" s="68">
        <v>0.29122305078152849</v>
      </c>
      <c r="AB489" s="69">
        <v>1.1428010983920346E-4</v>
      </c>
    </row>
    <row r="490" spans="2:28" x14ac:dyDescent="0.3">
      <c r="B490" s="61" t="s">
        <v>184</v>
      </c>
      <c r="C490" s="61" t="s">
        <v>185</v>
      </c>
      <c r="D490" s="61" t="s">
        <v>123</v>
      </c>
      <c r="E490" s="61" t="s">
        <v>196</v>
      </c>
      <c r="F490" s="61" t="s">
        <v>94</v>
      </c>
      <c r="G490" s="62">
        <v>1</v>
      </c>
      <c r="H490" s="63">
        <v>6.5063621211282578</v>
      </c>
      <c r="I490" s="61" t="s">
        <v>187</v>
      </c>
      <c r="J490" s="61" t="s">
        <v>188</v>
      </c>
      <c r="K490" s="64">
        <v>30.158215010141983</v>
      </c>
      <c r="L490" s="64">
        <v>30.158215010141983</v>
      </c>
      <c r="M490" s="64">
        <v>30.158215010141983</v>
      </c>
      <c r="N490" s="64">
        <v>30.158215010141983</v>
      </c>
      <c r="O490" s="64">
        <v>30.158215010141983</v>
      </c>
      <c r="P490" s="64">
        <v>30.158215010141983</v>
      </c>
      <c r="Q490" s="64">
        <v>30.158215010141983</v>
      </c>
      <c r="R490" s="64">
        <v>30.158215010141983</v>
      </c>
      <c r="S490" s="64">
        <v>30.158215010141983</v>
      </c>
      <c r="T490" s="64">
        <v>30.158215010141983</v>
      </c>
      <c r="U490" s="64">
        <v>30.158215010141983</v>
      </c>
      <c r="V490" s="64">
        <v>30.158215010141983</v>
      </c>
      <c r="W490" s="64">
        <v>30.158215010141983</v>
      </c>
      <c r="X490" s="64">
        <v>30.158215010141983</v>
      </c>
      <c r="Y490" s="64">
        <v>30.158215010141983</v>
      </c>
      <c r="Z490" s="61" t="s">
        <v>216</v>
      </c>
      <c r="AA490" s="68">
        <v>3.6534583368262386</v>
      </c>
      <c r="AB490" s="69">
        <v>0</v>
      </c>
    </row>
    <row r="491" spans="2:28" x14ac:dyDescent="0.3">
      <c r="B491" s="61" t="s">
        <v>184</v>
      </c>
      <c r="C491" s="61" t="s">
        <v>185</v>
      </c>
      <c r="D491" s="61" t="s">
        <v>123</v>
      </c>
      <c r="E491" s="61" t="s">
        <v>197</v>
      </c>
      <c r="F491" s="61" t="s">
        <v>93</v>
      </c>
      <c r="G491" s="62">
        <v>1</v>
      </c>
      <c r="H491" s="63">
        <v>6.5063621211282578</v>
      </c>
      <c r="I491" s="61" t="s">
        <v>187</v>
      </c>
      <c r="J491" s="61" t="s">
        <v>188</v>
      </c>
      <c r="K491" s="64">
        <v>50.002968349968462</v>
      </c>
      <c r="L491" s="64">
        <v>50.002968349968462</v>
      </c>
      <c r="M491" s="64">
        <v>50.002968349968462</v>
      </c>
      <c r="N491" s="64">
        <v>50.002968349968462</v>
      </c>
      <c r="O491" s="64">
        <v>50.002968349968462</v>
      </c>
      <c r="P491" s="64">
        <v>50.002968349968462</v>
      </c>
      <c r="Q491" s="64">
        <v>50.002968349968462</v>
      </c>
      <c r="R491" s="64">
        <v>50.002968349968462</v>
      </c>
      <c r="S491" s="64">
        <v>50.002968349968462</v>
      </c>
      <c r="T491" s="64">
        <v>50.002968349968462</v>
      </c>
      <c r="U491" s="64">
        <v>50.002968349968462</v>
      </c>
      <c r="V491" s="64">
        <v>50.002968349968462</v>
      </c>
      <c r="W491" s="64">
        <v>50.002968349968462</v>
      </c>
      <c r="X491" s="64">
        <v>50.002968349968462</v>
      </c>
      <c r="Y491" s="64">
        <v>50.002968349968462</v>
      </c>
      <c r="Z491" s="61" t="s">
        <v>216</v>
      </c>
      <c r="AA491" s="68">
        <v>0.29122305078152849</v>
      </c>
      <c r="AB491" s="69">
        <v>1.1428010983920346E-4</v>
      </c>
    </row>
    <row r="492" spans="2:28" x14ac:dyDescent="0.3">
      <c r="B492" s="61" t="s">
        <v>184</v>
      </c>
      <c r="C492" s="61" t="s">
        <v>185</v>
      </c>
      <c r="D492" s="61" t="s">
        <v>123</v>
      </c>
      <c r="E492" s="61" t="s">
        <v>197</v>
      </c>
      <c r="F492" s="61" t="s">
        <v>94</v>
      </c>
      <c r="G492" s="62">
        <v>1</v>
      </c>
      <c r="H492" s="63">
        <v>6.5063621211282578</v>
      </c>
      <c r="I492" s="61" t="s">
        <v>187</v>
      </c>
      <c r="J492" s="61" t="s">
        <v>188</v>
      </c>
      <c r="K492" s="64">
        <v>0.34077079107505071</v>
      </c>
      <c r="L492" s="64">
        <v>0.34077079107505071</v>
      </c>
      <c r="M492" s="64">
        <v>0.34077079107505071</v>
      </c>
      <c r="N492" s="64">
        <v>0.34077079107505071</v>
      </c>
      <c r="O492" s="64">
        <v>0.34077079107505071</v>
      </c>
      <c r="P492" s="64">
        <v>0.34077079107505071</v>
      </c>
      <c r="Q492" s="64">
        <v>0.34077079107505071</v>
      </c>
      <c r="R492" s="64">
        <v>0.34077079107505071</v>
      </c>
      <c r="S492" s="64">
        <v>0.34077079107505071</v>
      </c>
      <c r="T492" s="64">
        <v>0.34077079107505071</v>
      </c>
      <c r="U492" s="64">
        <v>0.34077079107505071</v>
      </c>
      <c r="V492" s="64">
        <v>0.34077079107505071</v>
      </c>
      <c r="W492" s="64">
        <v>0.34077079107505071</v>
      </c>
      <c r="X492" s="64">
        <v>0.34077079107505071</v>
      </c>
      <c r="Y492" s="64">
        <v>0.34077079107505071</v>
      </c>
      <c r="Z492" s="61" t="s">
        <v>216</v>
      </c>
      <c r="AA492" s="68">
        <v>3.6534583368262386</v>
      </c>
      <c r="AB492" s="69">
        <v>0</v>
      </c>
    </row>
    <row r="493" spans="2:28" x14ac:dyDescent="0.3">
      <c r="B493" s="61" t="s">
        <v>184</v>
      </c>
      <c r="C493" s="61" t="s">
        <v>185</v>
      </c>
      <c r="D493" s="61" t="s">
        <v>123</v>
      </c>
      <c r="E493" s="61" t="s">
        <v>198</v>
      </c>
      <c r="F493" s="61" t="s">
        <v>93</v>
      </c>
      <c r="G493" s="62">
        <v>1</v>
      </c>
      <c r="H493" s="63">
        <v>6.5063621211282578</v>
      </c>
      <c r="I493" s="61" t="s">
        <v>187</v>
      </c>
      <c r="J493" s="61" t="s">
        <v>188</v>
      </c>
      <c r="K493" s="64">
        <v>21.595859151793999</v>
      </c>
      <c r="L493" s="64">
        <v>21.595859151793999</v>
      </c>
      <c r="M493" s="64">
        <v>21.595859151793999</v>
      </c>
      <c r="N493" s="64">
        <v>21.595859151793999</v>
      </c>
      <c r="O493" s="64">
        <v>21.595859151793999</v>
      </c>
      <c r="P493" s="64">
        <v>21.595859151793999</v>
      </c>
      <c r="Q493" s="64">
        <v>21.595859151793999</v>
      </c>
      <c r="R493" s="64">
        <v>21.595859151793999</v>
      </c>
      <c r="S493" s="64">
        <v>21.595859151793999</v>
      </c>
      <c r="T493" s="64">
        <v>21.595859151793999</v>
      </c>
      <c r="U493" s="64">
        <v>21.595859151793999</v>
      </c>
      <c r="V493" s="64">
        <v>21.595859151793999</v>
      </c>
      <c r="W493" s="64">
        <v>21.595859151793999</v>
      </c>
      <c r="X493" s="64">
        <v>21.595859151793999</v>
      </c>
      <c r="Y493" s="64">
        <v>21.595859151793999</v>
      </c>
      <c r="Z493" s="61" t="s">
        <v>216</v>
      </c>
      <c r="AA493" s="68">
        <v>0.29122305078152849</v>
      </c>
      <c r="AB493" s="69">
        <v>1.1428010983920346E-4</v>
      </c>
    </row>
    <row r="494" spans="2:28" x14ac:dyDescent="0.3">
      <c r="B494" s="61" t="s">
        <v>184</v>
      </c>
      <c r="C494" s="61" t="s">
        <v>185</v>
      </c>
      <c r="D494" s="61" t="s">
        <v>123</v>
      </c>
      <c r="E494" s="61" t="s">
        <v>198</v>
      </c>
      <c r="F494" s="61" t="s">
        <v>94</v>
      </c>
      <c r="G494" s="62">
        <v>1</v>
      </c>
      <c r="H494" s="63">
        <v>6.5063621211282578</v>
      </c>
      <c r="I494" s="61" t="s">
        <v>187</v>
      </c>
      <c r="J494" s="61" t="s">
        <v>188</v>
      </c>
      <c r="K494" s="64">
        <v>1.1926977687626774</v>
      </c>
      <c r="L494" s="64">
        <v>1.1926977687626774</v>
      </c>
      <c r="M494" s="64">
        <v>1.1926977687626774</v>
      </c>
      <c r="N494" s="64">
        <v>1.1926977687626774</v>
      </c>
      <c r="O494" s="64">
        <v>1.1926977687626774</v>
      </c>
      <c r="P494" s="64">
        <v>1.1926977687626774</v>
      </c>
      <c r="Q494" s="64">
        <v>1.1926977687626774</v>
      </c>
      <c r="R494" s="64">
        <v>1.1926977687626774</v>
      </c>
      <c r="S494" s="64">
        <v>1.1926977687626774</v>
      </c>
      <c r="T494" s="64">
        <v>1.1926977687626774</v>
      </c>
      <c r="U494" s="64">
        <v>1.1926977687626774</v>
      </c>
      <c r="V494" s="64">
        <v>1.1926977687626774</v>
      </c>
      <c r="W494" s="64">
        <v>1.1926977687626774</v>
      </c>
      <c r="X494" s="64">
        <v>1.1926977687626774</v>
      </c>
      <c r="Y494" s="64">
        <v>1.1926977687626774</v>
      </c>
      <c r="Z494" s="61" t="s">
        <v>216</v>
      </c>
      <c r="AA494" s="68">
        <v>3.6534583368262386</v>
      </c>
      <c r="AB494" s="69">
        <v>0</v>
      </c>
    </row>
    <row r="495" spans="2:28" x14ac:dyDescent="0.3">
      <c r="B495" s="61" t="s">
        <v>184</v>
      </c>
      <c r="C495" s="61" t="s">
        <v>185</v>
      </c>
      <c r="D495" s="61" t="s">
        <v>123</v>
      </c>
      <c r="E495" s="61" t="s">
        <v>199</v>
      </c>
      <c r="F495" s="61" t="s">
        <v>93</v>
      </c>
      <c r="G495" s="62">
        <v>1</v>
      </c>
      <c r="H495" s="63">
        <v>6.5063621211282578</v>
      </c>
      <c r="I495" s="61" t="s">
        <v>187</v>
      </c>
      <c r="J495" s="61" t="s">
        <v>188</v>
      </c>
      <c r="K495" s="64">
        <v>14.655485881785461</v>
      </c>
      <c r="L495" s="64">
        <v>14.655485881785461</v>
      </c>
      <c r="M495" s="64">
        <v>14.655485881785461</v>
      </c>
      <c r="N495" s="64">
        <v>14.655485881785461</v>
      </c>
      <c r="O495" s="64">
        <v>14.655485881785461</v>
      </c>
      <c r="P495" s="64">
        <v>14.655485881785461</v>
      </c>
      <c r="Q495" s="64">
        <v>14.655485881785461</v>
      </c>
      <c r="R495" s="64">
        <v>14.655485881785461</v>
      </c>
      <c r="S495" s="64">
        <v>14.655485881785461</v>
      </c>
      <c r="T495" s="64">
        <v>14.655485881785461</v>
      </c>
      <c r="U495" s="64">
        <v>14.655485881785461</v>
      </c>
      <c r="V495" s="64">
        <v>14.655485881785461</v>
      </c>
      <c r="W495" s="64">
        <v>14.655485881785461</v>
      </c>
      <c r="X495" s="64">
        <v>14.655485881785461</v>
      </c>
      <c r="Y495" s="64">
        <v>14.655485881785461</v>
      </c>
      <c r="Z495" s="61" t="s">
        <v>216</v>
      </c>
      <c r="AA495" s="68">
        <v>0.29122305078152849</v>
      </c>
      <c r="AB495" s="69">
        <v>1.1428010983920346E-4</v>
      </c>
    </row>
    <row r="496" spans="2:28" x14ac:dyDescent="0.3">
      <c r="B496" s="61" t="s">
        <v>184</v>
      </c>
      <c r="C496" s="61" t="s">
        <v>185</v>
      </c>
      <c r="D496" s="61" t="s">
        <v>123</v>
      </c>
      <c r="E496" s="61" t="s">
        <v>199</v>
      </c>
      <c r="F496" s="61" t="s">
        <v>94</v>
      </c>
      <c r="G496" s="62">
        <v>1</v>
      </c>
      <c r="H496" s="63">
        <v>6.5063621211282578</v>
      </c>
      <c r="I496" s="61" t="s">
        <v>187</v>
      </c>
      <c r="J496" s="61" t="s">
        <v>188</v>
      </c>
      <c r="K496" s="64">
        <v>0.34077079107505071</v>
      </c>
      <c r="L496" s="64">
        <v>0.34077079107505071</v>
      </c>
      <c r="M496" s="64">
        <v>0.34077079107505071</v>
      </c>
      <c r="N496" s="64">
        <v>0.34077079107505071</v>
      </c>
      <c r="O496" s="64">
        <v>0.34077079107505071</v>
      </c>
      <c r="P496" s="64">
        <v>0.34077079107505071</v>
      </c>
      <c r="Q496" s="64">
        <v>0.34077079107505071</v>
      </c>
      <c r="R496" s="64">
        <v>0.34077079107505071</v>
      </c>
      <c r="S496" s="64">
        <v>0.34077079107505071</v>
      </c>
      <c r="T496" s="64">
        <v>0.34077079107505071</v>
      </c>
      <c r="U496" s="64">
        <v>0.34077079107505071</v>
      </c>
      <c r="V496" s="64">
        <v>0.34077079107505071</v>
      </c>
      <c r="W496" s="64">
        <v>0.34077079107505071</v>
      </c>
      <c r="X496" s="64">
        <v>0.34077079107505071</v>
      </c>
      <c r="Y496" s="64">
        <v>0.34077079107505071</v>
      </c>
      <c r="Z496" s="61" t="s">
        <v>216</v>
      </c>
      <c r="AA496" s="68">
        <v>3.6534583368262386</v>
      </c>
      <c r="AB496" s="69">
        <v>0</v>
      </c>
    </row>
    <row r="497" spans="2:28" x14ac:dyDescent="0.3">
      <c r="B497" s="61" t="s">
        <v>181</v>
      </c>
      <c r="C497" s="61" t="s">
        <v>185</v>
      </c>
      <c r="D497" s="61" t="s">
        <v>121</v>
      </c>
      <c r="E497" s="61" t="s">
        <v>186</v>
      </c>
      <c r="F497" s="61" t="s">
        <v>93</v>
      </c>
      <c r="G497" s="62">
        <v>0.18347032405647348</v>
      </c>
      <c r="H497" s="61">
        <v>5</v>
      </c>
      <c r="I497" s="61" t="s">
        <v>214</v>
      </c>
      <c r="J497" s="61" t="s">
        <v>215</v>
      </c>
      <c r="K497" s="67">
        <v>0.10200680754502907</v>
      </c>
      <c r="L497" s="67">
        <v>0.10200680754502907</v>
      </c>
      <c r="M497" s="67">
        <v>0.10200680754502907</v>
      </c>
      <c r="N497" s="67">
        <v>0.10200680754502907</v>
      </c>
      <c r="O497" s="67">
        <v>0.10200680754502907</v>
      </c>
      <c r="P497" s="67">
        <v>0.10200680754502907</v>
      </c>
      <c r="Q497" s="67">
        <v>0.10200680754502907</v>
      </c>
      <c r="R497" s="67">
        <v>0.10200680754502907</v>
      </c>
      <c r="S497" s="67">
        <v>0.10200680754502907</v>
      </c>
      <c r="T497" s="67">
        <v>0.10200680754502907</v>
      </c>
      <c r="U497" s="67">
        <v>0.10200680754502907</v>
      </c>
      <c r="V497" s="67">
        <v>0.10200680754502907</v>
      </c>
      <c r="W497" s="67">
        <v>0.10200680754502907</v>
      </c>
      <c r="X497" s="67">
        <v>0.10200680754502907</v>
      </c>
      <c r="Y497" s="67">
        <v>0.10200680754502907</v>
      </c>
      <c r="Z497" s="61" t="s">
        <v>228</v>
      </c>
      <c r="AA497" s="68">
        <v>0.20789767098523787</v>
      </c>
      <c r="AB497" s="69">
        <v>1.3778681737591908E-4</v>
      </c>
    </row>
    <row r="498" spans="2:28" x14ac:dyDescent="0.3">
      <c r="B498" s="61" t="s">
        <v>181</v>
      </c>
      <c r="C498" s="61" t="s">
        <v>185</v>
      </c>
      <c r="D498" s="61" t="s">
        <v>121</v>
      </c>
      <c r="E498" s="61" t="s">
        <v>186</v>
      </c>
      <c r="F498" s="61" t="s">
        <v>94</v>
      </c>
      <c r="G498" s="62">
        <v>0.18347032405647348</v>
      </c>
      <c r="H498" s="61">
        <v>5</v>
      </c>
      <c r="I498" s="61" t="s">
        <v>218</v>
      </c>
      <c r="J498" s="61" t="s">
        <v>215</v>
      </c>
      <c r="K498" s="67">
        <v>0.10200680754502907</v>
      </c>
      <c r="L498" s="67">
        <v>0.10200680754502907</v>
      </c>
      <c r="M498" s="67">
        <v>0.10200680754502907</v>
      </c>
      <c r="N498" s="67">
        <v>0.10200680754502907</v>
      </c>
      <c r="O498" s="67">
        <v>0.10200680754502907</v>
      </c>
      <c r="P498" s="67">
        <v>0.10200680754502907</v>
      </c>
      <c r="Q498" s="67">
        <v>0.10200680754502907</v>
      </c>
      <c r="R498" s="67">
        <v>0.10200680754502907</v>
      </c>
      <c r="S498" s="67">
        <v>0.10200680754502907</v>
      </c>
      <c r="T498" s="67">
        <v>0.10200680754502907</v>
      </c>
      <c r="U498" s="67">
        <v>0.10200680754502907</v>
      </c>
      <c r="V498" s="67">
        <v>0.10200680754502907</v>
      </c>
      <c r="W498" s="67">
        <v>0.10200680754502907</v>
      </c>
      <c r="X498" s="67">
        <v>0.10200680754502907</v>
      </c>
      <c r="Y498" s="67">
        <v>0.10200680754502907</v>
      </c>
      <c r="Z498" s="61" t="s">
        <v>228</v>
      </c>
      <c r="AA498" s="68">
        <v>0.38800729221171737</v>
      </c>
      <c r="AB498" s="69">
        <v>0</v>
      </c>
    </row>
    <row r="499" spans="2:28" x14ac:dyDescent="0.3">
      <c r="B499" s="61" t="s">
        <v>181</v>
      </c>
      <c r="C499" s="61" t="s">
        <v>185</v>
      </c>
      <c r="D499" s="61" t="s">
        <v>121</v>
      </c>
      <c r="E499" s="61" t="s">
        <v>189</v>
      </c>
      <c r="F499" s="61" t="s">
        <v>93</v>
      </c>
      <c r="G499" s="62">
        <v>0.62379910179200992</v>
      </c>
      <c r="H499" s="61">
        <v>5</v>
      </c>
      <c r="I499" s="61" t="s">
        <v>214</v>
      </c>
      <c r="J499" s="61" t="s">
        <v>215</v>
      </c>
      <c r="K499" s="67">
        <v>5.1695553880934435E-2</v>
      </c>
      <c r="L499" s="67">
        <v>5.1695553880934435E-2</v>
      </c>
      <c r="M499" s="67">
        <v>5.1695553880934435E-2</v>
      </c>
      <c r="N499" s="67">
        <v>5.1695553880934435E-2</v>
      </c>
      <c r="O499" s="67">
        <v>5.1695553880934435E-2</v>
      </c>
      <c r="P499" s="67">
        <v>5.1695553880934435E-2</v>
      </c>
      <c r="Q499" s="67">
        <v>5.1695553880934435E-2</v>
      </c>
      <c r="R499" s="67">
        <v>5.1695553880934435E-2</v>
      </c>
      <c r="S499" s="67">
        <v>5.1695553880934435E-2</v>
      </c>
      <c r="T499" s="67">
        <v>5.1695553880934435E-2</v>
      </c>
      <c r="U499" s="67">
        <v>5.1695553880934435E-2</v>
      </c>
      <c r="V499" s="67">
        <v>5.1695553880934435E-2</v>
      </c>
      <c r="W499" s="67">
        <v>5.1695553880934435E-2</v>
      </c>
      <c r="X499" s="67">
        <v>5.1695553880934435E-2</v>
      </c>
      <c r="Y499" s="67">
        <v>5.1695553880934435E-2</v>
      </c>
      <c r="Z499" s="61" t="s">
        <v>228</v>
      </c>
      <c r="AA499" s="68">
        <v>0.20789767098523787</v>
      </c>
      <c r="AB499" s="69">
        <v>1.3778681737591908E-4</v>
      </c>
    </row>
    <row r="500" spans="2:28" x14ac:dyDescent="0.3">
      <c r="B500" s="61" t="s">
        <v>181</v>
      </c>
      <c r="C500" s="61" t="s">
        <v>185</v>
      </c>
      <c r="D500" s="61" t="s">
        <v>121</v>
      </c>
      <c r="E500" s="61" t="s">
        <v>189</v>
      </c>
      <c r="F500" s="61" t="s">
        <v>94</v>
      </c>
      <c r="G500" s="62">
        <v>0.62379910179200992</v>
      </c>
      <c r="H500" s="61">
        <v>5</v>
      </c>
      <c r="I500" s="61" t="s">
        <v>218</v>
      </c>
      <c r="J500" s="61" t="s">
        <v>215</v>
      </c>
      <c r="K500" s="67">
        <v>5.1695553880934435E-2</v>
      </c>
      <c r="L500" s="67">
        <v>5.1695553880934435E-2</v>
      </c>
      <c r="M500" s="67">
        <v>5.1695553880934435E-2</v>
      </c>
      <c r="N500" s="67">
        <v>5.1695553880934435E-2</v>
      </c>
      <c r="O500" s="67">
        <v>5.1695553880934435E-2</v>
      </c>
      <c r="P500" s="67">
        <v>5.1695553880934435E-2</v>
      </c>
      <c r="Q500" s="67">
        <v>5.1695553880934435E-2</v>
      </c>
      <c r="R500" s="67">
        <v>5.1695553880934435E-2</v>
      </c>
      <c r="S500" s="67">
        <v>5.1695553880934435E-2</v>
      </c>
      <c r="T500" s="67">
        <v>5.1695553880934435E-2</v>
      </c>
      <c r="U500" s="67">
        <v>5.1695553880934435E-2</v>
      </c>
      <c r="V500" s="67">
        <v>5.1695553880934435E-2</v>
      </c>
      <c r="W500" s="67">
        <v>5.1695553880934435E-2</v>
      </c>
      <c r="X500" s="67">
        <v>5.1695553880934435E-2</v>
      </c>
      <c r="Y500" s="67">
        <v>5.1695553880934435E-2</v>
      </c>
      <c r="Z500" s="61" t="s">
        <v>228</v>
      </c>
      <c r="AA500" s="68">
        <v>0.38800729221171737</v>
      </c>
      <c r="AB500" s="69">
        <v>0</v>
      </c>
    </row>
    <row r="501" spans="2:28" x14ac:dyDescent="0.3">
      <c r="B501" s="61" t="s">
        <v>181</v>
      </c>
      <c r="C501" s="61" t="s">
        <v>185</v>
      </c>
      <c r="D501" s="61" t="s">
        <v>121</v>
      </c>
      <c r="E501" s="61" t="s">
        <v>190</v>
      </c>
      <c r="F501" s="61" t="s">
        <v>93</v>
      </c>
      <c r="G501" s="62">
        <v>0.40363471292424169</v>
      </c>
      <c r="H501" s="61">
        <v>5</v>
      </c>
      <c r="I501" s="61" t="s">
        <v>214</v>
      </c>
      <c r="J501" s="61" t="s">
        <v>215</v>
      </c>
      <c r="K501" s="67">
        <v>3.0820965905856902E-2</v>
      </c>
      <c r="L501" s="67">
        <v>3.0820965905856902E-2</v>
      </c>
      <c r="M501" s="67">
        <v>3.0820965905856902E-2</v>
      </c>
      <c r="N501" s="67">
        <v>3.0820965905856902E-2</v>
      </c>
      <c r="O501" s="67">
        <v>3.0820965905856902E-2</v>
      </c>
      <c r="P501" s="67">
        <v>3.0820965905856902E-2</v>
      </c>
      <c r="Q501" s="67">
        <v>3.0820965905856902E-2</v>
      </c>
      <c r="R501" s="67">
        <v>3.0820965905856902E-2</v>
      </c>
      <c r="S501" s="67">
        <v>3.0820965905856902E-2</v>
      </c>
      <c r="T501" s="67">
        <v>3.0820965905856902E-2</v>
      </c>
      <c r="U501" s="67">
        <v>3.0820965905856902E-2</v>
      </c>
      <c r="V501" s="67">
        <v>3.0820965905856902E-2</v>
      </c>
      <c r="W501" s="67">
        <v>3.0820965905856902E-2</v>
      </c>
      <c r="X501" s="67">
        <v>3.0820965905856902E-2</v>
      </c>
      <c r="Y501" s="67">
        <v>3.0820965905856902E-2</v>
      </c>
      <c r="Z501" s="61" t="s">
        <v>228</v>
      </c>
      <c r="AA501" s="68">
        <v>0.20789767098523787</v>
      </c>
      <c r="AB501" s="69">
        <v>1.3778681737591908E-4</v>
      </c>
    </row>
    <row r="502" spans="2:28" x14ac:dyDescent="0.3">
      <c r="B502" s="61" t="s">
        <v>181</v>
      </c>
      <c r="C502" s="61" t="s">
        <v>185</v>
      </c>
      <c r="D502" s="61" t="s">
        <v>121</v>
      </c>
      <c r="E502" s="61" t="s">
        <v>190</v>
      </c>
      <c r="F502" s="61" t="s">
        <v>94</v>
      </c>
      <c r="G502" s="62">
        <v>0.40363471292424169</v>
      </c>
      <c r="H502" s="61">
        <v>5</v>
      </c>
      <c r="I502" s="61" t="s">
        <v>218</v>
      </c>
      <c r="J502" s="61" t="s">
        <v>215</v>
      </c>
      <c r="K502" s="67">
        <v>3.0820965905856902E-2</v>
      </c>
      <c r="L502" s="67">
        <v>3.0820965905856902E-2</v>
      </c>
      <c r="M502" s="67">
        <v>3.0820965905856902E-2</v>
      </c>
      <c r="N502" s="67">
        <v>3.0820965905856902E-2</v>
      </c>
      <c r="O502" s="67">
        <v>3.0820965905856902E-2</v>
      </c>
      <c r="P502" s="67">
        <v>3.0820965905856902E-2</v>
      </c>
      <c r="Q502" s="67">
        <v>3.0820965905856902E-2</v>
      </c>
      <c r="R502" s="67">
        <v>3.0820965905856902E-2</v>
      </c>
      <c r="S502" s="67">
        <v>3.0820965905856902E-2</v>
      </c>
      <c r="T502" s="67">
        <v>3.0820965905856902E-2</v>
      </c>
      <c r="U502" s="67">
        <v>3.0820965905856902E-2</v>
      </c>
      <c r="V502" s="67">
        <v>3.0820965905856902E-2</v>
      </c>
      <c r="W502" s="67">
        <v>3.0820965905856902E-2</v>
      </c>
      <c r="X502" s="67">
        <v>3.0820965905856902E-2</v>
      </c>
      <c r="Y502" s="67">
        <v>3.0820965905856902E-2</v>
      </c>
      <c r="Z502" s="61" t="s">
        <v>228</v>
      </c>
      <c r="AA502" s="68">
        <v>0.38800729221171737</v>
      </c>
      <c r="AB502" s="69">
        <v>0</v>
      </c>
    </row>
    <row r="503" spans="2:28" x14ac:dyDescent="0.3">
      <c r="B503" s="61" t="s">
        <v>181</v>
      </c>
      <c r="C503" s="61" t="s">
        <v>185</v>
      </c>
      <c r="D503" s="61" t="s">
        <v>121</v>
      </c>
      <c r="E503" s="61" t="s">
        <v>191</v>
      </c>
      <c r="F503" s="61" t="s">
        <v>93</v>
      </c>
      <c r="G503" s="62">
        <v>0.68801371521177568</v>
      </c>
      <c r="H503" s="61">
        <v>5</v>
      </c>
      <c r="I503" s="61" t="s">
        <v>214</v>
      </c>
      <c r="J503" s="61" t="s">
        <v>215</v>
      </c>
      <c r="K503" s="67">
        <v>2.399993450353681E-2</v>
      </c>
      <c r="L503" s="67">
        <v>2.399993450353681E-2</v>
      </c>
      <c r="M503" s="67">
        <v>2.399993450353681E-2</v>
      </c>
      <c r="N503" s="67">
        <v>2.399993450353681E-2</v>
      </c>
      <c r="O503" s="67">
        <v>2.399993450353681E-2</v>
      </c>
      <c r="P503" s="67">
        <v>2.399993450353681E-2</v>
      </c>
      <c r="Q503" s="67">
        <v>2.399993450353681E-2</v>
      </c>
      <c r="R503" s="67">
        <v>2.399993450353681E-2</v>
      </c>
      <c r="S503" s="67">
        <v>2.399993450353681E-2</v>
      </c>
      <c r="T503" s="67">
        <v>2.399993450353681E-2</v>
      </c>
      <c r="U503" s="67">
        <v>2.399993450353681E-2</v>
      </c>
      <c r="V503" s="67">
        <v>2.399993450353681E-2</v>
      </c>
      <c r="W503" s="67">
        <v>2.399993450353681E-2</v>
      </c>
      <c r="X503" s="67">
        <v>2.399993450353681E-2</v>
      </c>
      <c r="Y503" s="67">
        <v>2.399993450353681E-2</v>
      </c>
      <c r="Z503" s="61" t="s">
        <v>228</v>
      </c>
      <c r="AA503" s="68">
        <v>0.20789767098523787</v>
      </c>
      <c r="AB503" s="69">
        <v>1.3778681737591908E-4</v>
      </c>
    </row>
    <row r="504" spans="2:28" x14ac:dyDescent="0.3">
      <c r="B504" s="61" t="s">
        <v>181</v>
      </c>
      <c r="C504" s="61" t="s">
        <v>185</v>
      </c>
      <c r="D504" s="61" t="s">
        <v>121</v>
      </c>
      <c r="E504" s="61" t="s">
        <v>191</v>
      </c>
      <c r="F504" s="61" t="s">
        <v>94</v>
      </c>
      <c r="G504" s="62">
        <v>0.68801371521177568</v>
      </c>
      <c r="H504" s="61">
        <v>5</v>
      </c>
      <c r="I504" s="61" t="s">
        <v>218</v>
      </c>
      <c r="J504" s="61" t="s">
        <v>215</v>
      </c>
      <c r="K504" s="67">
        <v>2.399993450353681E-2</v>
      </c>
      <c r="L504" s="67">
        <v>2.399993450353681E-2</v>
      </c>
      <c r="M504" s="67">
        <v>2.399993450353681E-2</v>
      </c>
      <c r="N504" s="67">
        <v>2.399993450353681E-2</v>
      </c>
      <c r="O504" s="67">
        <v>2.399993450353681E-2</v>
      </c>
      <c r="P504" s="67">
        <v>2.399993450353681E-2</v>
      </c>
      <c r="Q504" s="67">
        <v>2.399993450353681E-2</v>
      </c>
      <c r="R504" s="67">
        <v>2.399993450353681E-2</v>
      </c>
      <c r="S504" s="67">
        <v>2.399993450353681E-2</v>
      </c>
      <c r="T504" s="67">
        <v>2.399993450353681E-2</v>
      </c>
      <c r="U504" s="67">
        <v>2.399993450353681E-2</v>
      </c>
      <c r="V504" s="67">
        <v>2.399993450353681E-2</v>
      </c>
      <c r="W504" s="67">
        <v>2.399993450353681E-2</v>
      </c>
      <c r="X504" s="67">
        <v>2.399993450353681E-2</v>
      </c>
      <c r="Y504" s="67">
        <v>2.399993450353681E-2</v>
      </c>
      <c r="Z504" s="61" t="s">
        <v>228</v>
      </c>
      <c r="AA504" s="68">
        <v>0.38800729221171737</v>
      </c>
      <c r="AB504" s="69">
        <v>0</v>
      </c>
    </row>
    <row r="505" spans="2:28" x14ac:dyDescent="0.3">
      <c r="B505" s="61" t="s">
        <v>181</v>
      </c>
      <c r="C505" s="61" t="s">
        <v>185</v>
      </c>
      <c r="D505" s="61" t="s">
        <v>121</v>
      </c>
      <c r="E505" s="61" t="s">
        <v>192</v>
      </c>
      <c r="F505" s="61" t="s">
        <v>93</v>
      </c>
      <c r="G505" s="62">
        <v>0.4586758101411838</v>
      </c>
      <c r="H505" s="61">
        <v>5</v>
      </c>
      <c r="I505" s="61" t="s">
        <v>214</v>
      </c>
      <c r="J505" s="61" t="s">
        <v>215</v>
      </c>
      <c r="K505" s="67">
        <v>0.12152672282833862</v>
      </c>
      <c r="L505" s="67">
        <v>0.12152672282833862</v>
      </c>
      <c r="M505" s="67">
        <v>0.12152672282833862</v>
      </c>
      <c r="N505" s="67">
        <v>0.12152672282833862</v>
      </c>
      <c r="O505" s="67">
        <v>0.12152672282833862</v>
      </c>
      <c r="P505" s="67">
        <v>0.12152672282833862</v>
      </c>
      <c r="Q505" s="67">
        <v>0.12152672282833862</v>
      </c>
      <c r="R505" s="67">
        <v>0.12152672282833862</v>
      </c>
      <c r="S505" s="67">
        <v>0.12152672282833862</v>
      </c>
      <c r="T505" s="67">
        <v>0.12152672282833862</v>
      </c>
      <c r="U505" s="67">
        <v>0.12152672282833862</v>
      </c>
      <c r="V505" s="67">
        <v>0.12152672282833862</v>
      </c>
      <c r="W505" s="67">
        <v>0.12152672282833862</v>
      </c>
      <c r="X505" s="67">
        <v>0.12152672282833862</v>
      </c>
      <c r="Y505" s="67">
        <v>0.12152672282833862</v>
      </c>
      <c r="Z505" s="61" t="s">
        <v>228</v>
      </c>
      <c r="AA505" s="68">
        <v>0.20789767098523787</v>
      </c>
      <c r="AB505" s="69">
        <v>1.3778681737591908E-4</v>
      </c>
    </row>
    <row r="506" spans="2:28" x14ac:dyDescent="0.3">
      <c r="B506" s="61" t="s">
        <v>181</v>
      </c>
      <c r="C506" s="61" t="s">
        <v>185</v>
      </c>
      <c r="D506" s="61" t="s">
        <v>121</v>
      </c>
      <c r="E506" s="61" t="s">
        <v>192</v>
      </c>
      <c r="F506" s="61" t="s">
        <v>94</v>
      </c>
      <c r="G506" s="62">
        <v>0.4586758101411838</v>
      </c>
      <c r="H506" s="61">
        <v>5</v>
      </c>
      <c r="I506" s="61" t="s">
        <v>218</v>
      </c>
      <c r="J506" s="61" t="s">
        <v>215</v>
      </c>
      <c r="K506" s="67">
        <v>0.12152672282833862</v>
      </c>
      <c r="L506" s="67">
        <v>0.12152672282833862</v>
      </c>
      <c r="M506" s="67">
        <v>0.12152672282833862</v>
      </c>
      <c r="N506" s="67">
        <v>0.12152672282833862</v>
      </c>
      <c r="O506" s="67">
        <v>0.12152672282833862</v>
      </c>
      <c r="P506" s="67">
        <v>0.12152672282833862</v>
      </c>
      <c r="Q506" s="67">
        <v>0.12152672282833862</v>
      </c>
      <c r="R506" s="67">
        <v>0.12152672282833862</v>
      </c>
      <c r="S506" s="67">
        <v>0.12152672282833862</v>
      </c>
      <c r="T506" s="67">
        <v>0.12152672282833862</v>
      </c>
      <c r="U506" s="67">
        <v>0.12152672282833862</v>
      </c>
      <c r="V506" s="67">
        <v>0.12152672282833862</v>
      </c>
      <c r="W506" s="67">
        <v>0.12152672282833862</v>
      </c>
      <c r="X506" s="67">
        <v>0.12152672282833862</v>
      </c>
      <c r="Y506" s="67">
        <v>0.12152672282833862</v>
      </c>
      <c r="Z506" s="61" t="s">
        <v>228</v>
      </c>
      <c r="AA506" s="68">
        <v>0.38800729221171737</v>
      </c>
      <c r="AB506" s="69">
        <v>0</v>
      </c>
    </row>
    <row r="507" spans="2:28" x14ac:dyDescent="0.3">
      <c r="B507" s="61" t="s">
        <v>181</v>
      </c>
      <c r="C507" s="61" t="s">
        <v>185</v>
      </c>
      <c r="D507" s="61" t="s">
        <v>121</v>
      </c>
      <c r="E507" s="61" t="s">
        <v>193</v>
      </c>
      <c r="F507" s="61" t="s">
        <v>93</v>
      </c>
      <c r="G507" s="62">
        <v>0.4586758101411838</v>
      </c>
      <c r="H507" s="61">
        <v>5</v>
      </c>
      <c r="I507" s="61" t="s">
        <v>214</v>
      </c>
      <c r="J507" s="61" t="s">
        <v>215</v>
      </c>
      <c r="K507" s="67">
        <v>0.12267716535433069</v>
      </c>
      <c r="L507" s="67">
        <v>0.12267716535433069</v>
      </c>
      <c r="M507" s="67">
        <v>0.12267716535433069</v>
      </c>
      <c r="N507" s="67">
        <v>0.12267716535433069</v>
      </c>
      <c r="O507" s="67">
        <v>0.12267716535433069</v>
      </c>
      <c r="P507" s="67">
        <v>0.12267716535433069</v>
      </c>
      <c r="Q507" s="67">
        <v>0.12267716535433069</v>
      </c>
      <c r="R507" s="67">
        <v>0.12267716535433069</v>
      </c>
      <c r="S507" s="67">
        <v>0.12267716535433069</v>
      </c>
      <c r="T507" s="67">
        <v>0.12267716535433069</v>
      </c>
      <c r="U507" s="67">
        <v>0.12267716535433069</v>
      </c>
      <c r="V507" s="67">
        <v>0.12267716535433069</v>
      </c>
      <c r="W507" s="67">
        <v>0.12267716535433069</v>
      </c>
      <c r="X507" s="67">
        <v>0.12267716535433069</v>
      </c>
      <c r="Y507" s="67">
        <v>0.12267716535433069</v>
      </c>
      <c r="Z507" s="61" t="s">
        <v>228</v>
      </c>
      <c r="AA507" s="68">
        <v>0.20789767098523787</v>
      </c>
      <c r="AB507" s="69">
        <v>1.3778681737591908E-4</v>
      </c>
    </row>
    <row r="508" spans="2:28" x14ac:dyDescent="0.3">
      <c r="B508" s="61" t="s">
        <v>181</v>
      </c>
      <c r="C508" s="61" t="s">
        <v>185</v>
      </c>
      <c r="D508" s="61" t="s">
        <v>121</v>
      </c>
      <c r="E508" s="61" t="s">
        <v>193</v>
      </c>
      <c r="F508" s="61" t="s">
        <v>94</v>
      </c>
      <c r="G508" s="62">
        <v>0.4586758101411838</v>
      </c>
      <c r="H508" s="61">
        <v>5</v>
      </c>
      <c r="I508" s="61" t="s">
        <v>218</v>
      </c>
      <c r="J508" s="61" t="s">
        <v>215</v>
      </c>
      <c r="K508" s="67">
        <v>0.12267716535433069</v>
      </c>
      <c r="L508" s="67">
        <v>0.12267716535433069</v>
      </c>
      <c r="M508" s="67">
        <v>0.12267716535433069</v>
      </c>
      <c r="N508" s="67">
        <v>0.12267716535433069</v>
      </c>
      <c r="O508" s="67">
        <v>0.12267716535433069</v>
      </c>
      <c r="P508" s="67">
        <v>0.12267716535433069</v>
      </c>
      <c r="Q508" s="67">
        <v>0.12267716535433069</v>
      </c>
      <c r="R508" s="67">
        <v>0.12267716535433069</v>
      </c>
      <c r="S508" s="67">
        <v>0.12267716535433069</v>
      </c>
      <c r="T508" s="67">
        <v>0.12267716535433069</v>
      </c>
      <c r="U508" s="67">
        <v>0.12267716535433069</v>
      </c>
      <c r="V508" s="67">
        <v>0.12267716535433069</v>
      </c>
      <c r="W508" s="67">
        <v>0.12267716535433069</v>
      </c>
      <c r="X508" s="67">
        <v>0.12267716535433069</v>
      </c>
      <c r="Y508" s="67">
        <v>0.12267716535433069</v>
      </c>
      <c r="Z508" s="61" t="s">
        <v>228</v>
      </c>
      <c r="AA508" s="68">
        <v>0.38800729221171737</v>
      </c>
      <c r="AB508" s="69">
        <v>0</v>
      </c>
    </row>
    <row r="509" spans="2:28" x14ac:dyDescent="0.3">
      <c r="B509" s="61" t="s">
        <v>181</v>
      </c>
      <c r="C509" s="61" t="s">
        <v>185</v>
      </c>
      <c r="D509" s="61" t="s">
        <v>121</v>
      </c>
      <c r="E509" s="61" t="s">
        <v>194</v>
      </c>
      <c r="F509" s="61" t="s">
        <v>93</v>
      </c>
      <c r="G509" s="62">
        <v>0.59627855318353895</v>
      </c>
      <c r="H509" s="61">
        <v>5</v>
      </c>
      <c r="I509" s="61" t="s">
        <v>214</v>
      </c>
      <c r="J509" s="61" t="s">
        <v>215</v>
      </c>
      <c r="K509" s="67">
        <v>0</v>
      </c>
      <c r="L509" s="67">
        <v>0</v>
      </c>
      <c r="M509" s="67">
        <v>0</v>
      </c>
      <c r="N509" s="67">
        <v>0</v>
      </c>
      <c r="O509" s="67">
        <v>0</v>
      </c>
      <c r="P509" s="67">
        <v>0</v>
      </c>
      <c r="Q509" s="67">
        <v>0</v>
      </c>
      <c r="R509" s="67">
        <v>0</v>
      </c>
      <c r="S509" s="67">
        <v>0</v>
      </c>
      <c r="T509" s="67">
        <v>0</v>
      </c>
      <c r="U509" s="67">
        <v>0</v>
      </c>
      <c r="V509" s="67">
        <v>0</v>
      </c>
      <c r="W509" s="67">
        <v>0</v>
      </c>
      <c r="X509" s="67">
        <v>0</v>
      </c>
      <c r="Y509" s="67">
        <v>0</v>
      </c>
      <c r="Z509" s="61" t="s">
        <v>228</v>
      </c>
      <c r="AA509" s="68">
        <v>0.20789767098523787</v>
      </c>
      <c r="AB509" s="69">
        <v>1.3778681737591908E-4</v>
      </c>
    </row>
    <row r="510" spans="2:28" x14ac:dyDescent="0.3">
      <c r="B510" s="61" t="s">
        <v>181</v>
      </c>
      <c r="C510" s="61" t="s">
        <v>185</v>
      </c>
      <c r="D510" s="61" t="s">
        <v>121</v>
      </c>
      <c r="E510" s="61" t="s">
        <v>194</v>
      </c>
      <c r="F510" s="61" t="s">
        <v>94</v>
      </c>
      <c r="G510" s="62">
        <v>0.59627855318353895</v>
      </c>
      <c r="H510" s="61">
        <v>5</v>
      </c>
      <c r="I510" s="61" t="s">
        <v>218</v>
      </c>
      <c r="J510" s="61" t="s">
        <v>215</v>
      </c>
      <c r="K510" s="67">
        <v>0</v>
      </c>
      <c r="L510" s="67">
        <v>0</v>
      </c>
      <c r="M510" s="67">
        <v>0</v>
      </c>
      <c r="N510" s="67">
        <v>0</v>
      </c>
      <c r="O510" s="67">
        <v>0</v>
      </c>
      <c r="P510" s="67">
        <v>0</v>
      </c>
      <c r="Q510" s="67">
        <v>0</v>
      </c>
      <c r="R510" s="67">
        <v>0</v>
      </c>
      <c r="S510" s="67">
        <v>0</v>
      </c>
      <c r="T510" s="67">
        <v>0</v>
      </c>
      <c r="U510" s="67">
        <v>0</v>
      </c>
      <c r="V510" s="67">
        <v>0</v>
      </c>
      <c r="W510" s="67">
        <v>0</v>
      </c>
      <c r="X510" s="67">
        <v>0</v>
      </c>
      <c r="Y510" s="67">
        <v>0</v>
      </c>
      <c r="Z510" s="61" t="s">
        <v>228</v>
      </c>
      <c r="AA510" s="68">
        <v>0.38800729221171737</v>
      </c>
      <c r="AB510" s="69">
        <v>0</v>
      </c>
    </row>
    <row r="511" spans="2:28" x14ac:dyDescent="0.3">
      <c r="B511" s="61" t="s">
        <v>181</v>
      </c>
      <c r="C511" s="61" t="s">
        <v>185</v>
      </c>
      <c r="D511" s="61" t="s">
        <v>121</v>
      </c>
      <c r="E511" s="61" t="s">
        <v>195</v>
      </c>
      <c r="F511" s="61" t="s">
        <v>93</v>
      </c>
      <c r="G511" s="62">
        <v>0.81644294205130719</v>
      </c>
      <c r="H511" s="61">
        <v>5</v>
      </c>
      <c r="I511" s="61" t="s">
        <v>214</v>
      </c>
      <c r="J511" s="61" t="s">
        <v>215</v>
      </c>
      <c r="K511" s="67">
        <v>0</v>
      </c>
      <c r="L511" s="67">
        <v>0</v>
      </c>
      <c r="M511" s="67">
        <v>0</v>
      </c>
      <c r="N511" s="67">
        <v>0</v>
      </c>
      <c r="O511" s="67">
        <v>0</v>
      </c>
      <c r="P511" s="67">
        <v>0</v>
      </c>
      <c r="Q511" s="67">
        <v>0</v>
      </c>
      <c r="R511" s="67">
        <v>0</v>
      </c>
      <c r="S511" s="67">
        <v>0</v>
      </c>
      <c r="T511" s="67">
        <v>0</v>
      </c>
      <c r="U511" s="67">
        <v>0</v>
      </c>
      <c r="V511" s="67">
        <v>0</v>
      </c>
      <c r="W511" s="67">
        <v>0</v>
      </c>
      <c r="X511" s="67">
        <v>0</v>
      </c>
      <c r="Y511" s="67">
        <v>0</v>
      </c>
      <c r="Z511" s="61" t="s">
        <v>228</v>
      </c>
      <c r="AA511" s="68">
        <v>0.20789767098523787</v>
      </c>
      <c r="AB511" s="69">
        <v>1.3778681737591908E-4</v>
      </c>
    </row>
    <row r="512" spans="2:28" x14ac:dyDescent="0.3">
      <c r="B512" s="61" t="s">
        <v>181</v>
      </c>
      <c r="C512" s="61" t="s">
        <v>185</v>
      </c>
      <c r="D512" s="61" t="s">
        <v>121</v>
      </c>
      <c r="E512" s="61" t="s">
        <v>195</v>
      </c>
      <c r="F512" s="61" t="s">
        <v>94</v>
      </c>
      <c r="G512" s="62">
        <v>0.81644294205130719</v>
      </c>
      <c r="H512" s="61">
        <v>5</v>
      </c>
      <c r="I512" s="61" t="s">
        <v>218</v>
      </c>
      <c r="J512" s="61" t="s">
        <v>215</v>
      </c>
      <c r="K512" s="67">
        <v>0</v>
      </c>
      <c r="L512" s="67">
        <v>0</v>
      </c>
      <c r="M512" s="67">
        <v>0</v>
      </c>
      <c r="N512" s="67">
        <v>0</v>
      </c>
      <c r="O512" s="67">
        <v>0</v>
      </c>
      <c r="P512" s="67">
        <v>0</v>
      </c>
      <c r="Q512" s="67">
        <v>0</v>
      </c>
      <c r="R512" s="67">
        <v>0</v>
      </c>
      <c r="S512" s="67">
        <v>0</v>
      </c>
      <c r="T512" s="67">
        <v>0</v>
      </c>
      <c r="U512" s="67">
        <v>0</v>
      </c>
      <c r="V512" s="67">
        <v>0</v>
      </c>
      <c r="W512" s="67">
        <v>0</v>
      </c>
      <c r="X512" s="67">
        <v>0</v>
      </c>
      <c r="Y512" s="67">
        <v>0</v>
      </c>
      <c r="Z512" s="61" t="s">
        <v>228</v>
      </c>
      <c r="AA512" s="68">
        <v>0.38800729221171737</v>
      </c>
      <c r="AB512" s="69">
        <v>0</v>
      </c>
    </row>
    <row r="513" spans="2:28" x14ac:dyDescent="0.3">
      <c r="B513" s="61" t="s">
        <v>181</v>
      </c>
      <c r="C513" s="61" t="s">
        <v>185</v>
      </c>
      <c r="D513" s="61" t="s">
        <v>121</v>
      </c>
      <c r="E513" s="61" t="s">
        <v>196</v>
      </c>
      <c r="F513" s="61" t="s">
        <v>93</v>
      </c>
      <c r="G513" s="62">
        <v>0.90817810407954391</v>
      </c>
      <c r="H513" s="61">
        <v>5</v>
      </c>
      <c r="I513" s="61" t="s">
        <v>214</v>
      </c>
      <c r="J513" s="61" t="s">
        <v>215</v>
      </c>
      <c r="K513" s="67">
        <v>0</v>
      </c>
      <c r="L513" s="67">
        <v>0</v>
      </c>
      <c r="M513" s="67">
        <v>0</v>
      </c>
      <c r="N513" s="67">
        <v>0</v>
      </c>
      <c r="O513" s="67">
        <v>0</v>
      </c>
      <c r="P513" s="67">
        <v>0</v>
      </c>
      <c r="Q513" s="67">
        <v>0</v>
      </c>
      <c r="R513" s="67">
        <v>0</v>
      </c>
      <c r="S513" s="67">
        <v>0</v>
      </c>
      <c r="T513" s="67">
        <v>0</v>
      </c>
      <c r="U513" s="67">
        <v>0</v>
      </c>
      <c r="V513" s="67">
        <v>0</v>
      </c>
      <c r="W513" s="67">
        <v>0</v>
      </c>
      <c r="X513" s="67">
        <v>0</v>
      </c>
      <c r="Y513" s="67">
        <v>0</v>
      </c>
      <c r="Z513" s="61" t="s">
        <v>228</v>
      </c>
      <c r="AA513" s="68">
        <v>0.20789767098523787</v>
      </c>
      <c r="AB513" s="69">
        <v>1.3778681737591908E-4</v>
      </c>
    </row>
    <row r="514" spans="2:28" x14ac:dyDescent="0.3">
      <c r="B514" s="61" t="s">
        <v>181</v>
      </c>
      <c r="C514" s="61" t="s">
        <v>185</v>
      </c>
      <c r="D514" s="61" t="s">
        <v>121</v>
      </c>
      <c r="E514" s="61" t="s">
        <v>196</v>
      </c>
      <c r="F514" s="61" t="s">
        <v>94</v>
      </c>
      <c r="G514" s="62">
        <v>0.90817810407954391</v>
      </c>
      <c r="H514" s="61">
        <v>5</v>
      </c>
      <c r="I514" s="61" t="s">
        <v>218</v>
      </c>
      <c r="J514" s="61" t="s">
        <v>215</v>
      </c>
      <c r="K514" s="67">
        <v>0</v>
      </c>
      <c r="L514" s="67">
        <v>0</v>
      </c>
      <c r="M514" s="67">
        <v>0</v>
      </c>
      <c r="N514" s="67">
        <v>0</v>
      </c>
      <c r="O514" s="67">
        <v>0</v>
      </c>
      <c r="P514" s="67">
        <v>0</v>
      </c>
      <c r="Q514" s="67">
        <v>0</v>
      </c>
      <c r="R514" s="67">
        <v>0</v>
      </c>
      <c r="S514" s="67">
        <v>0</v>
      </c>
      <c r="T514" s="67">
        <v>0</v>
      </c>
      <c r="U514" s="67">
        <v>0</v>
      </c>
      <c r="V514" s="67">
        <v>0</v>
      </c>
      <c r="W514" s="67">
        <v>0</v>
      </c>
      <c r="X514" s="67">
        <v>0</v>
      </c>
      <c r="Y514" s="67">
        <v>0</v>
      </c>
      <c r="Z514" s="61" t="s">
        <v>228</v>
      </c>
      <c r="AA514" s="68">
        <v>0.38800729221171737</v>
      </c>
      <c r="AB514" s="69">
        <v>0</v>
      </c>
    </row>
    <row r="515" spans="2:28" x14ac:dyDescent="0.3">
      <c r="B515" s="61" t="s">
        <v>181</v>
      </c>
      <c r="C515" s="61" t="s">
        <v>185</v>
      </c>
      <c r="D515" s="61" t="s">
        <v>121</v>
      </c>
      <c r="E515" s="61" t="s">
        <v>197</v>
      </c>
      <c r="F515" s="61" t="s">
        <v>93</v>
      </c>
      <c r="G515" s="62">
        <v>0.69718723141459937</v>
      </c>
      <c r="H515" s="61">
        <v>5</v>
      </c>
      <c r="I515" s="61" t="s">
        <v>214</v>
      </c>
      <c r="J515" s="61" t="s">
        <v>215</v>
      </c>
      <c r="K515" s="67">
        <v>2.3131053604436229E-2</v>
      </c>
      <c r="L515" s="67">
        <v>2.3131053604436229E-2</v>
      </c>
      <c r="M515" s="67">
        <v>2.3131053604436229E-2</v>
      </c>
      <c r="N515" s="67">
        <v>2.3131053604436229E-2</v>
      </c>
      <c r="O515" s="67">
        <v>2.3131053604436229E-2</v>
      </c>
      <c r="P515" s="67">
        <v>2.3131053604436229E-2</v>
      </c>
      <c r="Q515" s="67">
        <v>2.3131053604436229E-2</v>
      </c>
      <c r="R515" s="67">
        <v>2.3131053604436229E-2</v>
      </c>
      <c r="S515" s="67">
        <v>2.3131053604436229E-2</v>
      </c>
      <c r="T515" s="67">
        <v>2.3131053604436229E-2</v>
      </c>
      <c r="U515" s="67">
        <v>2.3131053604436229E-2</v>
      </c>
      <c r="V515" s="67">
        <v>2.3131053604436229E-2</v>
      </c>
      <c r="W515" s="67">
        <v>2.3131053604436229E-2</v>
      </c>
      <c r="X515" s="67">
        <v>2.3131053604436229E-2</v>
      </c>
      <c r="Y515" s="67">
        <v>2.3131053604436229E-2</v>
      </c>
      <c r="Z515" s="61" t="s">
        <v>228</v>
      </c>
      <c r="AA515" s="68">
        <v>0.20789767098523787</v>
      </c>
      <c r="AB515" s="69">
        <v>1.3778681737591908E-4</v>
      </c>
    </row>
    <row r="516" spans="2:28" x14ac:dyDescent="0.3">
      <c r="B516" s="61" t="s">
        <v>181</v>
      </c>
      <c r="C516" s="61" t="s">
        <v>185</v>
      </c>
      <c r="D516" s="61" t="s">
        <v>121</v>
      </c>
      <c r="E516" s="61" t="s">
        <v>197</v>
      </c>
      <c r="F516" s="61" t="s">
        <v>94</v>
      </c>
      <c r="G516" s="62">
        <v>0.69718723141459937</v>
      </c>
      <c r="H516" s="61">
        <v>5</v>
      </c>
      <c r="I516" s="61" t="s">
        <v>218</v>
      </c>
      <c r="J516" s="61" t="s">
        <v>215</v>
      </c>
      <c r="K516" s="67">
        <v>2.3131053604436229E-2</v>
      </c>
      <c r="L516" s="67">
        <v>2.3131053604436229E-2</v>
      </c>
      <c r="M516" s="67">
        <v>2.3131053604436229E-2</v>
      </c>
      <c r="N516" s="67">
        <v>2.3131053604436229E-2</v>
      </c>
      <c r="O516" s="67">
        <v>2.3131053604436229E-2</v>
      </c>
      <c r="P516" s="67">
        <v>2.3131053604436229E-2</v>
      </c>
      <c r="Q516" s="67">
        <v>2.3131053604436229E-2</v>
      </c>
      <c r="R516" s="67">
        <v>2.3131053604436229E-2</v>
      </c>
      <c r="S516" s="67">
        <v>2.3131053604436229E-2</v>
      </c>
      <c r="T516" s="67">
        <v>2.3131053604436229E-2</v>
      </c>
      <c r="U516" s="67">
        <v>2.3131053604436229E-2</v>
      </c>
      <c r="V516" s="67">
        <v>2.3131053604436229E-2</v>
      </c>
      <c r="W516" s="67">
        <v>2.3131053604436229E-2</v>
      </c>
      <c r="X516" s="67">
        <v>2.3131053604436229E-2</v>
      </c>
      <c r="Y516" s="67">
        <v>2.3131053604436229E-2</v>
      </c>
      <c r="Z516" s="61" t="s">
        <v>228</v>
      </c>
      <c r="AA516" s="68">
        <v>0.38800729221171737</v>
      </c>
      <c r="AB516" s="69">
        <v>0</v>
      </c>
    </row>
    <row r="517" spans="2:28" x14ac:dyDescent="0.3">
      <c r="B517" s="61" t="s">
        <v>181</v>
      </c>
      <c r="C517" s="61" t="s">
        <v>185</v>
      </c>
      <c r="D517" s="61" t="s">
        <v>121</v>
      </c>
      <c r="E517" s="61" t="s">
        <v>198</v>
      </c>
      <c r="F517" s="61" t="s">
        <v>93</v>
      </c>
      <c r="G517" s="62">
        <v>0.37611416431577077</v>
      </c>
      <c r="H517" s="61">
        <v>5</v>
      </c>
      <c r="I517" s="61" t="s">
        <v>214</v>
      </c>
      <c r="J517" s="61" t="s">
        <v>215</v>
      </c>
      <c r="K517" s="67">
        <v>8.7269396369776278E-2</v>
      </c>
      <c r="L517" s="67">
        <v>8.7269396369776278E-2</v>
      </c>
      <c r="M517" s="67">
        <v>8.7269396369776278E-2</v>
      </c>
      <c r="N517" s="67">
        <v>8.7269396369776278E-2</v>
      </c>
      <c r="O517" s="67">
        <v>8.7269396369776278E-2</v>
      </c>
      <c r="P517" s="67">
        <v>8.7269396369776278E-2</v>
      </c>
      <c r="Q517" s="67">
        <v>8.7269396369776278E-2</v>
      </c>
      <c r="R517" s="67">
        <v>8.7269396369776278E-2</v>
      </c>
      <c r="S517" s="67">
        <v>8.7269396369776278E-2</v>
      </c>
      <c r="T517" s="67">
        <v>8.7269396369776278E-2</v>
      </c>
      <c r="U517" s="67">
        <v>8.7269396369776278E-2</v>
      </c>
      <c r="V517" s="67">
        <v>8.7269396369776278E-2</v>
      </c>
      <c r="W517" s="67">
        <v>8.7269396369776278E-2</v>
      </c>
      <c r="X517" s="67">
        <v>8.7269396369776278E-2</v>
      </c>
      <c r="Y517" s="67">
        <v>8.7269396369776278E-2</v>
      </c>
      <c r="Z517" s="61" t="s">
        <v>228</v>
      </c>
      <c r="AA517" s="68">
        <v>0.20789767098523787</v>
      </c>
      <c r="AB517" s="69">
        <v>1.3778681737591908E-4</v>
      </c>
    </row>
    <row r="518" spans="2:28" x14ac:dyDescent="0.3">
      <c r="B518" s="61" t="s">
        <v>181</v>
      </c>
      <c r="C518" s="61" t="s">
        <v>185</v>
      </c>
      <c r="D518" s="61" t="s">
        <v>121</v>
      </c>
      <c r="E518" s="61" t="s">
        <v>198</v>
      </c>
      <c r="F518" s="61" t="s">
        <v>94</v>
      </c>
      <c r="G518" s="62">
        <v>0.37611416431577077</v>
      </c>
      <c r="H518" s="61">
        <v>5</v>
      </c>
      <c r="I518" s="61" t="s">
        <v>218</v>
      </c>
      <c r="J518" s="61" t="s">
        <v>215</v>
      </c>
      <c r="K518" s="67">
        <v>8.7269396369776278E-2</v>
      </c>
      <c r="L518" s="67">
        <v>8.7269396369776278E-2</v>
      </c>
      <c r="M518" s="67">
        <v>8.7269396369776278E-2</v>
      </c>
      <c r="N518" s="67">
        <v>8.7269396369776278E-2</v>
      </c>
      <c r="O518" s="67">
        <v>8.7269396369776278E-2</v>
      </c>
      <c r="P518" s="67">
        <v>8.7269396369776278E-2</v>
      </c>
      <c r="Q518" s="67">
        <v>8.7269396369776278E-2</v>
      </c>
      <c r="R518" s="67">
        <v>8.7269396369776278E-2</v>
      </c>
      <c r="S518" s="67">
        <v>8.7269396369776278E-2</v>
      </c>
      <c r="T518" s="67">
        <v>8.7269396369776278E-2</v>
      </c>
      <c r="U518" s="67">
        <v>8.7269396369776278E-2</v>
      </c>
      <c r="V518" s="67">
        <v>8.7269396369776278E-2</v>
      </c>
      <c r="W518" s="67">
        <v>8.7269396369776278E-2</v>
      </c>
      <c r="X518" s="67">
        <v>8.7269396369776278E-2</v>
      </c>
      <c r="Y518" s="67">
        <v>8.7269396369776278E-2</v>
      </c>
      <c r="Z518" s="61" t="s">
        <v>228</v>
      </c>
      <c r="AA518" s="68">
        <v>0.38800729221171737</v>
      </c>
      <c r="AB518" s="69">
        <v>0</v>
      </c>
    </row>
    <row r="519" spans="2:28" x14ac:dyDescent="0.3">
      <c r="B519" s="61" t="s">
        <v>181</v>
      </c>
      <c r="C519" s="61" t="s">
        <v>185</v>
      </c>
      <c r="D519" s="61" t="s">
        <v>121</v>
      </c>
      <c r="E519" s="61" t="s">
        <v>199</v>
      </c>
      <c r="F519" s="61" t="s">
        <v>93</v>
      </c>
      <c r="G519" s="62">
        <v>0.81644294205130719</v>
      </c>
      <c r="H519" s="61">
        <v>5</v>
      </c>
      <c r="I519" s="61" t="s">
        <v>214</v>
      </c>
      <c r="J519" s="61" t="s">
        <v>215</v>
      </c>
      <c r="K519" s="67">
        <v>0</v>
      </c>
      <c r="L519" s="67">
        <v>0</v>
      </c>
      <c r="M519" s="67">
        <v>0</v>
      </c>
      <c r="N519" s="67">
        <v>0</v>
      </c>
      <c r="O519" s="67">
        <v>0</v>
      </c>
      <c r="P519" s="67">
        <v>0</v>
      </c>
      <c r="Q519" s="67">
        <v>0</v>
      </c>
      <c r="R519" s="67">
        <v>0</v>
      </c>
      <c r="S519" s="67">
        <v>0</v>
      </c>
      <c r="T519" s="67">
        <v>0</v>
      </c>
      <c r="U519" s="67">
        <v>0</v>
      </c>
      <c r="V519" s="67">
        <v>0</v>
      </c>
      <c r="W519" s="67">
        <v>0</v>
      </c>
      <c r="X519" s="67">
        <v>0</v>
      </c>
      <c r="Y519" s="67">
        <v>0</v>
      </c>
      <c r="Z519" s="61" t="s">
        <v>228</v>
      </c>
      <c r="AA519" s="68">
        <v>0.20789767098523787</v>
      </c>
      <c r="AB519" s="69">
        <v>1.3778681737591908E-4</v>
      </c>
    </row>
    <row r="520" spans="2:28" x14ac:dyDescent="0.3">
      <c r="B520" s="61" t="s">
        <v>181</v>
      </c>
      <c r="C520" s="61" t="s">
        <v>185</v>
      </c>
      <c r="D520" s="61" t="s">
        <v>121</v>
      </c>
      <c r="E520" s="61" t="s">
        <v>199</v>
      </c>
      <c r="F520" s="61" t="s">
        <v>94</v>
      </c>
      <c r="G520" s="62">
        <v>0.81644294205130719</v>
      </c>
      <c r="H520" s="61">
        <v>5</v>
      </c>
      <c r="I520" s="61" t="s">
        <v>218</v>
      </c>
      <c r="J520" s="61" t="s">
        <v>215</v>
      </c>
      <c r="K520" s="67">
        <v>0</v>
      </c>
      <c r="L520" s="67">
        <v>0</v>
      </c>
      <c r="M520" s="67">
        <v>0</v>
      </c>
      <c r="N520" s="67">
        <v>0</v>
      </c>
      <c r="O520" s="67">
        <v>0</v>
      </c>
      <c r="P520" s="67">
        <v>0</v>
      </c>
      <c r="Q520" s="67">
        <v>0</v>
      </c>
      <c r="R520" s="67">
        <v>0</v>
      </c>
      <c r="S520" s="67">
        <v>0</v>
      </c>
      <c r="T520" s="67">
        <v>0</v>
      </c>
      <c r="U520" s="67">
        <v>0</v>
      </c>
      <c r="V520" s="67">
        <v>0</v>
      </c>
      <c r="W520" s="67">
        <v>0</v>
      </c>
      <c r="X520" s="67">
        <v>0</v>
      </c>
      <c r="Y520" s="67">
        <v>0</v>
      </c>
      <c r="Z520" s="61" t="s">
        <v>228</v>
      </c>
      <c r="AA520" s="68">
        <v>0.38800729221171737</v>
      </c>
      <c r="AB520" s="69">
        <v>0</v>
      </c>
    </row>
    <row r="521" spans="2:28" x14ac:dyDescent="0.3">
      <c r="B521" s="61" t="s">
        <v>181</v>
      </c>
      <c r="C521" s="61" t="s">
        <v>185</v>
      </c>
      <c r="D521" s="61" t="s">
        <v>122</v>
      </c>
      <c r="E521" s="61" t="s">
        <v>186</v>
      </c>
      <c r="F521" s="61" t="s">
        <v>93</v>
      </c>
      <c r="G521" s="62">
        <v>0.18347032405647348</v>
      </c>
      <c r="H521" s="61">
        <v>5</v>
      </c>
      <c r="I521" s="61" t="s">
        <v>214</v>
      </c>
      <c r="J521" s="61" t="s">
        <v>215</v>
      </c>
      <c r="K521" s="67">
        <v>0.10200680754502907</v>
      </c>
      <c r="L521" s="67">
        <v>0.10200680754502907</v>
      </c>
      <c r="M521" s="67">
        <v>0.10200680754502907</v>
      </c>
      <c r="N521" s="67">
        <v>0.10200680754502907</v>
      </c>
      <c r="O521" s="67">
        <v>0.10200680754502907</v>
      </c>
      <c r="P521" s="67">
        <v>0.10200680754502907</v>
      </c>
      <c r="Q521" s="67">
        <v>0.10200680754502907</v>
      </c>
      <c r="R521" s="67">
        <v>0.10200680754502907</v>
      </c>
      <c r="S521" s="67">
        <v>0.10200680754502907</v>
      </c>
      <c r="T521" s="67">
        <v>0.10200680754502907</v>
      </c>
      <c r="U521" s="67">
        <v>0.10200680754502907</v>
      </c>
      <c r="V521" s="67">
        <v>0.10200680754502907</v>
      </c>
      <c r="W521" s="67">
        <v>0.10200680754502907</v>
      </c>
      <c r="X521" s="67">
        <v>0.10200680754502907</v>
      </c>
      <c r="Y521" s="67">
        <v>0.10200680754502907</v>
      </c>
      <c r="Z521" s="61" t="s">
        <v>228</v>
      </c>
      <c r="AA521" s="68">
        <v>0.20789767098523787</v>
      </c>
      <c r="AB521" s="69">
        <v>1.3778681737591908E-4</v>
      </c>
    </row>
    <row r="522" spans="2:28" x14ac:dyDescent="0.3">
      <c r="B522" s="61" t="s">
        <v>181</v>
      </c>
      <c r="C522" s="61" t="s">
        <v>185</v>
      </c>
      <c r="D522" s="61" t="s">
        <v>122</v>
      </c>
      <c r="E522" s="61" t="s">
        <v>189</v>
      </c>
      <c r="F522" s="61" t="s">
        <v>93</v>
      </c>
      <c r="G522" s="62">
        <v>0.62379910179200992</v>
      </c>
      <c r="H522" s="61">
        <v>5</v>
      </c>
      <c r="I522" s="61" t="s">
        <v>214</v>
      </c>
      <c r="J522" s="61" t="s">
        <v>215</v>
      </c>
      <c r="K522" s="67">
        <v>5.1695553880934435E-2</v>
      </c>
      <c r="L522" s="67">
        <v>5.1695553880934435E-2</v>
      </c>
      <c r="M522" s="67">
        <v>5.1695553880934435E-2</v>
      </c>
      <c r="N522" s="67">
        <v>5.1695553880934435E-2</v>
      </c>
      <c r="O522" s="67">
        <v>5.1695553880934435E-2</v>
      </c>
      <c r="P522" s="67">
        <v>5.1695553880934435E-2</v>
      </c>
      <c r="Q522" s="67">
        <v>5.1695553880934435E-2</v>
      </c>
      <c r="R522" s="67">
        <v>5.1695553880934435E-2</v>
      </c>
      <c r="S522" s="67">
        <v>5.1695553880934435E-2</v>
      </c>
      <c r="T522" s="67">
        <v>5.1695553880934435E-2</v>
      </c>
      <c r="U522" s="67">
        <v>5.1695553880934435E-2</v>
      </c>
      <c r="V522" s="67">
        <v>5.1695553880934435E-2</v>
      </c>
      <c r="W522" s="67">
        <v>5.1695553880934435E-2</v>
      </c>
      <c r="X522" s="67">
        <v>5.1695553880934435E-2</v>
      </c>
      <c r="Y522" s="67">
        <v>5.1695553880934435E-2</v>
      </c>
      <c r="Z522" s="61" t="s">
        <v>228</v>
      </c>
      <c r="AA522" s="68">
        <v>0.20789767098523787</v>
      </c>
      <c r="AB522" s="69">
        <v>1.3778681737591908E-4</v>
      </c>
    </row>
    <row r="523" spans="2:28" x14ac:dyDescent="0.3">
      <c r="B523" s="61" t="s">
        <v>181</v>
      </c>
      <c r="C523" s="61" t="s">
        <v>185</v>
      </c>
      <c r="D523" s="61" t="s">
        <v>122</v>
      </c>
      <c r="E523" s="61" t="s">
        <v>190</v>
      </c>
      <c r="F523" s="61" t="s">
        <v>93</v>
      </c>
      <c r="G523" s="62">
        <v>0.40363471292424169</v>
      </c>
      <c r="H523" s="61">
        <v>5</v>
      </c>
      <c r="I523" s="61" t="s">
        <v>214</v>
      </c>
      <c r="J523" s="61" t="s">
        <v>215</v>
      </c>
      <c r="K523" s="67">
        <v>3.0820965905856902E-2</v>
      </c>
      <c r="L523" s="67">
        <v>3.0820965905856902E-2</v>
      </c>
      <c r="M523" s="67">
        <v>3.0820965905856902E-2</v>
      </c>
      <c r="N523" s="67">
        <v>3.0820965905856902E-2</v>
      </c>
      <c r="O523" s="67">
        <v>3.0820965905856902E-2</v>
      </c>
      <c r="P523" s="67">
        <v>3.0820965905856902E-2</v>
      </c>
      <c r="Q523" s="67">
        <v>3.0820965905856902E-2</v>
      </c>
      <c r="R523" s="67">
        <v>3.0820965905856902E-2</v>
      </c>
      <c r="S523" s="67">
        <v>3.0820965905856902E-2</v>
      </c>
      <c r="T523" s="67">
        <v>3.0820965905856902E-2</v>
      </c>
      <c r="U523" s="67">
        <v>3.0820965905856902E-2</v>
      </c>
      <c r="V523" s="67">
        <v>3.0820965905856902E-2</v>
      </c>
      <c r="W523" s="67">
        <v>3.0820965905856902E-2</v>
      </c>
      <c r="X523" s="67">
        <v>3.0820965905856902E-2</v>
      </c>
      <c r="Y523" s="67">
        <v>3.0820965905856902E-2</v>
      </c>
      <c r="Z523" s="61" t="s">
        <v>228</v>
      </c>
      <c r="AA523" s="68">
        <v>0.20789767098523787</v>
      </c>
      <c r="AB523" s="69">
        <v>1.3778681737591908E-4</v>
      </c>
    </row>
    <row r="524" spans="2:28" x14ac:dyDescent="0.3">
      <c r="B524" s="61" t="s">
        <v>181</v>
      </c>
      <c r="C524" s="61" t="s">
        <v>185</v>
      </c>
      <c r="D524" s="61" t="s">
        <v>122</v>
      </c>
      <c r="E524" s="61" t="s">
        <v>191</v>
      </c>
      <c r="F524" s="61" t="s">
        <v>93</v>
      </c>
      <c r="G524" s="62">
        <v>0.68801371521177568</v>
      </c>
      <c r="H524" s="61">
        <v>5</v>
      </c>
      <c r="I524" s="61" t="s">
        <v>214</v>
      </c>
      <c r="J524" s="61" t="s">
        <v>215</v>
      </c>
      <c r="K524" s="67">
        <v>2.399993450353681E-2</v>
      </c>
      <c r="L524" s="67">
        <v>2.399993450353681E-2</v>
      </c>
      <c r="M524" s="67">
        <v>2.399993450353681E-2</v>
      </c>
      <c r="N524" s="67">
        <v>2.399993450353681E-2</v>
      </c>
      <c r="O524" s="67">
        <v>2.399993450353681E-2</v>
      </c>
      <c r="P524" s="67">
        <v>2.399993450353681E-2</v>
      </c>
      <c r="Q524" s="67">
        <v>2.399993450353681E-2</v>
      </c>
      <c r="R524" s="67">
        <v>2.399993450353681E-2</v>
      </c>
      <c r="S524" s="67">
        <v>2.399993450353681E-2</v>
      </c>
      <c r="T524" s="67">
        <v>2.399993450353681E-2</v>
      </c>
      <c r="U524" s="67">
        <v>2.399993450353681E-2</v>
      </c>
      <c r="V524" s="67">
        <v>2.399993450353681E-2</v>
      </c>
      <c r="W524" s="67">
        <v>2.399993450353681E-2</v>
      </c>
      <c r="X524" s="67">
        <v>2.399993450353681E-2</v>
      </c>
      <c r="Y524" s="67">
        <v>2.399993450353681E-2</v>
      </c>
      <c r="Z524" s="61" t="s">
        <v>228</v>
      </c>
      <c r="AA524" s="68">
        <v>0.20789767098523787</v>
      </c>
      <c r="AB524" s="69">
        <v>1.3778681737591908E-4</v>
      </c>
    </row>
    <row r="525" spans="2:28" x14ac:dyDescent="0.3">
      <c r="B525" s="61" t="s">
        <v>181</v>
      </c>
      <c r="C525" s="61" t="s">
        <v>185</v>
      </c>
      <c r="D525" s="61" t="s">
        <v>122</v>
      </c>
      <c r="E525" s="61" t="s">
        <v>192</v>
      </c>
      <c r="F525" s="61" t="s">
        <v>93</v>
      </c>
      <c r="G525" s="62">
        <v>0.4586758101411838</v>
      </c>
      <c r="H525" s="61">
        <v>5</v>
      </c>
      <c r="I525" s="61" t="s">
        <v>214</v>
      </c>
      <c r="J525" s="61" t="s">
        <v>215</v>
      </c>
      <c r="K525" s="67">
        <v>0.12152672282833862</v>
      </c>
      <c r="L525" s="67">
        <v>0.12152672282833862</v>
      </c>
      <c r="M525" s="67">
        <v>0.12152672282833862</v>
      </c>
      <c r="N525" s="67">
        <v>0.12152672282833862</v>
      </c>
      <c r="O525" s="67">
        <v>0.12152672282833862</v>
      </c>
      <c r="P525" s="67">
        <v>0.12152672282833862</v>
      </c>
      <c r="Q525" s="67">
        <v>0.12152672282833862</v>
      </c>
      <c r="R525" s="67">
        <v>0.12152672282833862</v>
      </c>
      <c r="S525" s="67">
        <v>0.12152672282833862</v>
      </c>
      <c r="T525" s="67">
        <v>0.12152672282833862</v>
      </c>
      <c r="U525" s="67">
        <v>0.12152672282833862</v>
      </c>
      <c r="V525" s="67">
        <v>0.12152672282833862</v>
      </c>
      <c r="W525" s="67">
        <v>0.12152672282833862</v>
      </c>
      <c r="X525" s="67">
        <v>0.12152672282833862</v>
      </c>
      <c r="Y525" s="67">
        <v>0.12152672282833862</v>
      </c>
      <c r="Z525" s="61" t="s">
        <v>228</v>
      </c>
      <c r="AA525" s="68">
        <v>0.20789767098523787</v>
      </c>
      <c r="AB525" s="69">
        <v>1.3778681737591908E-4</v>
      </c>
    </row>
    <row r="526" spans="2:28" x14ac:dyDescent="0.3">
      <c r="B526" s="61" t="s">
        <v>181</v>
      </c>
      <c r="C526" s="61" t="s">
        <v>185</v>
      </c>
      <c r="D526" s="61" t="s">
        <v>122</v>
      </c>
      <c r="E526" s="61" t="s">
        <v>193</v>
      </c>
      <c r="F526" s="61" t="s">
        <v>93</v>
      </c>
      <c r="G526" s="62">
        <v>0.4586758101411838</v>
      </c>
      <c r="H526" s="61">
        <v>5</v>
      </c>
      <c r="I526" s="61" t="s">
        <v>214</v>
      </c>
      <c r="J526" s="61" t="s">
        <v>215</v>
      </c>
      <c r="K526" s="67">
        <v>0.12267716535433069</v>
      </c>
      <c r="L526" s="67">
        <v>0.12267716535433069</v>
      </c>
      <c r="M526" s="67">
        <v>0.12267716535433069</v>
      </c>
      <c r="N526" s="67">
        <v>0.12267716535433069</v>
      </c>
      <c r="O526" s="67">
        <v>0.12267716535433069</v>
      </c>
      <c r="P526" s="67">
        <v>0.12267716535433069</v>
      </c>
      <c r="Q526" s="67">
        <v>0.12267716535433069</v>
      </c>
      <c r="R526" s="67">
        <v>0.12267716535433069</v>
      </c>
      <c r="S526" s="67">
        <v>0.12267716535433069</v>
      </c>
      <c r="T526" s="67">
        <v>0.12267716535433069</v>
      </c>
      <c r="U526" s="67">
        <v>0.12267716535433069</v>
      </c>
      <c r="V526" s="67">
        <v>0.12267716535433069</v>
      </c>
      <c r="W526" s="67">
        <v>0.12267716535433069</v>
      </c>
      <c r="X526" s="67">
        <v>0.12267716535433069</v>
      </c>
      <c r="Y526" s="67">
        <v>0.12267716535433069</v>
      </c>
      <c r="Z526" s="61" t="s">
        <v>228</v>
      </c>
      <c r="AA526" s="68">
        <v>0.20789767098523787</v>
      </c>
      <c r="AB526" s="69">
        <v>1.3778681737591908E-4</v>
      </c>
    </row>
    <row r="527" spans="2:28" x14ac:dyDescent="0.3">
      <c r="B527" s="61" t="s">
        <v>181</v>
      </c>
      <c r="C527" s="61" t="s">
        <v>185</v>
      </c>
      <c r="D527" s="61" t="s">
        <v>122</v>
      </c>
      <c r="E527" s="61" t="s">
        <v>194</v>
      </c>
      <c r="F527" s="61" t="s">
        <v>93</v>
      </c>
      <c r="G527" s="62">
        <v>0.59627855318353895</v>
      </c>
      <c r="H527" s="61">
        <v>5</v>
      </c>
      <c r="I527" s="61" t="s">
        <v>214</v>
      </c>
      <c r="J527" s="61" t="s">
        <v>215</v>
      </c>
      <c r="K527" s="67">
        <v>0</v>
      </c>
      <c r="L527" s="67">
        <v>0</v>
      </c>
      <c r="M527" s="67">
        <v>0</v>
      </c>
      <c r="N527" s="67">
        <v>0</v>
      </c>
      <c r="O527" s="67">
        <v>0</v>
      </c>
      <c r="P527" s="67">
        <v>0</v>
      </c>
      <c r="Q527" s="67">
        <v>0</v>
      </c>
      <c r="R527" s="67">
        <v>0</v>
      </c>
      <c r="S527" s="67">
        <v>0</v>
      </c>
      <c r="T527" s="67">
        <v>0</v>
      </c>
      <c r="U527" s="67">
        <v>0</v>
      </c>
      <c r="V527" s="67">
        <v>0</v>
      </c>
      <c r="W527" s="67">
        <v>0</v>
      </c>
      <c r="X527" s="67">
        <v>0</v>
      </c>
      <c r="Y527" s="67">
        <v>0</v>
      </c>
      <c r="Z527" s="61" t="s">
        <v>228</v>
      </c>
      <c r="AA527" s="68">
        <v>0.20789767098523787</v>
      </c>
      <c r="AB527" s="69">
        <v>1.3778681737591908E-4</v>
      </c>
    </row>
    <row r="528" spans="2:28" x14ac:dyDescent="0.3">
      <c r="B528" s="61" t="s">
        <v>181</v>
      </c>
      <c r="C528" s="61" t="s">
        <v>185</v>
      </c>
      <c r="D528" s="61" t="s">
        <v>122</v>
      </c>
      <c r="E528" s="61" t="s">
        <v>195</v>
      </c>
      <c r="F528" s="61" t="s">
        <v>93</v>
      </c>
      <c r="G528" s="62">
        <v>0.81644294205130719</v>
      </c>
      <c r="H528" s="61">
        <v>5</v>
      </c>
      <c r="I528" s="61" t="s">
        <v>214</v>
      </c>
      <c r="J528" s="61" t="s">
        <v>215</v>
      </c>
      <c r="K528" s="67">
        <v>0</v>
      </c>
      <c r="L528" s="67">
        <v>0</v>
      </c>
      <c r="M528" s="67">
        <v>0</v>
      </c>
      <c r="N528" s="67">
        <v>0</v>
      </c>
      <c r="O528" s="67">
        <v>0</v>
      </c>
      <c r="P528" s="67">
        <v>0</v>
      </c>
      <c r="Q528" s="67">
        <v>0</v>
      </c>
      <c r="R528" s="67">
        <v>0</v>
      </c>
      <c r="S528" s="67">
        <v>0</v>
      </c>
      <c r="T528" s="67">
        <v>0</v>
      </c>
      <c r="U528" s="67">
        <v>0</v>
      </c>
      <c r="V528" s="67">
        <v>0</v>
      </c>
      <c r="W528" s="67">
        <v>0</v>
      </c>
      <c r="X528" s="67">
        <v>0</v>
      </c>
      <c r="Y528" s="67">
        <v>0</v>
      </c>
      <c r="Z528" s="61" t="s">
        <v>228</v>
      </c>
      <c r="AA528" s="68">
        <v>0.20789767098523787</v>
      </c>
      <c r="AB528" s="69">
        <v>1.3778681737591908E-4</v>
      </c>
    </row>
    <row r="529" spans="2:28" x14ac:dyDescent="0.3">
      <c r="B529" s="61" t="s">
        <v>181</v>
      </c>
      <c r="C529" s="61" t="s">
        <v>185</v>
      </c>
      <c r="D529" s="61" t="s">
        <v>122</v>
      </c>
      <c r="E529" s="61" t="s">
        <v>196</v>
      </c>
      <c r="F529" s="61" t="s">
        <v>93</v>
      </c>
      <c r="G529" s="62">
        <v>0.90817810407954391</v>
      </c>
      <c r="H529" s="61">
        <v>5</v>
      </c>
      <c r="I529" s="61" t="s">
        <v>214</v>
      </c>
      <c r="J529" s="61" t="s">
        <v>215</v>
      </c>
      <c r="K529" s="67">
        <v>0</v>
      </c>
      <c r="L529" s="67">
        <v>0</v>
      </c>
      <c r="M529" s="67">
        <v>0</v>
      </c>
      <c r="N529" s="67">
        <v>0</v>
      </c>
      <c r="O529" s="67">
        <v>0</v>
      </c>
      <c r="P529" s="67">
        <v>0</v>
      </c>
      <c r="Q529" s="67">
        <v>0</v>
      </c>
      <c r="R529" s="67">
        <v>0</v>
      </c>
      <c r="S529" s="67">
        <v>0</v>
      </c>
      <c r="T529" s="67">
        <v>0</v>
      </c>
      <c r="U529" s="67">
        <v>0</v>
      </c>
      <c r="V529" s="67">
        <v>0</v>
      </c>
      <c r="W529" s="67">
        <v>0</v>
      </c>
      <c r="X529" s="67">
        <v>0</v>
      </c>
      <c r="Y529" s="67">
        <v>0</v>
      </c>
      <c r="Z529" s="61" t="s">
        <v>228</v>
      </c>
      <c r="AA529" s="68">
        <v>0.20789767098523787</v>
      </c>
      <c r="AB529" s="69">
        <v>1.3778681737591908E-4</v>
      </c>
    </row>
    <row r="530" spans="2:28" x14ac:dyDescent="0.3">
      <c r="B530" s="61" t="s">
        <v>181</v>
      </c>
      <c r="C530" s="61" t="s">
        <v>185</v>
      </c>
      <c r="D530" s="61" t="s">
        <v>122</v>
      </c>
      <c r="E530" s="61" t="s">
        <v>197</v>
      </c>
      <c r="F530" s="61" t="s">
        <v>93</v>
      </c>
      <c r="G530" s="62">
        <v>0.69718723141459937</v>
      </c>
      <c r="H530" s="61">
        <v>5</v>
      </c>
      <c r="I530" s="61" t="s">
        <v>214</v>
      </c>
      <c r="J530" s="61" t="s">
        <v>215</v>
      </c>
      <c r="K530" s="67">
        <v>2.3131053604436229E-2</v>
      </c>
      <c r="L530" s="67">
        <v>2.3131053604436229E-2</v>
      </c>
      <c r="M530" s="67">
        <v>2.3131053604436229E-2</v>
      </c>
      <c r="N530" s="67">
        <v>2.3131053604436229E-2</v>
      </c>
      <c r="O530" s="67">
        <v>2.3131053604436229E-2</v>
      </c>
      <c r="P530" s="67">
        <v>2.3131053604436229E-2</v>
      </c>
      <c r="Q530" s="67">
        <v>2.3131053604436229E-2</v>
      </c>
      <c r="R530" s="67">
        <v>2.3131053604436229E-2</v>
      </c>
      <c r="S530" s="67">
        <v>2.3131053604436229E-2</v>
      </c>
      <c r="T530" s="67">
        <v>2.3131053604436229E-2</v>
      </c>
      <c r="U530" s="67">
        <v>2.3131053604436229E-2</v>
      </c>
      <c r="V530" s="67">
        <v>2.3131053604436229E-2</v>
      </c>
      <c r="W530" s="67">
        <v>2.3131053604436229E-2</v>
      </c>
      <c r="X530" s="67">
        <v>2.3131053604436229E-2</v>
      </c>
      <c r="Y530" s="67">
        <v>2.3131053604436229E-2</v>
      </c>
      <c r="Z530" s="61" t="s">
        <v>228</v>
      </c>
      <c r="AA530" s="68">
        <v>0.20789767098523787</v>
      </c>
      <c r="AB530" s="69">
        <v>1.3778681737591908E-4</v>
      </c>
    </row>
    <row r="531" spans="2:28" x14ac:dyDescent="0.3">
      <c r="B531" s="61" t="s">
        <v>181</v>
      </c>
      <c r="C531" s="61" t="s">
        <v>185</v>
      </c>
      <c r="D531" s="61" t="s">
        <v>122</v>
      </c>
      <c r="E531" s="61" t="s">
        <v>198</v>
      </c>
      <c r="F531" s="61" t="s">
        <v>93</v>
      </c>
      <c r="G531" s="62">
        <v>0.37611416431577077</v>
      </c>
      <c r="H531" s="61">
        <v>5</v>
      </c>
      <c r="I531" s="61" t="s">
        <v>214</v>
      </c>
      <c r="J531" s="61" t="s">
        <v>215</v>
      </c>
      <c r="K531" s="67">
        <v>8.7269396369776278E-2</v>
      </c>
      <c r="L531" s="67">
        <v>8.7269396369776278E-2</v>
      </c>
      <c r="M531" s="67">
        <v>8.7269396369776278E-2</v>
      </c>
      <c r="N531" s="67">
        <v>8.7269396369776278E-2</v>
      </c>
      <c r="O531" s="67">
        <v>8.7269396369776278E-2</v>
      </c>
      <c r="P531" s="67">
        <v>8.7269396369776278E-2</v>
      </c>
      <c r="Q531" s="67">
        <v>8.7269396369776278E-2</v>
      </c>
      <c r="R531" s="67">
        <v>8.7269396369776278E-2</v>
      </c>
      <c r="S531" s="67">
        <v>8.7269396369776278E-2</v>
      </c>
      <c r="T531" s="67">
        <v>8.7269396369776278E-2</v>
      </c>
      <c r="U531" s="67">
        <v>8.7269396369776278E-2</v>
      </c>
      <c r="V531" s="67">
        <v>8.7269396369776278E-2</v>
      </c>
      <c r="W531" s="67">
        <v>8.7269396369776278E-2</v>
      </c>
      <c r="X531" s="67">
        <v>8.7269396369776278E-2</v>
      </c>
      <c r="Y531" s="67">
        <v>8.7269396369776278E-2</v>
      </c>
      <c r="Z531" s="61" t="s">
        <v>228</v>
      </c>
      <c r="AA531" s="68">
        <v>0.20789767098523787</v>
      </c>
      <c r="AB531" s="69">
        <v>1.3778681737591908E-4</v>
      </c>
    </row>
    <row r="532" spans="2:28" x14ac:dyDescent="0.3">
      <c r="B532" s="61" t="s">
        <v>181</v>
      </c>
      <c r="C532" s="61" t="s">
        <v>185</v>
      </c>
      <c r="D532" s="61" t="s">
        <v>122</v>
      </c>
      <c r="E532" s="61" t="s">
        <v>199</v>
      </c>
      <c r="F532" s="61" t="s">
        <v>93</v>
      </c>
      <c r="G532" s="62">
        <v>0.81644294205130719</v>
      </c>
      <c r="H532" s="61">
        <v>5</v>
      </c>
      <c r="I532" s="61" t="s">
        <v>214</v>
      </c>
      <c r="J532" s="61" t="s">
        <v>215</v>
      </c>
      <c r="K532" s="67">
        <v>0</v>
      </c>
      <c r="L532" s="67">
        <v>0</v>
      </c>
      <c r="M532" s="67">
        <v>0</v>
      </c>
      <c r="N532" s="67">
        <v>0</v>
      </c>
      <c r="O532" s="67">
        <v>0</v>
      </c>
      <c r="P532" s="67">
        <v>0</v>
      </c>
      <c r="Q532" s="67">
        <v>0</v>
      </c>
      <c r="R532" s="67">
        <v>0</v>
      </c>
      <c r="S532" s="67">
        <v>0</v>
      </c>
      <c r="T532" s="67">
        <v>0</v>
      </c>
      <c r="U532" s="67">
        <v>0</v>
      </c>
      <c r="V532" s="67">
        <v>0</v>
      </c>
      <c r="W532" s="67">
        <v>0</v>
      </c>
      <c r="X532" s="67">
        <v>0</v>
      </c>
      <c r="Y532" s="67">
        <v>0</v>
      </c>
      <c r="Z532" s="61" t="s">
        <v>228</v>
      </c>
      <c r="AA532" s="68">
        <v>0.20789767098523787</v>
      </c>
      <c r="AB532" s="69">
        <v>1.3778681737591908E-4</v>
      </c>
    </row>
    <row r="533" spans="2:28" x14ac:dyDescent="0.3">
      <c r="B533" s="61" t="s">
        <v>181</v>
      </c>
      <c r="C533" s="61" t="s">
        <v>185</v>
      </c>
      <c r="D533" s="61" t="s">
        <v>200</v>
      </c>
      <c r="E533" s="61" t="s">
        <v>186</v>
      </c>
      <c r="F533" s="61" t="s">
        <v>94</v>
      </c>
      <c r="G533" s="62">
        <v>0.18347032405647348</v>
      </c>
      <c r="H533" s="61">
        <v>5</v>
      </c>
      <c r="I533" s="61" t="s">
        <v>218</v>
      </c>
      <c r="J533" s="61" t="s">
        <v>215</v>
      </c>
      <c r="K533" s="67">
        <v>0.10200680754502907</v>
      </c>
      <c r="L533" s="67">
        <v>0.10200680754502907</v>
      </c>
      <c r="M533" s="67">
        <v>0.10200680754502907</v>
      </c>
      <c r="N533" s="67">
        <v>0.10200680754502907</v>
      </c>
      <c r="O533" s="67">
        <v>0.10200680754502907</v>
      </c>
      <c r="P533" s="67">
        <v>0.10200680754502907</v>
      </c>
      <c r="Q533" s="67">
        <v>0.10200680754502907</v>
      </c>
      <c r="R533" s="67">
        <v>0.10200680754502907</v>
      </c>
      <c r="S533" s="67">
        <v>0.10200680754502907</v>
      </c>
      <c r="T533" s="67">
        <v>0.10200680754502907</v>
      </c>
      <c r="U533" s="67">
        <v>0.10200680754502907</v>
      </c>
      <c r="V533" s="67">
        <v>0.10200680754502907</v>
      </c>
      <c r="W533" s="67">
        <v>0.10200680754502907</v>
      </c>
      <c r="X533" s="67">
        <v>0.10200680754502907</v>
      </c>
      <c r="Y533" s="67">
        <v>0.10200680754502907</v>
      </c>
      <c r="Z533" s="61" t="s">
        <v>228</v>
      </c>
      <c r="AA533" s="68">
        <v>0.38800729221171737</v>
      </c>
      <c r="AB533" s="69">
        <v>0</v>
      </c>
    </row>
    <row r="534" spans="2:28" x14ac:dyDescent="0.3">
      <c r="B534" s="61" t="s">
        <v>181</v>
      </c>
      <c r="C534" s="61" t="s">
        <v>185</v>
      </c>
      <c r="D534" s="61" t="s">
        <v>200</v>
      </c>
      <c r="E534" s="61" t="s">
        <v>189</v>
      </c>
      <c r="F534" s="61" t="s">
        <v>94</v>
      </c>
      <c r="G534" s="62">
        <v>0.62379910179200992</v>
      </c>
      <c r="H534" s="61">
        <v>5</v>
      </c>
      <c r="I534" s="61" t="s">
        <v>218</v>
      </c>
      <c r="J534" s="61" t="s">
        <v>215</v>
      </c>
      <c r="K534" s="67">
        <v>5.1695553880934435E-2</v>
      </c>
      <c r="L534" s="67">
        <v>5.1695553880934435E-2</v>
      </c>
      <c r="M534" s="67">
        <v>5.1695553880934435E-2</v>
      </c>
      <c r="N534" s="67">
        <v>5.1695553880934435E-2</v>
      </c>
      <c r="O534" s="67">
        <v>5.1695553880934435E-2</v>
      </c>
      <c r="P534" s="67">
        <v>5.1695553880934435E-2</v>
      </c>
      <c r="Q534" s="67">
        <v>5.1695553880934435E-2</v>
      </c>
      <c r="R534" s="67">
        <v>5.1695553880934435E-2</v>
      </c>
      <c r="S534" s="67">
        <v>5.1695553880934435E-2</v>
      </c>
      <c r="T534" s="67">
        <v>5.1695553880934435E-2</v>
      </c>
      <c r="U534" s="67">
        <v>5.1695553880934435E-2</v>
      </c>
      <c r="V534" s="67">
        <v>5.1695553880934435E-2</v>
      </c>
      <c r="W534" s="67">
        <v>5.1695553880934435E-2</v>
      </c>
      <c r="X534" s="67">
        <v>5.1695553880934435E-2</v>
      </c>
      <c r="Y534" s="67">
        <v>5.1695553880934435E-2</v>
      </c>
      <c r="Z534" s="61" t="s">
        <v>228</v>
      </c>
      <c r="AA534" s="68">
        <v>0.38800729221171737</v>
      </c>
      <c r="AB534" s="69">
        <v>0</v>
      </c>
    </row>
    <row r="535" spans="2:28" x14ac:dyDescent="0.3">
      <c r="B535" s="61" t="s">
        <v>181</v>
      </c>
      <c r="C535" s="61" t="s">
        <v>185</v>
      </c>
      <c r="D535" s="61" t="s">
        <v>200</v>
      </c>
      <c r="E535" s="61" t="s">
        <v>190</v>
      </c>
      <c r="F535" s="61" t="s">
        <v>94</v>
      </c>
      <c r="G535" s="62">
        <v>0.40363471292424169</v>
      </c>
      <c r="H535" s="61">
        <v>5</v>
      </c>
      <c r="I535" s="61" t="s">
        <v>218</v>
      </c>
      <c r="J535" s="61" t="s">
        <v>215</v>
      </c>
      <c r="K535" s="67">
        <v>3.0820965905856902E-2</v>
      </c>
      <c r="L535" s="67">
        <v>3.0820965905856902E-2</v>
      </c>
      <c r="M535" s="67">
        <v>3.0820965905856902E-2</v>
      </c>
      <c r="N535" s="67">
        <v>3.0820965905856902E-2</v>
      </c>
      <c r="O535" s="67">
        <v>3.0820965905856902E-2</v>
      </c>
      <c r="P535" s="67">
        <v>3.0820965905856902E-2</v>
      </c>
      <c r="Q535" s="67">
        <v>3.0820965905856902E-2</v>
      </c>
      <c r="R535" s="67">
        <v>3.0820965905856902E-2</v>
      </c>
      <c r="S535" s="67">
        <v>3.0820965905856902E-2</v>
      </c>
      <c r="T535" s="67">
        <v>3.0820965905856902E-2</v>
      </c>
      <c r="U535" s="67">
        <v>3.0820965905856902E-2</v>
      </c>
      <c r="V535" s="67">
        <v>3.0820965905856902E-2</v>
      </c>
      <c r="W535" s="67">
        <v>3.0820965905856902E-2</v>
      </c>
      <c r="X535" s="67">
        <v>3.0820965905856902E-2</v>
      </c>
      <c r="Y535" s="67">
        <v>3.0820965905856902E-2</v>
      </c>
      <c r="Z535" s="61" t="s">
        <v>228</v>
      </c>
      <c r="AA535" s="68">
        <v>0.38800729221171737</v>
      </c>
      <c r="AB535" s="69">
        <v>0</v>
      </c>
    </row>
    <row r="536" spans="2:28" x14ac:dyDescent="0.3">
      <c r="B536" s="61" t="s">
        <v>181</v>
      </c>
      <c r="C536" s="61" t="s">
        <v>185</v>
      </c>
      <c r="D536" s="61" t="s">
        <v>200</v>
      </c>
      <c r="E536" s="61" t="s">
        <v>191</v>
      </c>
      <c r="F536" s="61" t="s">
        <v>94</v>
      </c>
      <c r="G536" s="62">
        <v>0.68801371521177568</v>
      </c>
      <c r="H536" s="61">
        <v>5</v>
      </c>
      <c r="I536" s="61" t="s">
        <v>218</v>
      </c>
      <c r="J536" s="61" t="s">
        <v>215</v>
      </c>
      <c r="K536" s="67">
        <v>2.399993450353681E-2</v>
      </c>
      <c r="L536" s="67">
        <v>2.399993450353681E-2</v>
      </c>
      <c r="M536" s="67">
        <v>2.399993450353681E-2</v>
      </c>
      <c r="N536" s="67">
        <v>2.399993450353681E-2</v>
      </c>
      <c r="O536" s="67">
        <v>2.399993450353681E-2</v>
      </c>
      <c r="P536" s="67">
        <v>2.399993450353681E-2</v>
      </c>
      <c r="Q536" s="67">
        <v>2.399993450353681E-2</v>
      </c>
      <c r="R536" s="67">
        <v>2.399993450353681E-2</v>
      </c>
      <c r="S536" s="67">
        <v>2.399993450353681E-2</v>
      </c>
      <c r="T536" s="67">
        <v>2.399993450353681E-2</v>
      </c>
      <c r="U536" s="67">
        <v>2.399993450353681E-2</v>
      </c>
      <c r="V536" s="67">
        <v>2.399993450353681E-2</v>
      </c>
      <c r="W536" s="67">
        <v>2.399993450353681E-2</v>
      </c>
      <c r="X536" s="67">
        <v>2.399993450353681E-2</v>
      </c>
      <c r="Y536" s="67">
        <v>2.399993450353681E-2</v>
      </c>
      <c r="Z536" s="61" t="s">
        <v>228</v>
      </c>
      <c r="AA536" s="68">
        <v>0.38800729221171737</v>
      </c>
      <c r="AB536" s="69">
        <v>0</v>
      </c>
    </row>
    <row r="537" spans="2:28" x14ac:dyDescent="0.3">
      <c r="B537" s="61" t="s">
        <v>181</v>
      </c>
      <c r="C537" s="61" t="s">
        <v>185</v>
      </c>
      <c r="D537" s="61" t="s">
        <v>200</v>
      </c>
      <c r="E537" s="61" t="s">
        <v>192</v>
      </c>
      <c r="F537" s="61" t="s">
        <v>94</v>
      </c>
      <c r="G537" s="62">
        <v>0.4586758101411838</v>
      </c>
      <c r="H537" s="61">
        <v>5</v>
      </c>
      <c r="I537" s="61" t="s">
        <v>218</v>
      </c>
      <c r="J537" s="61" t="s">
        <v>215</v>
      </c>
      <c r="K537" s="67">
        <v>0.12152672282833862</v>
      </c>
      <c r="L537" s="67">
        <v>0.12152672282833862</v>
      </c>
      <c r="M537" s="67">
        <v>0.12152672282833862</v>
      </c>
      <c r="N537" s="67">
        <v>0.12152672282833862</v>
      </c>
      <c r="O537" s="67">
        <v>0.12152672282833862</v>
      </c>
      <c r="P537" s="67">
        <v>0.12152672282833862</v>
      </c>
      <c r="Q537" s="67">
        <v>0.12152672282833862</v>
      </c>
      <c r="R537" s="67">
        <v>0.12152672282833862</v>
      </c>
      <c r="S537" s="67">
        <v>0.12152672282833862</v>
      </c>
      <c r="T537" s="67">
        <v>0.12152672282833862</v>
      </c>
      <c r="U537" s="67">
        <v>0.12152672282833862</v>
      </c>
      <c r="V537" s="67">
        <v>0.12152672282833862</v>
      </c>
      <c r="W537" s="67">
        <v>0.12152672282833862</v>
      </c>
      <c r="X537" s="67">
        <v>0.12152672282833862</v>
      </c>
      <c r="Y537" s="67">
        <v>0.12152672282833862</v>
      </c>
      <c r="Z537" s="61" t="s">
        <v>228</v>
      </c>
      <c r="AA537" s="68">
        <v>0.38800729221171737</v>
      </c>
      <c r="AB537" s="69">
        <v>0</v>
      </c>
    </row>
    <row r="538" spans="2:28" x14ac:dyDescent="0.3">
      <c r="B538" s="61" t="s">
        <v>181</v>
      </c>
      <c r="C538" s="61" t="s">
        <v>185</v>
      </c>
      <c r="D538" s="61" t="s">
        <v>200</v>
      </c>
      <c r="E538" s="61" t="s">
        <v>193</v>
      </c>
      <c r="F538" s="61" t="s">
        <v>94</v>
      </c>
      <c r="G538" s="62">
        <v>0.4586758101411838</v>
      </c>
      <c r="H538" s="61">
        <v>5</v>
      </c>
      <c r="I538" s="61" t="s">
        <v>218</v>
      </c>
      <c r="J538" s="61" t="s">
        <v>215</v>
      </c>
      <c r="K538" s="67">
        <v>0.12267716535433069</v>
      </c>
      <c r="L538" s="67">
        <v>0.12267716535433069</v>
      </c>
      <c r="M538" s="67">
        <v>0.12267716535433069</v>
      </c>
      <c r="N538" s="67">
        <v>0.12267716535433069</v>
      </c>
      <c r="O538" s="67">
        <v>0.12267716535433069</v>
      </c>
      <c r="P538" s="67">
        <v>0.12267716535433069</v>
      </c>
      <c r="Q538" s="67">
        <v>0.12267716535433069</v>
      </c>
      <c r="R538" s="67">
        <v>0.12267716535433069</v>
      </c>
      <c r="S538" s="67">
        <v>0.12267716535433069</v>
      </c>
      <c r="T538" s="67">
        <v>0.12267716535433069</v>
      </c>
      <c r="U538" s="67">
        <v>0.12267716535433069</v>
      </c>
      <c r="V538" s="67">
        <v>0.12267716535433069</v>
      </c>
      <c r="W538" s="67">
        <v>0.12267716535433069</v>
      </c>
      <c r="X538" s="67">
        <v>0.12267716535433069</v>
      </c>
      <c r="Y538" s="67">
        <v>0.12267716535433069</v>
      </c>
      <c r="Z538" s="61" t="s">
        <v>228</v>
      </c>
      <c r="AA538" s="68">
        <v>0.38800729221171737</v>
      </c>
      <c r="AB538" s="69">
        <v>0</v>
      </c>
    </row>
    <row r="539" spans="2:28" x14ac:dyDescent="0.3">
      <c r="B539" s="61" t="s">
        <v>181</v>
      </c>
      <c r="C539" s="61" t="s">
        <v>185</v>
      </c>
      <c r="D539" s="61" t="s">
        <v>200</v>
      </c>
      <c r="E539" s="61" t="s">
        <v>194</v>
      </c>
      <c r="F539" s="61" t="s">
        <v>94</v>
      </c>
      <c r="G539" s="62">
        <v>0.59627855318353895</v>
      </c>
      <c r="H539" s="61">
        <v>5</v>
      </c>
      <c r="I539" s="61" t="s">
        <v>218</v>
      </c>
      <c r="J539" s="61" t="s">
        <v>215</v>
      </c>
      <c r="K539" s="67">
        <v>0</v>
      </c>
      <c r="L539" s="67">
        <v>0</v>
      </c>
      <c r="M539" s="67">
        <v>0</v>
      </c>
      <c r="N539" s="67">
        <v>0</v>
      </c>
      <c r="O539" s="67">
        <v>0</v>
      </c>
      <c r="P539" s="67">
        <v>0</v>
      </c>
      <c r="Q539" s="67">
        <v>0</v>
      </c>
      <c r="R539" s="67">
        <v>0</v>
      </c>
      <c r="S539" s="67">
        <v>0</v>
      </c>
      <c r="T539" s="67">
        <v>0</v>
      </c>
      <c r="U539" s="67">
        <v>0</v>
      </c>
      <c r="V539" s="67">
        <v>0</v>
      </c>
      <c r="W539" s="67">
        <v>0</v>
      </c>
      <c r="X539" s="67">
        <v>0</v>
      </c>
      <c r="Y539" s="67">
        <v>0</v>
      </c>
      <c r="Z539" s="61" t="s">
        <v>228</v>
      </c>
      <c r="AA539" s="68">
        <v>0.38800729221171737</v>
      </c>
      <c r="AB539" s="69">
        <v>0</v>
      </c>
    </row>
    <row r="540" spans="2:28" x14ac:dyDescent="0.3">
      <c r="B540" s="61" t="s">
        <v>181</v>
      </c>
      <c r="C540" s="61" t="s">
        <v>185</v>
      </c>
      <c r="D540" s="61" t="s">
        <v>200</v>
      </c>
      <c r="E540" s="61" t="s">
        <v>195</v>
      </c>
      <c r="F540" s="61" t="s">
        <v>94</v>
      </c>
      <c r="G540" s="62">
        <v>0.81644294205130719</v>
      </c>
      <c r="H540" s="61">
        <v>5</v>
      </c>
      <c r="I540" s="61" t="s">
        <v>218</v>
      </c>
      <c r="J540" s="61" t="s">
        <v>215</v>
      </c>
      <c r="K540" s="67">
        <v>0</v>
      </c>
      <c r="L540" s="67">
        <v>0</v>
      </c>
      <c r="M540" s="67">
        <v>0</v>
      </c>
      <c r="N540" s="67">
        <v>0</v>
      </c>
      <c r="O540" s="67">
        <v>0</v>
      </c>
      <c r="P540" s="67">
        <v>0</v>
      </c>
      <c r="Q540" s="67">
        <v>0</v>
      </c>
      <c r="R540" s="67">
        <v>0</v>
      </c>
      <c r="S540" s="67">
        <v>0</v>
      </c>
      <c r="T540" s="67">
        <v>0</v>
      </c>
      <c r="U540" s="67">
        <v>0</v>
      </c>
      <c r="V540" s="67">
        <v>0</v>
      </c>
      <c r="W540" s="67">
        <v>0</v>
      </c>
      <c r="X540" s="67">
        <v>0</v>
      </c>
      <c r="Y540" s="67">
        <v>0</v>
      </c>
      <c r="Z540" s="61" t="s">
        <v>228</v>
      </c>
      <c r="AA540" s="68">
        <v>0.38800729221171737</v>
      </c>
      <c r="AB540" s="69">
        <v>0</v>
      </c>
    </row>
    <row r="541" spans="2:28" x14ac:dyDescent="0.3">
      <c r="B541" s="61" t="s">
        <v>181</v>
      </c>
      <c r="C541" s="61" t="s">
        <v>185</v>
      </c>
      <c r="D541" s="61" t="s">
        <v>200</v>
      </c>
      <c r="E541" s="61" t="s">
        <v>196</v>
      </c>
      <c r="F541" s="61" t="s">
        <v>94</v>
      </c>
      <c r="G541" s="62">
        <v>0.90817810407954391</v>
      </c>
      <c r="H541" s="61">
        <v>5</v>
      </c>
      <c r="I541" s="61" t="s">
        <v>218</v>
      </c>
      <c r="J541" s="61" t="s">
        <v>215</v>
      </c>
      <c r="K541" s="67">
        <v>0</v>
      </c>
      <c r="L541" s="67">
        <v>0</v>
      </c>
      <c r="M541" s="67">
        <v>0</v>
      </c>
      <c r="N541" s="67">
        <v>0</v>
      </c>
      <c r="O541" s="67">
        <v>0</v>
      </c>
      <c r="P541" s="67">
        <v>0</v>
      </c>
      <c r="Q541" s="67">
        <v>0</v>
      </c>
      <c r="R541" s="67">
        <v>0</v>
      </c>
      <c r="S541" s="67">
        <v>0</v>
      </c>
      <c r="T541" s="67">
        <v>0</v>
      </c>
      <c r="U541" s="67">
        <v>0</v>
      </c>
      <c r="V541" s="67">
        <v>0</v>
      </c>
      <c r="W541" s="67">
        <v>0</v>
      </c>
      <c r="X541" s="67">
        <v>0</v>
      </c>
      <c r="Y541" s="67">
        <v>0</v>
      </c>
      <c r="Z541" s="61" t="s">
        <v>228</v>
      </c>
      <c r="AA541" s="68">
        <v>0.38800729221171737</v>
      </c>
      <c r="AB541" s="69">
        <v>0</v>
      </c>
    </row>
    <row r="542" spans="2:28" x14ac:dyDescent="0.3">
      <c r="B542" s="61" t="s">
        <v>181</v>
      </c>
      <c r="C542" s="61" t="s">
        <v>185</v>
      </c>
      <c r="D542" s="61" t="s">
        <v>200</v>
      </c>
      <c r="E542" s="61" t="s">
        <v>197</v>
      </c>
      <c r="F542" s="61" t="s">
        <v>94</v>
      </c>
      <c r="G542" s="62">
        <v>0.69718723141459937</v>
      </c>
      <c r="H542" s="61">
        <v>5</v>
      </c>
      <c r="I542" s="61" t="s">
        <v>218</v>
      </c>
      <c r="J542" s="61" t="s">
        <v>215</v>
      </c>
      <c r="K542" s="67">
        <v>2.3131053604436229E-2</v>
      </c>
      <c r="L542" s="67">
        <v>2.3131053604436229E-2</v>
      </c>
      <c r="M542" s="67">
        <v>2.3131053604436229E-2</v>
      </c>
      <c r="N542" s="67">
        <v>2.3131053604436229E-2</v>
      </c>
      <c r="O542" s="67">
        <v>2.3131053604436229E-2</v>
      </c>
      <c r="P542" s="67">
        <v>2.3131053604436229E-2</v>
      </c>
      <c r="Q542" s="67">
        <v>2.3131053604436229E-2</v>
      </c>
      <c r="R542" s="67">
        <v>2.3131053604436229E-2</v>
      </c>
      <c r="S542" s="67">
        <v>2.3131053604436229E-2</v>
      </c>
      <c r="T542" s="67">
        <v>2.3131053604436229E-2</v>
      </c>
      <c r="U542" s="67">
        <v>2.3131053604436229E-2</v>
      </c>
      <c r="V542" s="67">
        <v>2.3131053604436229E-2</v>
      </c>
      <c r="W542" s="67">
        <v>2.3131053604436229E-2</v>
      </c>
      <c r="X542" s="67">
        <v>2.3131053604436229E-2</v>
      </c>
      <c r="Y542" s="67">
        <v>2.3131053604436229E-2</v>
      </c>
      <c r="Z542" s="61" t="s">
        <v>228</v>
      </c>
      <c r="AA542" s="68">
        <v>0.38800729221171737</v>
      </c>
      <c r="AB542" s="69">
        <v>0</v>
      </c>
    </row>
    <row r="543" spans="2:28" x14ac:dyDescent="0.3">
      <c r="B543" s="61" t="s">
        <v>181</v>
      </c>
      <c r="C543" s="61" t="s">
        <v>185</v>
      </c>
      <c r="D543" s="61" t="s">
        <v>200</v>
      </c>
      <c r="E543" s="61" t="s">
        <v>198</v>
      </c>
      <c r="F543" s="61" t="s">
        <v>94</v>
      </c>
      <c r="G543" s="62">
        <v>0.37611416431577077</v>
      </c>
      <c r="H543" s="61">
        <v>5</v>
      </c>
      <c r="I543" s="61" t="s">
        <v>218</v>
      </c>
      <c r="J543" s="61" t="s">
        <v>215</v>
      </c>
      <c r="K543" s="67">
        <v>8.7269396369776278E-2</v>
      </c>
      <c r="L543" s="67">
        <v>8.7269396369776278E-2</v>
      </c>
      <c r="M543" s="67">
        <v>8.7269396369776278E-2</v>
      </c>
      <c r="N543" s="67">
        <v>8.7269396369776278E-2</v>
      </c>
      <c r="O543" s="67">
        <v>8.7269396369776278E-2</v>
      </c>
      <c r="P543" s="67">
        <v>8.7269396369776278E-2</v>
      </c>
      <c r="Q543" s="67">
        <v>8.7269396369776278E-2</v>
      </c>
      <c r="R543" s="67">
        <v>8.7269396369776278E-2</v>
      </c>
      <c r="S543" s="67">
        <v>8.7269396369776278E-2</v>
      </c>
      <c r="T543" s="67">
        <v>8.7269396369776278E-2</v>
      </c>
      <c r="U543" s="67">
        <v>8.7269396369776278E-2</v>
      </c>
      <c r="V543" s="67">
        <v>8.7269396369776278E-2</v>
      </c>
      <c r="W543" s="67">
        <v>8.7269396369776278E-2</v>
      </c>
      <c r="X543" s="67">
        <v>8.7269396369776278E-2</v>
      </c>
      <c r="Y543" s="67">
        <v>8.7269396369776278E-2</v>
      </c>
      <c r="Z543" s="61" t="s">
        <v>228</v>
      </c>
      <c r="AA543" s="68">
        <v>0.38800729221171737</v>
      </c>
      <c r="AB543" s="69">
        <v>0</v>
      </c>
    </row>
    <row r="544" spans="2:28" x14ac:dyDescent="0.3">
      <c r="B544" s="61" t="s">
        <v>181</v>
      </c>
      <c r="C544" s="61" t="s">
        <v>185</v>
      </c>
      <c r="D544" s="61" t="s">
        <v>200</v>
      </c>
      <c r="E544" s="61" t="s">
        <v>199</v>
      </c>
      <c r="F544" s="61" t="s">
        <v>94</v>
      </c>
      <c r="G544" s="62">
        <v>0.81644294205130719</v>
      </c>
      <c r="H544" s="61">
        <v>5</v>
      </c>
      <c r="I544" s="61" t="s">
        <v>218</v>
      </c>
      <c r="J544" s="61" t="s">
        <v>215</v>
      </c>
      <c r="K544" s="67">
        <v>0</v>
      </c>
      <c r="L544" s="67">
        <v>0</v>
      </c>
      <c r="M544" s="67">
        <v>0</v>
      </c>
      <c r="N544" s="67">
        <v>0</v>
      </c>
      <c r="O544" s="67">
        <v>0</v>
      </c>
      <c r="P544" s="67">
        <v>0</v>
      </c>
      <c r="Q544" s="67">
        <v>0</v>
      </c>
      <c r="R544" s="67">
        <v>0</v>
      </c>
      <c r="S544" s="67">
        <v>0</v>
      </c>
      <c r="T544" s="67">
        <v>0</v>
      </c>
      <c r="U544" s="67">
        <v>0</v>
      </c>
      <c r="V544" s="67">
        <v>0</v>
      </c>
      <c r="W544" s="67">
        <v>0</v>
      </c>
      <c r="X544" s="67">
        <v>0</v>
      </c>
      <c r="Y544" s="67">
        <v>0</v>
      </c>
      <c r="Z544" s="61" t="s">
        <v>228</v>
      </c>
      <c r="AA544" s="68">
        <v>0.38800729221171737</v>
      </c>
      <c r="AB544" s="69">
        <v>0</v>
      </c>
    </row>
    <row r="545" spans="2:28" x14ac:dyDescent="0.3">
      <c r="B545" s="61" t="s">
        <v>181</v>
      </c>
      <c r="C545" s="61" t="s">
        <v>185</v>
      </c>
      <c r="D545" s="61" t="s">
        <v>123</v>
      </c>
      <c r="E545" s="61" t="s">
        <v>186</v>
      </c>
      <c r="F545" s="61" t="s">
        <v>93</v>
      </c>
      <c r="G545" s="62">
        <v>0.18347032405647348</v>
      </c>
      <c r="H545" s="61">
        <v>5</v>
      </c>
      <c r="I545" s="61" t="s">
        <v>214</v>
      </c>
      <c r="J545" s="61" t="s">
        <v>215</v>
      </c>
      <c r="K545" s="67">
        <v>0.10200680754502907</v>
      </c>
      <c r="L545" s="67">
        <v>0.10200680754502907</v>
      </c>
      <c r="M545" s="67">
        <v>0.10200680754502907</v>
      </c>
      <c r="N545" s="67">
        <v>0.10200680754502907</v>
      </c>
      <c r="O545" s="67">
        <v>0.10200680754502907</v>
      </c>
      <c r="P545" s="67">
        <v>0.10200680754502907</v>
      </c>
      <c r="Q545" s="67">
        <v>0.10200680754502907</v>
      </c>
      <c r="R545" s="67">
        <v>0.10200680754502907</v>
      </c>
      <c r="S545" s="67">
        <v>0.10200680754502907</v>
      </c>
      <c r="T545" s="67">
        <v>0.10200680754502907</v>
      </c>
      <c r="U545" s="67">
        <v>0.10200680754502907</v>
      </c>
      <c r="V545" s="67">
        <v>0.10200680754502907</v>
      </c>
      <c r="W545" s="67">
        <v>0.10200680754502907</v>
      </c>
      <c r="X545" s="67">
        <v>0.10200680754502907</v>
      </c>
      <c r="Y545" s="67">
        <v>0.10200680754502907</v>
      </c>
      <c r="Z545" s="61" t="s">
        <v>228</v>
      </c>
      <c r="AA545" s="68">
        <v>0.20789767098523787</v>
      </c>
      <c r="AB545" s="69">
        <v>1.3778681737591908E-4</v>
      </c>
    </row>
    <row r="546" spans="2:28" x14ac:dyDescent="0.3">
      <c r="B546" s="61" t="s">
        <v>181</v>
      </c>
      <c r="C546" s="61" t="s">
        <v>185</v>
      </c>
      <c r="D546" s="61" t="s">
        <v>123</v>
      </c>
      <c r="E546" s="61" t="s">
        <v>186</v>
      </c>
      <c r="F546" s="61" t="s">
        <v>94</v>
      </c>
      <c r="G546" s="62">
        <v>0.18347032405647348</v>
      </c>
      <c r="H546" s="61">
        <v>5</v>
      </c>
      <c r="I546" s="61" t="s">
        <v>218</v>
      </c>
      <c r="J546" s="61" t="s">
        <v>215</v>
      </c>
      <c r="K546" s="67">
        <v>0.10200680754502907</v>
      </c>
      <c r="L546" s="67">
        <v>0.10200680754502907</v>
      </c>
      <c r="M546" s="67">
        <v>0.10200680754502907</v>
      </c>
      <c r="N546" s="67">
        <v>0.10200680754502907</v>
      </c>
      <c r="O546" s="67">
        <v>0.10200680754502907</v>
      </c>
      <c r="P546" s="67">
        <v>0.10200680754502907</v>
      </c>
      <c r="Q546" s="67">
        <v>0.10200680754502907</v>
      </c>
      <c r="R546" s="67">
        <v>0.10200680754502907</v>
      </c>
      <c r="S546" s="67">
        <v>0.10200680754502907</v>
      </c>
      <c r="T546" s="67">
        <v>0.10200680754502907</v>
      </c>
      <c r="U546" s="67">
        <v>0.10200680754502907</v>
      </c>
      <c r="V546" s="67">
        <v>0.10200680754502907</v>
      </c>
      <c r="W546" s="67">
        <v>0.10200680754502907</v>
      </c>
      <c r="X546" s="67">
        <v>0.10200680754502907</v>
      </c>
      <c r="Y546" s="67">
        <v>0.10200680754502907</v>
      </c>
      <c r="Z546" s="61" t="s">
        <v>228</v>
      </c>
      <c r="AA546" s="68">
        <v>0.38800729221171737</v>
      </c>
      <c r="AB546" s="69">
        <v>0</v>
      </c>
    </row>
    <row r="547" spans="2:28" x14ac:dyDescent="0.3">
      <c r="B547" s="61" t="s">
        <v>181</v>
      </c>
      <c r="C547" s="61" t="s">
        <v>185</v>
      </c>
      <c r="D547" s="61" t="s">
        <v>123</v>
      </c>
      <c r="E547" s="61" t="s">
        <v>189</v>
      </c>
      <c r="F547" s="61" t="s">
        <v>93</v>
      </c>
      <c r="G547" s="62">
        <v>0.62379910179200992</v>
      </c>
      <c r="H547" s="61">
        <v>5</v>
      </c>
      <c r="I547" s="61" t="s">
        <v>214</v>
      </c>
      <c r="J547" s="61" t="s">
        <v>215</v>
      </c>
      <c r="K547" s="67">
        <v>5.1695553880934435E-2</v>
      </c>
      <c r="L547" s="67">
        <v>5.1695553880934435E-2</v>
      </c>
      <c r="M547" s="67">
        <v>5.1695553880934435E-2</v>
      </c>
      <c r="N547" s="67">
        <v>5.1695553880934435E-2</v>
      </c>
      <c r="O547" s="67">
        <v>5.1695553880934435E-2</v>
      </c>
      <c r="P547" s="67">
        <v>5.1695553880934435E-2</v>
      </c>
      <c r="Q547" s="67">
        <v>5.1695553880934435E-2</v>
      </c>
      <c r="R547" s="67">
        <v>5.1695553880934435E-2</v>
      </c>
      <c r="S547" s="67">
        <v>5.1695553880934435E-2</v>
      </c>
      <c r="T547" s="67">
        <v>5.1695553880934435E-2</v>
      </c>
      <c r="U547" s="67">
        <v>5.1695553880934435E-2</v>
      </c>
      <c r="V547" s="67">
        <v>5.1695553880934435E-2</v>
      </c>
      <c r="W547" s="67">
        <v>5.1695553880934435E-2</v>
      </c>
      <c r="X547" s="67">
        <v>5.1695553880934435E-2</v>
      </c>
      <c r="Y547" s="67">
        <v>5.1695553880934435E-2</v>
      </c>
      <c r="Z547" s="61" t="s">
        <v>228</v>
      </c>
      <c r="AA547" s="68">
        <v>0.20789767098523787</v>
      </c>
      <c r="AB547" s="69">
        <v>1.3778681737591908E-4</v>
      </c>
    </row>
    <row r="548" spans="2:28" x14ac:dyDescent="0.3">
      <c r="B548" s="61" t="s">
        <v>181</v>
      </c>
      <c r="C548" s="61" t="s">
        <v>185</v>
      </c>
      <c r="D548" s="61" t="s">
        <v>123</v>
      </c>
      <c r="E548" s="61" t="s">
        <v>189</v>
      </c>
      <c r="F548" s="61" t="s">
        <v>94</v>
      </c>
      <c r="G548" s="62">
        <v>0.62379910179200992</v>
      </c>
      <c r="H548" s="61">
        <v>5</v>
      </c>
      <c r="I548" s="61" t="s">
        <v>218</v>
      </c>
      <c r="J548" s="61" t="s">
        <v>215</v>
      </c>
      <c r="K548" s="67">
        <v>5.1695553880934435E-2</v>
      </c>
      <c r="L548" s="67">
        <v>5.1695553880934435E-2</v>
      </c>
      <c r="M548" s="67">
        <v>5.1695553880934435E-2</v>
      </c>
      <c r="N548" s="67">
        <v>5.1695553880934435E-2</v>
      </c>
      <c r="O548" s="67">
        <v>5.1695553880934435E-2</v>
      </c>
      <c r="P548" s="67">
        <v>5.1695553880934435E-2</v>
      </c>
      <c r="Q548" s="67">
        <v>5.1695553880934435E-2</v>
      </c>
      <c r="R548" s="67">
        <v>5.1695553880934435E-2</v>
      </c>
      <c r="S548" s="67">
        <v>5.1695553880934435E-2</v>
      </c>
      <c r="T548" s="67">
        <v>5.1695553880934435E-2</v>
      </c>
      <c r="U548" s="67">
        <v>5.1695553880934435E-2</v>
      </c>
      <c r="V548" s="67">
        <v>5.1695553880934435E-2</v>
      </c>
      <c r="W548" s="67">
        <v>5.1695553880934435E-2</v>
      </c>
      <c r="X548" s="67">
        <v>5.1695553880934435E-2</v>
      </c>
      <c r="Y548" s="67">
        <v>5.1695553880934435E-2</v>
      </c>
      <c r="Z548" s="61" t="s">
        <v>228</v>
      </c>
      <c r="AA548" s="68">
        <v>0.38800729221171737</v>
      </c>
      <c r="AB548" s="69">
        <v>0</v>
      </c>
    </row>
    <row r="549" spans="2:28" x14ac:dyDescent="0.3">
      <c r="B549" s="61" t="s">
        <v>181</v>
      </c>
      <c r="C549" s="61" t="s">
        <v>185</v>
      </c>
      <c r="D549" s="61" t="s">
        <v>123</v>
      </c>
      <c r="E549" s="61" t="s">
        <v>190</v>
      </c>
      <c r="F549" s="61" t="s">
        <v>93</v>
      </c>
      <c r="G549" s="62">
        <v>0.40363471292424169</v>
      </c>
      <c r="H549" s="61">
        <v>5</v>
      </c>
      <c r="I549" s="61" t="s">
        <v>214</v>
      </c>
      <c r="J549" s="61" t="s">
        <v>215</v>
      </c>
      <c r="K549" s="67">
        <v>3.0820965905856902E-2</v>
      </c>
      <c r="L549" s="67">
        <v>3.0820965905856902E-2</v>
      </c>
      <c r="M549" s="67">
        <v>3.0820965905856902E-2</v>
      </c>
      <c r="N549" s="67">
        <v>3.0820965905856902E-2</v>
      </c>
      <c r="O549" s="67">
        <v>3.0820965905856902E-2</v>
      </c>
      <c r="P549" s="67">
        <v>3.0820965905856902E-2</v>
      </c>
      <c r="Q549" s="67">
        <v>3.0820965905856902E-2</v>
      </c>
      <c r="R549" s="67">
        <v>3.0820965905856902E-2</v>
      </c>
      <c r="S549" s="67">
        <v>3.0820965905856902E-2</v>
      </c>
      <c r="T549" s="67">
        <v>3.0820965905856902E-2</v>
      </c>
      <c r="U549" s="67">
        <v>3.0820965905856902E-2</v>
      </c>
      <c r="V549" s="67">
        <v>3.0820965905856902E-2</v>
      </c>
      <c r="W549" s="67">
        <v>3.0820965905856902E-2</v>
      </c>
      <c r="X549" s="67">
        <v>3.0820965905856902E-2</v>
      </c>
      <c r="Y549" s="67">
        <v>3.0820965905856902E-2</v>
      </c>
      <c r="Z549" s="61" t="s">
        <v>228</v>
      </c>
      <c r="AA549" s="68">
        <v>0.20789767098523787</v>
      </c>
      <c r="AB549" s="69">
        <v>1.3778681737591908E-4</v>
      </c>
    </row>
    <row r="550" spans="2:28" x14ac:dyDescent="0.3">
      <c r="B550" s="61" t="s">
        <v>181</v>
      </c>
      <c r="C550" s="61" t="s">
        <v>185</v>
      </c>
      <c r="D550" s="61" t="s">
        <v>123</v>
      </c>
      <c r="E550" s="61" t="s">
        <v>190</v>
      </c>
      <c r="F550" s="61" t="s">
        <v>94</v>
      </c>
      <c r="G550" s="62">
        <v>0.40363471292424169</v>
      </c>
      <c r="H550" s="61">
        <v>5</v>
      </c>
      <c r="I550" s="61" t="s">
        <v>218</v>
      </c>
      <c r="J550" s="61" t="s">
        <v>215</v>
      </c>
      <c r="K550" s="67">
        <v>3.0820965905856902E-2</v>
      </c>
      <c r="L550" s="67">
        <v>3.0820965905856902E-2</v>
      </c>
      <c r="M550" s="67">
        <v>3.0820965905856902E-2</v>
      </c>
      <c r="N550" s="67">
        <v>3.0820965905856902E-2</v>
      </c>
      <c r="O550" s="67">
        <v>3.0820965905856902E-2</v>
      </c>
      <c r="P550" s="67">
        <v>3.0820965905856902E-2</v>
      </c>
      <c r="Q550" s="67">
        <v>3.0820965905856902E-2</v>
      </c>
      <c r="R550" s="67">
        <v>3.0820965905856902E-2</v>
      </c>
      <c r="S550" s="67">
        <v>3.0820965905856902E-2</v>
      </c>
      <c r="T550" s="67">
        <v>3.0820965905856902E-2</v>
      </c>
      <c r="U550" s="67">
        <v>3.0820965905856902E-2</v>
      </c>
      <c r="V550" s="67">
        <v>3.0820965905856902E-2</v>
      </c>
      <c r="W550" s="67">
        <v>3.0820965905856902E-2</v>
      </c>
      <c r="X550" s="67">
        <v>3.0820965905856902E-2</v>
      </c>
      <c r="Y550" s="67">
        <v>3.0820965905856902E-2</v>
      </c>
      <c r="Z550" s="61" t="s">
        <v>228</v>
      </c>
      <c r="AA550" s="68">
        <v>0.38800729221171737</v>
      </c>
      <c r="AB550" s="69">
        <v>0</v>
      </c>
    </row>
    <row r="551" spans="2:28" x14ac:dyDescent="0.3">
      <c r="B551" s="61" t="s">
        <v>181</v>
      </c>
      <c r="C551" s="61" t="s">
        <v>185</v>
      </c>
      <c r="D551" s="61" t="s">
        <v>123</v>
      </c>
      <c r="E551" s="61" t="s">
        <v>191</v>
      </c>
      <c r="F551" s="61" t="s">
        <v>93</v>
      </c>
      <c r="G551" s="62">
        <v>0.68801371521177568</v>
      </c>
      <c r="H551" s="61">
        <v>5</v>
      </c>
      <c r="I551" s="61" t="s">
        <v>214</v>
      </c>
      <c r="J551" s="61" t="s">
        <v>215</v>
      </c>
      <c r="K551" s="67">
        <v>2.399993450353681E-2</v>
      </c>
      <c r="L551" s="67">
        <v>2.399993450353681E-2</v>
      </c>
      <c r="M551" s="67">
        <v>2.399993450353681E-2</v>
      </c>
      <c r="N551" s="67">
        <v>2.399993450353681E-2</v>
      </c>
      <c r="O551" s="67">
        <v>2.399993450353681E-2</v>
      </c>
      <c r="P551" s="67">
        <v>2.399993450353681E-2</v>
      </c>
      <c r="Q551" s="67">
        <v>2.399993450353681E-2</v>
      </c>
      <c r="R551" s="67">
        <v>2.399993450353681E-2</v>
      </c>
      <c r="S551" s="67">
        <v>2.399993450353681E-2</v>
      </c>
      <c r="T551" s="67">
        <v>2.399993450353681E-2</v>
      </c>
      <c r="U551" s="67">
        <v>2.399993450353681E-2</v>
      </c>
      <c r="V551" s="67">
        <v>2.399993450353681E-2</v>
      </c>
      <c r="W551" s="67">
        <v>2.399993450353681E-2</v>
      </c>
      <c r="X551" s="67">
        <v>2.399993450353681E-2</v>
      </c>
      <c r="Y551" s="67">
        <v>2.399993450353681E-2</v>
      </c>
      <c r="Z551" s="61" t="s">
        <v>228</v>
      </c>
      <c r="AA551" s="68">
        <v>0.20789767098523787</v>
      </c>
      <c r="AB551" s="69">
        <v>1.3778681737591908E-4</v>
      </c>
    </row>
    <row r="552" spans="2:28" x14ac:dyDescent="0.3">
      <c r="B552" s="61" t="s">
        <v>181</v>
      </c>
      <c r="C552" s="61" t="s">
        <v>185</v>
      </c>
      <c r="D552" s="61" t="s">
        <v>123</v>
      </c>
      <c r="E552" s="61" t="s">
        <v>191</v>
      </c>
      <c r="F552" s="61" t="s">
        <v>94</v>
      </c>
      <c r="G552" s="62">
        <v>0.68801371521177568</v>
      </c>
      <c r="H552" s="61">
        <v>5</v>
      </c>
      <c r="I552" s="61" t="s">
        <v>218</v>
      </c>
      <c r="J552" s="61" t="s">
        <v>215</v>
      </c>
      <c r="K552" s="67">
        <v>2.399993450353681E-2</v>
      </c>
      <c r="L552" s="67">
        <v>2.399993450353681E-2</v>
      </c>
      <c r="M552" s="67">
        <v>2.399993450353681E-2</v>
      </c>
      <c r="N552" s="67">
        <v>2.399993450353681E-2</v>
      </c>
      <c r="O552" s="67">
        <v>2.399993450353681E-2</v>
      </c>
      <c r="P552" s="67">
        <v>2.399993450353681E-2</v>
      </c>
      <c r="Q552" s="67">
        <v>2.399993450353681E-2</v>
      </c>
      <c r="R552" s="67">
        <v>2.399993450353681E-2</v>
      </c>
      <c r="S552" s="67">
        <v>2.399993450353681E-2</v>
      </c>
      <c r="T552" s="67">
        <v>2.399993450353681E-2</v>
      </c>
      <c r="U552" s="67">
        <v>2.399993450353681E-2</v>
      </c>
      <c r="V552" s="67">
        <v>2.399993450353681E-2</v>
      </c>
      <c r="W552" s="67">
        <v>2.399993450353681E-2</v>
      </c>
      <c r="X552" s="67">
        <v>2.399993450353681E-2</v>
      </c>
      <c r="Y552" s="67">
        <v>2.399993450353681E-2</v>
      </c>
      <c r="Z552" s="61" t="s">
        <v>228</v>
      </c>
      <c r="AA552" s="68">
        <v>0.38800729221171737</v>
      </c>
      <c r="AB552" s="69">
        <v>0</v>
      </c>
    </row>
    <row r="553" spans="2:28" x14ac:dyDescent="0.3">
      <c r="B553" s="61" t="s">
        <v>181</v>
      </c>
      <c r="C553" s="61" t="s">
        <v>185</v>
      </c>
      <c r="D553" s="61" t="s">
        <v>123</v>
      </c>
      <c r="E553" s="61" t="s">
        <v>192</v>
      </c>
      <c r="F553" s="61" t="s">
        <v>93</v>
      </c>
      <c r="G553" s="62">
        <v>0.4586758101411838</v>
      </c>
      <c r="H553" s="61">
        <v>5</v>
      </c>
      <c r="I553" s="61" t="s">
        <v>214</v>
      </c>
      <c r="J553" s="61" t="s">
        <v>215</v>
      </c>
      <c r="K553" s="67">
        <v>0.12152672282833862</v>
      </c>
      <c r="L553" s="67">
        <v>0.12152672282833862</v>
      </c>
      <c r="M553" s="67">
        <v>0.12152672282833862</v>
      </c>
      <c r="N553" s="67">
        <v>0.12152672282833862</v>
      </c>
      <c r="O553" s="67">
        <v>0.12152672282833862</v>
      </c>
      <c r="P553" s="67">
        <v>0.12152672282833862</v>
      </c>
      <c r="Q553" s="67">
        <v>0.12152672282833862</v>
      </c>
      <c r="R553" s="67">
        <v>0.12152672282833862</v>
      </c>
      <c r="S553" s="67">
        <v>0.12152672282833862</v>
      </c>
      <c r="T553" s="67">
        <v>0.12152672282833862</v>
      </c>
      <c r="U553" s="67">
        <v>0.12152672282833862</v>
      </c>
      <c r="V553" s="67">
        <v>0.12152672282833862</v>
      </c>
      <c r="W553" s="67">
        <v>0.12152672282833862</v>
      </c>
      <c r="X553" s="67">
        <v>0.12152672282833862</v>
      </c>
      <c r="Y553" s="67">
        <v>0.12152672282833862</v>
      </c>
      <c r="Z553" s="61" t="s">
        <v>228</v>
      </c>
      <c r="AA553" s="68">
        <v>0.20789767098523787</v>
      </c>
      <c r="AB553" s="69">
        <v>1.3778681737591908E-4</v>
      </c>
    </row>
    <row r="554" spans="2:28" x14ac:dyDescent="0.3">
      <c r="B554" s="61" t="s">
        <v>181</v>
      </c>
      <c r="C554" s="61" t="s">
        <v>185</v>
      </c>
      <c r="D554" s="61" t="s">
        <v>123</v>
      </c>
      <c r="E554" s="61" t="s">
        <v>192</v>
      </c>
      <c r="F554" s="61" t="s">
        <v>94</v>
      </c>
      <c r="G554" s="62">
        <v>0.4586758101411838</v>
      </c>
      <c r="H554" s="61">
        <v>5</v>
      </c>
      <c r="I554" s="61" t="s">
        <v>218</v>
      </c>
      <c r="J554" s="61" t="s">
        <v>215</v>
      </c>
      <c r="K554" s="67">
        <v>0.12152672282833862</v>
      </c>
      <c r="L554" s="67">
        <v>0.12152672282833862</v>
      </c>
      <c r="M554" s="67">
        <v>0.12152672282833862</v>
      </c>
      <c r="N554" s="67">
        <v>0.12152672282833862</v>
      </c>
      <c r="O554" s="67">
        <v>0.12152672282833862</v>
      </c>
      <c r="P554" s="67">
        <v>0.12152672282833862</v>
      </c>
      <c r="Q554" s="67">
        <v>0.12152672282833862</v>
      </c>
      <c r="R554" s="67">
        <v>0.12152672282833862</v>
      </c>
      <c r="S554" s="67">
        <v>0.12152672282833862</v>
      </c>
      <c r="T554" s="67">
        <v>0.12152672282833862</v>
      </c>
      <c r="U554" s="67">
        <v>0.12152672282833862</v>
      </c>
      <c r="V554" s="67">
        <v>0.12152672282833862</v>
      </c>
      <c r="W554" s="67">
        <v>0.12152672282833862</v>
      </c>
      <c r="X554" s="67">
        <v>0.12152672282833862</v>
      </c>
      <c r="Y554" s="67">
        <v>0.12152672282833862</v>
      </c>
      <c r="Z554" s="61" t="s">
        <v>228</v>
      </c>
      <c r="AA554" s="68">
        <v>0.38800729221171737</v>
      </c>
      <c r="AB554" s="69">
        <v>0</v>
      </c>
    </row>
    <row r="555" spans="2:28" x14ac:dyDescent="0.3">
      <c r="B555" s="61" t="s">
        <v>181</v>
      </c>
      <c r="C555" s="61" t="s">
        <v>185</v>
      </c>
      <c r="D555" s="61" t="s">
        <v>123</v>
      </c>
      <c r="E555" s="61" t="s">
        <v>193</v>
      </c>
      <c r="F555" s="61" t="s">
        <v>93</v>
      </c>
      <c r="G555" s="62">
        <v>0.4586758101411838</v>
      </c>
      <c r="H555" s="61">
        <v>5</v>
      </c>
      <c r="I555" s="61" t="s">
        <v>214</v>
      </c>
      <c r="J555" s="61" t="s">
        <v>215</v>
      </c>
      <c r="K555" s="67">
        <v>0.12267716535433069</v>
      </c>
      <c r="L555" s="67">
        <v>0.12267716535433069</v>
      </c>
      <c r="M555" s="67">
        <v>0.12267716535433069</v>
      </c>
      <c r="N555" s="67">
        <v>0.12267716535433069</v>
      </c>
      <c r="O555" s="67">
        <v>0.12267716535433069</v>
      </c>
      <c r="P555" s="67">
        <v>0.12267716535433069</v>
      </c>
      <c r="Q555" s="67">
        <v>0.12267716535433069</v>
      </c>
      <c r="R555" s="67">
        <v>0.12267716535433069</v>
      </c>
      <c r="S555" s="67">
        <v>0.12267716535433069</v>
      </c>
      <c r="T555" s="67">
        <v>0.12267716535433069</v>
      </c>
      <c r="U555" s="67">
        <v>0.12267716535433069</v>
      </c>
      <c r="V555" s="67">
        <v>0.12267716535433069</v>
      </c>
      <c r="W555" s="67">
        <v>0.12267716535433069</v>
      </c>
      <c r="X555" s="67">
        <v>0.12267716535433069</v>
      </c>
      <c r="Y555" s="67">
        <v>0.12267716535433069</v>
      </c>
      <c r="Z555" s="61" t="s">
        <v>228</v>
      </c>
      <c r="AA555" s="68">
        <v>0.20789767098523787</v>
      </c>
      <c r="AB555" s="69">
        <v>1.3778681737591908E-4</v>
      </c>
    </row>
    <row r="556" spans="2:28" x14ac:dyDescent="0.3">
      <c r="B556" s="61" t="s">
        <v>181</v>
      </c>
      <c r="C556" s="61" t="s">
        <v>185</v>
      </c>
      <c r="D556" s="61" t="s">
        <v>123</v>
      </c>
      <c r="E556" s="61" t="s">
        <v>193</v>
      </c>
      <c r="F556" s="61" t="s">
        <v>94</v>
      </c>
      <c r="G556" s="62">
        <v>0.4586758101411838</v>
      </c>
      <c r="H556" s="61">
        <v>5</v>
      </c>
      <c r="I556" s="61" t="s">
        <v>218</v>
      </c>
      <c r="J556" s="61" t="s">
        <v>215</v>
      </c>
      <c r="K556" s="67">
        <v>0.12267716535433069</v>
      </c>
      <c r="L556" s="67">
        <v>0.12267716535433069</v>
      </c>
      <c r="M556" s="67">
        <v>0.12267716535433069</v>
      </c>
      <c r="N556" s="67">
        <v>0.12267716535433069</v>
      </c>
      <c r="O556" s="67">
        <v>0.12267716535433069</v>
      </c>
      <c r="P556" s="67">
        <v>0.12267716535433069</v>
      </c>
      <c r="Q556" s="67">
        <v>0.12267716535433069</v>
      </c>
      <c r="R556" s="67">
        <v>0.12267716535433069</v>
      </c>
      <c r="S556" s="67">
        <v>0.12267716535433069</v>
      </c>
      <c r="T556" s="67">
        <v>0.12267716535433069</v>
      </c>
      <c r="U556" s="67">
        <v>0.12267716535433069</v>
      </c>
      <c r="V556" s="67">
        <v>0.12267716535433069</v>
      </c>
      <c r="W556" s="67">
        <v>0.12267716535433069</v>
      </c>
      <c r="X556" s="67">
        <v>0.12267716535433069</v>
      </c>
      <c r="Y556" s="67">
        <v>0.12267716535433069</v>
      </c>
      <c r="Z556" s="61" t="s">
        <v>228</v>
      </c>
      <c r="AA556" s="68">
        <v>0.38800729221171737</v>
      </c>
      <c r="AB556" s="69">
        <v>0</v>
      </c>
    </row>
    <row r="557" spans="2:28" x14ac:dyDescent="0.3">
      <c r="B557" s="61" t="s">
        <v>181</v>
      </c>
      <c r="C557" s="61" t="s">
        <v>185</v>
      </c>
      <c r="D557" s="61" t="s">
        <v>123</v>
      </c>
      <c r="E557" s="61" t="s">
        <v>194</v>
      </c>
      <c r="F557" s="61" t="s">
        <v>93</v>
      </c>
      <c r="G557" s="62">
        <v>0.59627855318353895</v>
      </c>
      <c r="H557" s="61">
        <v>5</v>
      </c>
      <c r="I557" s="61" t="s">
        <v>214</v>
      </c>
      <c r="J557" s="61" t="s">
        <v>215</v>
      </c>
      <c r="K557" s="67">
        <v>0</v>
      </c>
      <c r="L557" s="67">
        <v>0</v>
      </c>
      <c r="M557" s="67">
        <v>0</v>
      </c>
      <c r="N557" s="67">
        <v>0</v>
      </c>
      <c r="O557" s="67">
        <v>0</v>
      </c>
      <c r="P557" s="67">
        <v>0</v>
      </c>
      <c r="Q557" s="67">
        <v>0</v>
      </c>
      <c r="R557" s="67">
        <v>0</v>
      </c>
      <c r="S557" s="67">
        <v>0</v>
      </c>
      <c r="T557" s="67">
        <v>0</v>
      </c>
      <c r="U557" s="67">
        <v>0</v>
      </c>
      <c r="V557" s="67">
        <v>0</v>
      </c>
      <c r="W557" s="67">
        <v>0</v>
      </c>
      <c r="X557" s="67">
        <v>0</v>
      </c>
      <c r="Y557" s="67">
        <v>0</v>
      </c>
      <c r="Z557" s="61" t="s">
        <v>228</v>
      </c>
      <c r="AA557" s="68">
        <v>0.20789767098523787</v>
      </c>
      <c r="AB557" s="69">
        <v>1.3778681737591908E-4</v>
      </c>
    </row>
    <row r="558" spans="2:28" x14ac:dyDescent="0.3">
      <c r="B558" s="61" t="s">
        <v>181</v>
      </c>
      <c r="C558" s="61" t="s">
        <v>185</v>
      </c>
      <c r="D558" s="61" t="s">
        <v>123</v>
      </c>
      <c r="E558" s="61" t="s">
        <v>194</v>
      </c>
      <c r="F558" s="61" t="s">
        <v>94</v>
      </c>
      <c r="G558" s="62">
        <v>0.59627855318353895</v>
      </c>
      <c r="H558" s="61">
        <v>5</v>
      </c>
      <c r="I558" s="61" t="s">
        <v>218</v>
      </c>
      <c r="J558" s="61" t="s">
        <v>215</v>
      </c>
      <c r="K558" s="67">
        <v>0</v>
      </c>
      <c r="L558" s="67">
        <v>0</v>
      </c>
      <c r="M558" s="67">
        <v>0</v>
      </c>
      <c r="N558" s="67">
        <v>0</v>
      </c>
      <c r="O558" s="67">
        <v>0</v>
      </c>
      <c r="P558" s="67">
        <v>0</v>
      </c>
      <c r="Q558" s="67">
        <v>0</v>
      </c>
      <c r="R558" s="67">
        <v>0</v>
      </c>
      <c r="S558" s="67">
        <v>0</v>
      </c>
      <c r="T558" s="67">
        <v>0</v>
      </c>
      <c r="U558" s="67">
        <v>0</v>
      </c>
      <c r="V558" s="67">
        <v>0</v>
      </c>
      <c r="W558" s="67">
        <v>0</v>
      </c>
      <c r="X558" s="67">
        <v>0</v>
      </c>
      <c r="Y558" s="67">
        <v>0</v>
      </c>
      <c r="Z558" s="61" t="s">
        <v>228</v>
      </c>
      <c r="AA558" s="68">
        <v>0.38800729221171737</v>
      </c>
      <c r="AB558" s="69">
        <v>0</v>
      </c>
    </row>
    <row r="559" spans="2:28" x14ac:dyDescent="0.3">
      <c r="B559" s="61" t="s">
        <v>181</v>
      </c>
      <c r="C559" s="61" t="s">
        <v>185</v>
      </c>
      <c r="D559" s="61" t="s">
        <v>123</v>
      </c>
      <c r="E559" s="61" t="s">
        <v>195</v>
      </c>
      <c r="F559" s="61" t="s">
        <v>93</v>
      </c>
      <c r="G559" s="62">
        <v>0.81644294205130719</v>
      </c>
      <c r="H559" s="61">
        <v>5</v>
      </c>
      <c r="I559" s="61" t="s">
        <v>214</v>
      </c>
      <c r="J559" s="61" t="s">
        <v>215</v>
      </c>
      <c r="K559" s="67">
        <v>0</v>
      </c>
      <c r="L559" s="67">
        <v>0</v>
      </c>
      <c r="M559" s="67">
        <v>0</v>
      </c>
      <c r="N559" s="67">
        <v>0</v>
      </c>
      <c r="O559" s="67">
        <v>0</v>
      </c>
      <c r="P559" s="67">
        <v>0</v>
      </c>
      <c r="Q559" s="67">
        <v>0</v>
      </c>
      <c r="R559" s="67">
        <v>0</v>
      </c>
      <c r="S559" s="67">
        <v>0</v>
      </c>
      <c r="T559" s="67">
        <v>0</v>
      </c>
      <c r="U559" s="67">
        <v>0</v>
      </c>
      <c r="V559" s="67">
        <v>0</v>
      </c>
      <c r="W559" s="67">
        <v>0</v>
      </c>
      <c r="X559" s="67">
        <v>0</v>
      </c>
      <c r="Y559" s="67">
        <v>0</v>
      </c>
      <c r="Z559" s="61" t="s">
        <v>228</v>
      </c>
      <c r="AA559" s="68">
        <v>0.20789767098523787</v>
      </c>
      <c r="AB559" s="69">
        <v>1.3778681737591908E-4</v>
      </c>
    </row>
    <row r="560" spans="2:28" x14ac:dyDescent="0.3">
      <c r="B560" s="61" t="s">
        <v>181</v>
      </c>
      <c r="C560" s="61" t="s">
        <v>185</v>
      </c>
      <c r="D560" s="61" t="s">
        <v>123</v>
      </c>
      <c r="E560" s="61" t="s">
        <v>195</v>
      </c>
      <c r="F560" s="61" t="s">
        <v>94</v>
      </c>
      <c r="G560" s="62">
        <v>0.81644294205130719</v>
      </c>
      <c r="H560" s="61">
        <v>5</v>
      </c>
      <c r="I560" s="61" t="s">
        <v>218</v>
      </c>
      <c r="J560" s="61" t="s">
        <v>215</v>
      </c>
      <c r="K560" s="67">
        <v>0</v>
      </c>
      <c r="L560" s="67">
        <v>0</v>
      </c>
      <c r="M560" s="67">
        <v>0</v>
      </c>
      <c r="N560" s="67">
        <v>0</v>
      </c>
      <c r="O560" s="67">
        <v>0</v>
      </c>
      <c r="P560" s="67">
        <v>0</v>
      </c>
      <c r="Q560" s="67">
        <v>0</v>
      </c>
      <c r="R560" s="67">
        <v>0</v>
      </c>
      <c r="S560" s="67">
        <v>0</v>
      </c>
      <c r="T560" s="67">
        <v>0</v>
      </c>
      <c r="U560" s="67">
        <v>0</v>
      </c>
      <c r="V560" s="67">
        <v>0</v>
      </c>
      <c r="W560" s="67">
        <v>0</v>
      </c>
      <c r="X560" s="67">
        <v>0</v>
      </c>
      <c r="Y560" s="67">
        <v>0</v>
      </c>
      <c r="Z560" s="61" t="s">
        <v>228</v>
      </c>
      <c r="AA560" s="68">
        <v>0.38800729221171737</v>
      </c>
      <c r="AB560" s="69">
        <v>0</v>
      </c>
    </row>
    <row r="561" spans="2:28" x14ac:dyDescent="0.3">
      <c r="B561" s="61" t="s">
        <v>181</v>
      </c>
      <c r="C561" s="61" t="s">
        <v>185</v>
      </c>
      <c r="D561" s="61" t="s">
        <v>123</v>
      </c>
      <c r="E561" s="61" t="s">
        <v>196</v>
      </c>
      <c r="F561" s="61" t="s">
        <v>93</v>
      </c>
      <c r="G561" s="62">
        <v>0.90817810407954391</v>
      </c>
      <c r="H561" s="61">
        <v>5</v>
      </c>
      <c r="I561" s="61" t="s">
        <v>214</v>
      </c>
      <c r="J561" s="61" t="s">
        <v>215</v>
      </c>
      <c r="K561" s="67">
        <v>0</v>
      </c>
      <c r="L561" s="67">
        <v>0</v>
      </c>
      <c r="M561" s="67">
        <v>0</v>
      </c>
      <c r="N561" s="67">
        <v>0</v>
      </c>
      <c r="O561" s="67">
        <v>0</v>
      </c>
      <c r="P561" s="67">
        <v>0</v>
      </c>
      <c r="Q561" s="67">
        <v>0</v>
      </c>
      <c r="R561" s="67">
        <v>0</v>
      </c>
      <c r="S561" s="67">
        <v>0</v>
      </c>
      <c r="T561" s="67">
        <v>0</v>
      </c>
      <c r="U561" s="67">
        <v>0</v>
      </c>
      <c r="V561" s="67">
        <v>0</v>
      </c>
      <c r="W561" s="67">
        <v>0</v>
      </c>
      <c r="X561" s="67">
        <v>0</v>
      </c>
      <c r="Y561" s="67">
        <v>0</v>
      </c>
      <c r="Z561" s="61" t="s">
        <v>228</v>
      </c>
      <c r="AA561" s="68">
        <v>0.20789767098523787</v>
      </c>
      <c r="AB561" s="69">
        <v>1.3778681737591908E-4</v>
      </c>
    </row>
    <row r="562" spans="2:28" x14ac:dyDescent="0.3">
      <c r="B562" s="61" t="s">
        <v>181</v>
      </c>
      <c r="C562" s="61" t="s">
        <v>185</v>
      </c>
      <c r="D562" s="61" t="s">
        <v>123</v>
      </c>
      <c r="E562" s="61" t="s">
        <v>196</v>
      </c>
      <c r="F562" s="61" t="s">
        <v>94</v>
      </c>
      <c r="G562" s="62">
        <v>0.90817810407954391</v>
      </c>
      <c r="H562" s="61">
        <v>5</v>
      </c>
      <c r="I562" s="61" t="s">
        <v>218</v>
      </c>
      <c r="J562" s="61" t="s">
        <v>215</v>
      </c>
      <c r="K562" s="67">
        <v>0</v>
      </c>
      <c r="L562" s="67">
        <v>0</v>
      </c>
      <c r="M562" s="67">
        <v>0</v>
      </c>
      <c r="N562" s="67">
        <v>0</v>
      </c>
      <c r="O562" s="67">
        <v>0</v>
      </c>
      <c r="P562" s="67">
        <v>0</v>
      </c>
      <c r="Q562" s="67">
        <v>0</v>
      </c>
      <c r="R562" s="67">
        <v>0</v>
      </c>
      <c r="S562" s="67">
        <v>0</v>
      </c>
      <c r="T562" s="67">
        <v>0</v>
      </c>
      <c r="U562" s="67">
        <v>0</v>
      </c>
      <c r="V562" s="67">
        <v>0</v>
      </c>
      <c r="W562" s="67">
        <v>0</v>
      </c>
      <c r="X562" s="67">
        <v>0</v>
      </c>
      <c r="Y562" s="67">
        <v>0</v>
      </c>
      <c r="Z562" s="61" t="s">
        <v>228</v>
      </c>
      <c r="AA562" s="68">
        <v>0.38800729221171737</v>
      </c>
      <c r="AB562" s="69">
        <v>0</v>
      </c>
    </row>
    <row r="563" spans="2:28" x14ac:dyDescent="0.3">
      <c r="B563" s="61" t="s">
        <v>181</v>
      </c>
      <c r="C563" s="61" t="s">
        <v>185</v>
      </c>
      <c r="D563" s="61" t="s">
        <v>123</v>
      </c>
      <c r="E563" s="61" t="s">
        <v>197</v>
      </c>
      <c r="F563" s="61" t="s">
        <v>93</v>
      </c>
      <c r="G563" s="62">
        <v>0.69718723141459937</v>
      </c>
      <c r="H563" s="61">
        <v>5</v>
      </c>
      <c r="I563" s="61" t="s">
        <v>214</v>
      </c>
      <c r="J563" s="61" t="s">
        <v>215</v>
      </c>
      <c r="K563" s="67">
        <v>2.3131053604436229E-2</v>
      </c>
      <c r="L563" s="67">
        <v>2.3131053604436229E-2</v>
      </c>
      <c r="M563" s="67">
        <v>2.3131053604436229E-2</v>
      </c>
      <c r="N563" s="67">
        <v>2.3131053604436229E-2</v>
      </c>
      <c r="O563" s="67">
        <v>2.3131053604436229E-2</v>
      </c>
      <c r="P563" s="67">
        <v>2.3131053604436229E-2</v>
      </c>
      <c r="Q563" s="67">
        <v>2.3131053604436229E-2</v>
      </c>
      <c r="R563" s="67">
        <v>2.3131053604436229E-2</v>
      </c>
      <c r="S563" s="67">
        <v>2.3131053604436229E-2</v>
      </c>
      <c r="T563" s="67">
        <v>2.3131053604436229E-2</v>
      </c>
      <c r="U563" s="67">
        <v>2.3131053604436229E-2</v>
      </c>
      <c r="V563" s="67">
        <v>2.3131053604436229E-2</v>
      </c>
      <c r="W563" s="67">
        <v>2.3131053604436229E-2</v>
      </c>
      <c r="X563" s="67">
        <v>2.3131053604436229E-2</v>
      </c>
      <c r="Y563" s="67">
        <v>2.3131053604436229E-2</v>
      </c>
      <c r="Z563" s="61" t="s">
        <v>228</v>
      </c>
      <c r="AA563" s="68">
        <v>0.20789767098523787</v>
      </c>
      <c r="AB563" s="69">
        <v>1.3778681737591908E-4</v>
      </c>
    </row>
    <row r="564" spans="2:28" x14ac:dyDescent="0.3">
      <c r="B564" s="61" t="s">
        <v>181</v>
      </c>
      <c r="C564" s="61" t="s">
        <v>185</v>
      </c>
      <c r="D564" s="61" t="s">
        <v>123</v>
      </c>
      <c r="E564" s="61" t="s">
        <v>197</v>
      </c>
      <c r="F564" s="61" t="s">
        <v>94</v>
      </c>
      <c r="G564" s="62">
        <v>0.69718723141459937</v>
      </c>
      <c r="H564" s="61">
        <v>5</v>
      </c>
      <c r="I564" s="61" t="s">
        <v>218</v>
      </c>
      <c r="J564" s="61" t="s">
        <v>215</v>
      </c>
      <c r="K564" s="67">
        <v>2.3131053604436229E-2</v>
      </c>
      <c r="L564" s="67">
        <v>2.3131053604436229E-2</v>
      </c>
      <c r="M564" s="67">
        <v>2.3131053604436229E-2</v>
      </c>
      <c r="N564" s="67">
        <v>2.3131053604436229E-2</v>
      </c>
      <c r="O564" s="67">
        <v>2.3131053604436229E-2</v>
      </c>
      <c r="P564" s="67">
        <v>2.3131053604436229E-2</v>
      </c>
      <c r="Q564" s="67">
        <v>2.3131053604436229E-2</v>
      </c>
      <c r="R564" s="67">
        <v>2.3131053604436229E-2</v>
      </c>
      <c r="S564" s="67">
        <v>2.3131053604436229E-2</v>
      </c>
      <c r="T564" s="67">
        <v>2.3131053604436229E-2</v>
      </c>
      <c r="U564" s="67">
        <v>2.3131053604436229E-2</v>
      </c>
      <c r="V564" s="67">
        <v>2.3131053604436229E-2</v>
      </c>
      <c r="W564" s="67">
        <v>2.3131053604436229E-2</v>
      </c>
      <c r="X564" s="67">
        <v>2.3131053604436229E-2</v>
      </c>
      <c r="Y564" s="67">
        <v>2.3131053604436229E-2</v>
      </c>
      <c r="Z564" s="61" t="s">
        <v>228</v>
      </c>
      <c r="AA564" s="68">
        <v>0.38800729221171737</v>
      </c>
      <c r="AB564" s="69">
        <v>0</v>
      </c>
    </row>
    <row r="565" spans="2:28" x14ac:dyDescent="0.3">
      <c r="B565" s="61" t="s">
        <v>181</v>
      </c>
      <c r="C565" s="61" t="s">
        <v>185</v>
      </c>
      <c r="D565" s="61" t="s">
        <v>123</v>
      </c>
      <c r="E565" s="61" t="s">
        <v>198</v>
      </c>
      <c r="F565" s="61" t="s">
        <v>93</v>
      </c>
      <c r="G565" s="62">
        <v>0.37611416431577077</v>
      </c>
      <c r="H565" s="61">
        <v>5</v>
      </c>
      <c r="I565" s="61" t="s">
        <v>214</v>
      </c>
      <c r="J565" s="61" t="s">
        <v>215</v>
      </c>
      <c r="K565" s="67">
        <v>8.7269396369776278E-2</v>
      </c>
      <c r="L565" s="67">
        <v>8.7269396369776278E-2</v>
      </c>
      <c r="M565" s="67">
        <v>8.7269396369776278E-2</v>
      </c>
      <c r="N565" s="67">
        <v>8.7269396369776278E-2</v>
      </c>
      <c r="O565" s="67">
        <v>8.7269396369776278E-2</v>
      </c>
      <c r="P565" s="67">
        <v>8.7269396369776278E-2</v>
      </c>
      <c r="Q565" s="67">
        <v>8.7269396369776278E-2</v>
      </c>
      <c r="R565" s="67">
        <v>8.7269396369776278E-2</v>
      </c>
      <c r="S565" s="67">
        <v>8.7269396369776278E-2</v>
      </c>
      <c r="T565" s="67">
        <v>8.7269396369776278E-2</v>
      </c>
      <c r="U565" s="67">
        <v>8.7269396369776278E-2</v>
      </c>
      <c r="V565" s="67">
        <v>8.7269396369776278E-2</v>
      </c>
      <c r="W565" s="67">
        <v>8.7269396369776278E-2</v>
      </c>
      <c r="X565" s="67">
        <v>8.7269396369776278E-2</v>
      </c>
      <c r="Y565" s="67">
        <v>8.7269396369776278E-2</v>
      </c>
      <c r="Z565" s="61" t="s">
        <v>228</v>
      </c>
      <c r="AA565" s="68">
        <v>0.20789767098523787</v>
      </c>
      <c r="AB565" s="69">
        <v>1.3778681737591908E-4</v>
      </c>
    </row>
    <row r="566" spans="2:28" x14ac:dyDescent="0.3">
      <c r="B566" s="61" t="s">
        <v>181</v>
      </c>
      <c r="C566" s="61" t="s">
        <v>185</v>
      </c>
      <c r="D566" s="61" t="s">
        <v>123</v>
      </c>
      <c r="E566" s="61" t="s">
        <v>198</v>
      </c>
      <c r="F566" s="61" t="s">
        <v>94</v>
      </c>
      <c r="G566" s="62">
        <v>0.37611416431577077</v>
      </c>
      <c r="H566" s="61">
        <v>5</v>
      </c>
      <c r="I566" s="61" t="s">
        <v>218</v>
      </c>
      <c r="J566" s="61" t="s">
        <v>215</v>
      </c>
      <c r="K566" s="67">
        <v>8.7269396369776278E-2</v>
      </c>
      <c r="L566" s="67">
        <v>8.7269396369776278E-2</v>
      </c>
      <c r="M566" s="67">
        <v>8.7269396369776278E-2</v>
      </c>
      <c r="N566" s="67">
        <v>8.7269396369776278E-2</v>
      </c>
      <c r="O566" s="67">
        <v>8.7269396369776278E-2</v>
      </c>
      <c r="P566" s="67">
        <v>8.7269396369776278E-2</v>
      </c>
      <c r="Q566" s="67">
        <v>8.7269396369776278E-2</v>
      </c>
      <c r="R566" s="67">
        <v>8.7269396369776278E-2</v>
      </c>
      <c r="S566" s="67">
        <v>8.7269396369776278E-2</v>
      </c>
      <c r="T566" s="67">
        <v>8.7269396369776278E-2</v>
      </c>
      <c r="U566" s="67">
        <v>8.7269396369776278E-2</v>
      </c>
      <c r="V566" s="67">
        <v>8.7269396369776278E-2</v>
      </c>
      <c r="W566" s="67">
        <v>8.7269396369776278E-2</v>
      </c>
      <c r="X566" s="67">
        <v>8.7269396369776278E-2</v>
      </c>
      <c r="Y566" s="67">
        <v>8.7269396369776278E-2</v>
      </c>
      <c r="Z566" s="61" t="s">
        <v>228</v>
      </c>
      <c r="AA566" s="68">
        <v>0.38800729221171737</v>
      </c>
      <c r="AB566" s="69">
        <v>0</v>
      </c>
    </row>
    <row r="567" spans="2:28" x14ac:dyDescent="0.3">
      <c r="B567" s="61" t="s">
        <v>181</v>
      </c>
      <c r="C567" s="61" t="s">
        <v>185</v>
      </c>
      <c r="D567" s="61" t="s">
        <v>123</v>
      </c>
      <c r="E567" s="61" t="s">
        <v>199</v>
      </c>
      <c r="F567" s="61" t="s">
        <v>93</v>
      </c>
      <c r="G567" s="62">
        <v>0.81644294205130719</v>
      </c>
      <c r="H567" s="61">
        <v>5</v>
      </c>
      <c r="I567" s="61" t="s">
        <v>214</v>
      </c>
      <c r="J567" s="61" t="s">
        <v>215</v>
      </c>
      <c r="K567" s="67">
        <v>0</v>
      </c>
      <c r="L567" s="67">
        <v>0</v>
      </c>
      <c r="M567" s="67">
        <v>0</v>
      </c>
      <c r="N567" s="67">
        <v>0</v>
      </c>
      <c r="O567" s="67">
        <v>0</v>
      </c>
      <c r="P567" s="67">
        <v>0</v>
      </c>
      <c r="Q567" s="67">
        <v>0</v>
      </c>
      <c r="R567" s="67">
        <v>0</v>
      </c>
      <c r="S567" s="67">
        <v>0</v>
      </c>
      <c r="T567" s="67">
        <v>0</v>
      </c>
      <c r="U567" s="67">
        <v>0</v>
      </c>
      <c r="V567" s="67">
        <v>0</v>
      </c>
      <c r="W567" s="67">
        <v>0</v>
      </c>
      <c r="X567" s="67">
        <v>0</v>
      </c>
      <c r="Y567" s="67">
        <v>0</v>
      </c>
      <c r="Z567" s="61" t="s">
        <v>228</v>
      </c>
      <c r="AA567" s="68">
        <v>0.20789767098523787</v>
      </c>
      <c r="AB567" s="69">
        <v>1.3778681737591908E-4</v>
      </c>
    </row>
    <row r="568" spans="2:28" x14ac:dyDescent="0.3">
      <c r="B568" s="61" t="s">
        <v>181</v>
      </c>
      <c r="C568" s="61" t="s">
        <v>185</v>
      </c>
      <c r="D568" s="61" t="s">
        <v>123</v>
      </c>
      <c r="E568" s="61" t="s">
        <v>199</v>
      </c>
      <c r="F568" s="61" t="s">
        <v>94</v>
      </c>
      <c r="G568" s="62">
        <v>0.81644294205130719</v>
      </c>
      <c r="H568" s="61">
        <v>5</v>
      </c>
      <c r="I568" s="61" t="s">
        <v>218</v>
      </c>
      <c r="J568" s="61" t="s">
        <v>215</v>
      </c>
      <c r="K568" s="67">
        <v>0</v>
      </c>
      <c r="L568" s="67">
        <v>0</v>
      </c>
      <c r="M568" s="67">
        <v>0</v>
      </c>
      <c r="N568" s="67">
        <v>0</v>
      </c>
      <c r="O568" s="67">
        <v>0</v>
      </c>
      <c r="P568" s="67">
        <v>0</v>
      </c>
      <c r="Q568" s="67">
        <v>0</v>
      </c>
      <c r="R568" s="67">
        <v>0</v>
      </c>
      <c r="S568" s="67">
        <v>0</v>
      </c>
      <c r="T568" s="67">
        <v>0</v>
      </c>
      <c r="U568" s="67">
        <v>0</v>
      </c>
      <c r="V568" s="67">
        <v>0</v>
      </c>
      <c r="W568" s="67">
        <v>0</v>
      </c>
      <c r="X568" s="67">
        <v>0</v>
      </c>
      <c r="Y568" s="67">
        <v>0</v>
      </c>
      <c r="Z568" s="61" t="s">
        <v>228</v>
      </c>
      <c r="AA568" s="68">
        <v>0.38800729221171737</v>
      </c>
      <c r="AB568" s="69">
        <v>0</v>
      </c>
    </row>
  </sheetData>
  <autoFilter ref="B4:AC568"/>
  <mergeCells count="1">
    <mergeCell ref="K3:Y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H100"/>
  <sheetViews>
    <sheetView workbookViewId="0">
      <selection activeCell="X1" sqref="X1"/>
    </sheetView>
  </sheetViews>
  <sheetFormatPr defaultRowHeight="14.4" x14ac:dyDescent="0.3"/>
  <cols>
    <col min="2" max="2" width="32.88671875" bestFit="1" customWidth="1"/>
    <col min="3" max="3" width="7" bestFit="1" customWidth="1"/>
    <col min="4" max="4" width="10.5546875" bestFit="1" customWidth="1"/>
    <col min="5" max="19" width="11.88671875" customWidth="1"/>
    <col min="20" max="20" width="13.33203125" bestFit="1" customWidth="1"/>
  </cols>
  <sheetData>
    <row r="1" spans="1:34" x14ac:dyDescent="0.3">
      <c r="A1" s="1" t="s">
        <v>201</v>
      </c>
    </row>
    <row r="3" spans="1:34" s="1" customFormat="1" x14ac:dyDescent="0.3">
      <c r="E3" s="338" t="s">
        <v>229</v>
      </c>
      <c r="F3" s="338"/>
      <c r="G3" s="338"/>
      <c r="H3" s="338"/>
      <c r="I3" s="338"/>
      <c r="J3" s="338"/>
      <c r="K3" s="338"/>
      <c r="L3" s="338"/>
      <c r="M3" s="338"/>
      <c r="N3" s="338"/>
      <c r="O3" s="338"/>
      <c r="P3" s="338"/>
      <c r="Q3" s="338"/>
      <c r="R3" s="338"/>
      <c r="S3" s="338"/>
    </row>
    <row r="4" spans="1:34" s="1" customFormat="1" x14ac:dyDescent="0.3">
      <c r="B4" s="71" t="s">
        <v>203</v>
      </c>
      <c r="C4" s="71" t="s">
        <v>204</v>
      </c>
      <c r="D4" s="71" t="s">
        <v>230</v>
      </c>
      <c r="E4" s="71">
        <v>2016</v>
      </c>
      <c r="F4" s="71">
        <v>2017</v>
      </c>
      <c r="G4" s="71">
        <v>2018</v>
      </c>
      <c r="H4" s="71">
        <v>2019</v>
      </c>
      <c r="I4" s="71">
        <v>2020</v>
      </c>
      <c r="J4" s="71">
        <v>2021</v>
      </c>
      <c r="K4" s="71">
        <v>2022</v>
      </c>
      <c r="L4" s="71">
        <v>2023</v>
      </c>
      <c r="M4" s="71">
        <v>2024</v>
      </c>
      <c r="N4" s="71">
        <v>2025</v>
      </c>
      <c r="O4" s="71">
        <v>2026</v>
      </c>
      <c r="P4" s="71">
        <v>2027</v>
      </c>
      <c r="Q4" s="71">
        <v>2028</v>
      </c>
      <c r="R4" s="71">
        <v>2029</v>
      </c>
      <c r="S4" s="71">
        <v>2030</v>
      </c>
      <c r="T4" s="71">
        <v>2016</v>
      </c>
      <c r="U4" s="71">
        <v>2017</v>
      </c>
      <c r="V4" s="71">
        <v>2018</v>
      </c>
      <c r="W4" s="71">
        <v>2019</v>
      </c>
      <c r="X4" s="71">
        <v>2020</v>
      </c>
      <c r="Y4" s="71">
        <v>2021</v>
      </c>
      <c r="Z4" s="71">
        <v>2022</v>
      </c>
      <c r="AA4" s="71">
        <v>2023</v>
      </c>
      <c r="AB4" s="71">
        <v>2024</v>
      </c>
      <c r="AC4" s="71">
        <v>2025</v>
      </c>
      <c r="AD4" s="71">
        <v>2026</v>
      </c>
      <c r="AE4" s="71">
        <v>2027</v>
      </c>
      <c r="AF4" s="71">
        <v>2028</v>
      </c>
      <c r="AG4" s="71">
        <v>2029</v>
      </c>
      <c r="AH4" s="71">
        <v>2030</v>
      </c>
    </row>
    <row r="5" spans="1:34" x14ac:dyDescent="0.3">
      <c r="B5" s="61" t="s">
        <v>212</v>
      </c>
      <c r="C5" s="61" t="s">
        <v>121</v>
      </c>
      <c r="D5" s="61" t="s">
        <v>231</v>
      </c>
      <c r="E5" s="67">
        <v>0.27212549498811417</v>
      </c>
      <c r="F5" s="67">
        <v>0.29156303034440806</v>
      </c>
      <c r="G5" s="67">
        <v>0.31100056570070195</v>
      </c>
      <c r="H5" s="67">
        <v>0.33043810105699584</v>
      </c>
      <c r="I5" s="67">
        <v>0.34987563641328973</v>
      </c>
      <c r="J5" s="67">
        <v>0.36931317176958361</v>
      </c>
      <c r="K5" s="67">
        <v>0.3887507071258775</v>
      </c>
      <c r="L5" s="67">
        <v>0.40818824248217139</v>
      </c>
      <c r="M5" s="67">
        <v>0.42762577783846528</v>
      </c>
      <c r="N5" s="67">
        <v>0.44706331319475917</v>
      </c>
      <c r="O5" s="67">
        <v>0.46650084855105306</v>
      </c>
      <c r="P5" s="67">
        <v>0.48593838390734695</v>
      </c>
      <c r="Q5" s="67">
        <v>0.50537591926364078</v>
      </c>
      <c r="R5" s="67">
        <v>0.52481345461993467</v>
      </c>
      <c r="S5" s="67">
        <v>0.54425098997622856</v>
      </c>
      <c r="T5" s="50">
        <v>1295709.8136416026</v>
      </c>
    </row>
    <row r="6" spans="1:34" x14ac:dyDescent="0.3">
      <c r="B6" s="61" t="s">
        <v>212</v>
      </c>
      <c r="C6" s="61" t="s">
        <v>122</v>
      </c>
      <c r="D6" s="61" t="s">
        <v>231</v>
      </c>
      <c r="E6" s="67">
        <v>3.1528487621464388E-2</v>
      </c>
      <c r="F6" s="67">
        <v>4.7292731432196582E-2</v>
      </c>
      <c r="G6" s="67">
        <v>6.3056975242928776E-2</v>
      </c>
      <c r="H6" s="67">
        <v>7.8821219053660962E-2</v>
      </c>
      <c r="I6" s="67">
        <v>9.4585462864393149E-2</v>
      </c>
      <c r="J6" s="67">
        <v>0.11034970667512534</v>
      </c>
      <c r="K6" s="67">
        <v>0.12611395048585752</v>
      </c>
      <c r="L6" s="67">
        <v>0.14187819429658971</v>
      </c>
      <c r="M6" s="67">
        <v>0.1576424381073219</v>
      </c>
      <c r="N6" s="67">
        <v>0.17340668191805408</v>
      </c>
      <c r="O6" s="67">
        <v>0.18917092572878627</v>
      </c>
      <c r="P6" s="67">
        <v>0.20493516953951846</v>
      </c>
      <c r="Q6" s="67">
        <v>0.22069941335025064</v>
      </c>
      <c r="R6" s="67">
        <v>0.23646365716098283</v>
      </c>
      <c r="S6" s="67">
        <v>0.25222790097171505</v>
      </c>
      <c r="T6" s="50">
        <v>147902.94197884537</v>
      </c>
    </row>
    <row r="7" spans="1:34" x14ac:dyDescent="0.3">
      <c r="B7" s="61" t="s">
        <v>212</v>
      </c>
      <c r="C7" s="61" t="s">
        <v>200</v>
      </c>
      <c r="D7" s="61" t="s">
        <v>231</v>
      </c>
      <c r="E7" s="67">
        <v>0.18960046679379292</v>
      </c>
      <c r="F7" s="67">
        <v>0.19276047457368947</v>
      </c>
      <c r="G7" s="67">
        <v>0.19592048235358603</v>
      </c>
      <c r="H7" s="67">
        <v>0.19908049013348258</v>
      </c>
      <c r="I7" s="67">
        <v>0.20224049791337914</v>
      </c>
      <c r="J7" s="67">
        <v>0.2054005056932757</v>
      </c>
      <c r="K7" s="67">
        <v>0.20856051347317225</v>
      </c>
      <c r="L7" s="67">
        <v>0.21172052125306881</v>
      </c>
      <c r="M7" s="67">
        <v>0.21488052903296537</v>
      </c>
      <c r="N7" s="67">
        <v>0.21804053681286192</v>
      </c>
      <c r="O7" s="67">
        <v>0.22120054459275848</v>
      </c>
      <c r="P7" s="67">
        <v>0.22436055237265504</v>
      </c>
      <c r="Q7" s="67">
        <v>0.22752056015255159</v>
      </c>
      <c r="R7" s="67">
        <v>0.23068056793244815</v>
      </c>
      <c r="S7" s="67">
        <v>0.23384057571234471</v>
      </c>
      <c r="T7" s="50"/>
    </row>
    <row r="8" spans="1:34" x14ac:dyDescent="0.3">
      <c r="B8" s="61" t="s">
        <v>212</v>
      </c>
      <c r="C8" s="61" t="s">
        <v>123</v>
      </c>
      <c r="D8" s="61" t="s">
        <v>231</v>
      </c>
      <c r="E8" s="67">
        <v>3.9794928412789747E-2</v>
      </c>
      <c r="F8" s="67">
        <v>5.3059904550386332E-2</v>
      </c>
      <c r="G8" s="67">
        <v>6.6324880687982909E-2</v>
      </c>
      <c r="H8" s="67">
        <v>7.9589856825579494E-2</v>
      </c>
      <c r="I8" s="67">
        <v>9.2854832963176079E-2</v>
      </c>
      <c r="J8" s="67">
        <v>0.10611980910077266</v>
      </c>
      <c r="K8" s="67">
        <v>0.11938478523836925</v>
      </c>
      <c r="L8" s="67">
        <v>0.13264976137596582</v>
      </c>
      <c r="M8" s="67">
        <v>0.1459147375135624</v>
      </c>
      <c r="N8" s="67">
        <v>0.15917971365115899</v>
      </c>
      <c r="O8" s="67">
        <v>0.17244468978875557</v>
      </c>
      <c r="P8" s="67">
        <v>0.18570966592635216</v>
      </c>
      <c r="Q8" s="67">
        <v>0.19897464206394874</v>
      </c>
      <c r="R8" s="67">
        <v>0.21223961820154533</v>
      </c>
      <c r="S8" s="67">
        <v>0.22550459433914191</v>
      </c>
      <c r="T8" s="50">
        <v>192238.54809673462</v>
      </c>
    </row>
    <row r="9" spans="1:34" x14ac:dyDescent="0.3">
      <c r="B9" s="61" t="s">
        <v>212</v>
      </c>
      <c r="C9" s="61" t="s">
        <v>121</v>
      </c>
      <c r="D9" s="61" t="s">
        <v>232</v>
      </c>
      <c r="E9" s="67">
        <v>0.27212549498811417</v>
      </c>
      <c r="F9" s="67">
        <v>0.31100056570070189</v>
      </c>
      <c r="G9" s="67">
        <v>0.34987563641328961</v>
      </c>
      <c r="H9" s="67">
        <v>0.38875070712587734</v>
      </c>
      <c r="I9" s="67">
        <v>0.42762577783846506</v>
      </c>
      <c r="J9" s="67">
        <v>0.46650084855105278</v>
      </c>
      <c r="K9" s="67">
        <v>0.50537591926364056</v>
      </c>
      <c r="L9" s="67">
        <v>0.54425098997622834</v>
      </c>
      <c r="M9" s="67">
        <v>0.58312606068881612</v>
      </c>
      <c r="N9" s="67">
        <v>0.6220011314014039</v>
      </c>
      <c r="O9" s="67">
        <v>0.66087620211399167</v>
      </c>
      <c r="P9" s="67">
        <v>0.69975127282657945</v>
      </c>
      <c r="Q9" s="67">
        <v>0.73862634353916723</v>
      </c>
      <c r="R9" s="67">
        <v>0.77750141425175501</v>
      </c>
      <c r="S9" s="67">
        <v>0.81637648496434279</v>
      </c>
    </row>
    <row r="10" spans="1:34" x14ac:dyDescent="0.3">
      <c r="B10" s="61" t="s">
        <v>212</v>
      </c>
      <c r="C10" s="61" t="s">
        <v>122</v>
      </c>
      <c r="D10" s="61" t="s">
        <v>232</v>
      </c>
      <c r="E10" s="67">
        <v>3.1528487621464388E-2</v>
      </c>
      <c r="F10" s="67">
        <v>6.3056975242928776E-2</v>
      </c>
      <c r="G10" s="67">
        <v>9.4585462864393163E-2</v>
      </c>
      <c r="H10" s="67">
        <v>0.12611395048585755</v>
      </c>
      <c r="I10" s="67">
        <v>0.15764243810732192</v>
      </c>
      <c r="J10" s="67">
        <v>0.1891709257287863</v>
      </c>
      <c r="K10" s="67">
        <v>0.22069941335025067</v>
      </c>
      <c r="L10" s="67">
        <v>0.25222790097171505</v>
      </c>
      <c r="M10" s="67">
        <v>0.28375638859317942</v>
      </c>
      <c r="N10" s="67">
        <v>0.31528487621464379</v>
      </c>
      <c r="O10" s="67">
        <v>0.34681336383610817</v>
      </c>
      <c r="P10" s="67">
        <v>0.37834185145757254</v>
      </c>
      <c r="Q10" s="67">
        <v>0.40987033907903692</v>
      </c>
      <c r="R10" s="67">
        <v>0.44139882670050129</v>
      </c>
      <c r="S10" s="67">
        <v>0.47292731432196566</v>
      </c>
    </row>
    <row r="11" spans="1:34" x14ac:dyDescent="0.3">
      <c r="B11" s="61" t="s">
        <v>212</v>
      </c>
      <c r="C11" s="61" t="s">
        <v>200</v>
      </c>
      <c r="D11" s="61" t="s">
        <v>232</v>
      </c>
      <c r="E11" s="67">
        <v>0.18960046679379292</v>
      </c>
      <c r="F11" s="67">
        <v>0.19908049013348256</v>
      </c>
      <c r="G11" s="67">
        <v>0.2085605134731722</v>
      </c>
      <c r="H11" s="67">
        <v>0.21804053681286184</v>
      </c>
      <c r="I11" s="67">
        <v>0.22752056015255148</v>
      </c>
      <c r="J11" s="67">
        <v>0.23700058349224112</v>
      </c>
      <c r="K11" s="67">
        <v>0.24648060683193077</v>
      </c>
      <c r="L11" s="67">
        <v>0.25596063017162041</v>
      </c>
      <c r="M11" s="67">
        <v>0.26544065351131008</v>
      </c>
      <c r="N11" s="67">
        <v>0.27492067685099975</v>
      </c>
      <c r="O11" s="67">
        <v>0.28440070019068941</v>
      </c>
      <c r="P11" s="67">
        <v>0.29388072353037908</v>
      </c>
      <c r="Q11" s="67">
        <v>0.30336074687006875</v>
      </c>
      <c r="R11" s="67">
        <v>0.31284077020975842</v>
      </c>
      <c r="S11" s="67">
        <v>0.32232079354944809</v>
      </c>
    </row>
    <row r="12" spans="1:34" x14ac:dyDescent="0.3">
      <c r="B12" s="61" t="s">
        <v>212</v>
      </c>
      <c r="C12" s="61" t="s">
        <v>123</v>
      </c>
      <c r="D12" s="61" t="s">
        <v>232</v>
      </c>
      <c r="E12" s="67">
        <v>3.9794928412789747E-2</v>
      </c>
      <c r="F12" s="67">
        <v>6.6324880687982909E-2</v>
      </c>
      <c r="G12" s="67">
        <v>9.2854832963176079E-2</v>
      </c>
      <c r="H12" s="67">
        <v>0.11938478523836925</v>
      </c>
      <c r="I12" s="67">
        <v>0.1459147375135624</v>
      </c>
      <c r="J12" s="67">
        <v>0.17244468978875557</v>
      </c>
      <c r="K12" s="67">
        <v>0.19897464206394874</v>
      </c>
      <c r="L12" s="67">
        <v>0.22550459433914191</v>
      </c>
      <c r="M12" s="67">
        <v>0.25203454661433505</v>
      </c>
      <c r="N12" s="67">
        <v>0.27856449888952822</v>
      </c>
      <c r="O12" s="67">
        <v>0.30509445116472139</v>
      </c>
      <c r="P12" s="67">
        <v>0.33162440343991456</v>
      </c>
      <c r="Q12" s="67">
        <v>0.35815435571510773</v>
      </c>
      <c r="R12" s="67">
        <v>0.3846843079903009</v>
      </c>
      <c r="S12" s="67">
        <v>0.41121426026549407</v>
      </c>
    </row>
    <row r="13" spans="1:34" x14ac:dyDescent="0.3">
      <c r="B13" s="61" t="s">
        <v>219</v>
      </c>
      <c r="C13" s="61" t="s">
        <v>121</v>
      </c>
      <c r="D13" s="61" t="s">
        <v>231</v>
      </c>
      <c r="E13" s="67">
        <v>0.1</v>
      </c>
      <c r="F13" s="67">
        <v>0.10750000000000001</v>
      </c>
      <c r="G13" s="67">
        <v>0.11556250000000001</v>
      </c>
      <c r="H13" s="67">
        <v>0.12422968750000002</v>
      </c>
      <c r="I13" s="67">
        <v>0.13354691406250002</v>
      </c>
      <c r="J13" s="67">
        <v>0.14356293261718753</v>
      </c>
      <c r="K13" s="67">
        <v>0.1543301525634766</v>
      </c>
      <c r="L13" s="67">
        <v>0.16590491400573734</v>
      </c>
      <c r="M13" s="67">
        <v>0.17834778255616765</v>
      </c>
      <c r="N13" s="67">
        <v>0.19172386624788024</v>
      </c>
      <c r="O13" s="67">
        <v>0.20610315621647124</v>
      </c>
      <c r="P13" s="67">
        <v>0.22156089293270659</v>
      </c>
      <c r="Q13" s="67">
        <v>0.23817795990265958</v>
      </c>
      <c r="R13" s="67">
        <v>0.25604130689535903</v>
      </c>
      <c r="S13" s="67">
        <v>0.27524440491251095</v>
      </c>
    </row>
    <row r="14" spans="1:34" x14ac:dyDescent="0.3">
      <c r="B14" s="61" t="s">
        <v>219</v>
      </c>
      <c r="C14" s="61" t="s">
        <v>122</v>
      </c>
      <c r="D14" s="61" t="s">
        <v>231</v>
      </c>
      <c r="E14" s="67">
        <v>0.1</v>
      </c>
      <c r="F14" s="67">
        <v>0.10750000000000001</v>
      </c>
      <c r="G14" s="67">
        <v>0.11556250000000001</v>
      </c>
      <c r="H14" s="67">
        <v>0.12422968750000002</v>
      </c>
      <c r="I14" s="67">
        <v>0.13354691406250002</v>
      </c>
      <c r="J14" s="67">
        <v>0.14356293261718753</v>
      </c>
      <c r="K14" s="67">
        <v>0.1543301525634766</v>
      </c>
      <c r="L14" s="67">
        <v>0.16590491400573734</v>
      </c>
      <c r="M14" s="67">
        <v>0.17834778255616765</v>
      </c>
      <c r="N14" s="67">
        <v>0.19172386624788024</v>
      </c>
      <c r="O14" s="67">
        <v>0.20610315621647124</v>
      </c>
      <c r="P14" s="67">
        <v>0.22156089293270659</v>
      </c>
      <c r="Q14" s="67">
        <v>0.23817795990265958</v>
      </c>
      <c r="R14" s="67">
        <v>0.25604130689535903</v>
      </c>
      <c r="S14" s="67">
        <v>0.27524440491251095</v>
      </c>
    </row>
    <row r="15" spans="1:34" x14ac:dyDescent="0.3">
      <c r="B15" s="61" t="s">
        <v>219</v>
      </c>
      <c r="C15" s="61" t="s">
        <v>200</v>
      </c>
      <c r="D15" s="61" t="s">
        <v>231</v>
      </c>
      <c r="E15" s="67">
        <v>0</v>
      </c>
      <c r="F15" s="67">
        <v>0</v>
      </c>
      <c r="G15" s="67">
        <v>0</v>
      </c>
      <c r="H15" s="67">
        <v>0</v>
      </c>
      <c r="I15" s="67">
        <v>0</v>
      </c>
      <c r="J15" s="67">
        <v>0</v>
      </c>
      <c r="K15" s="67">
        <v>0</v>
      </c>
      <c r="L15" s="67">
        <v>0</v>
      </c>
      <c r="M15" s="67">
        <v>0</v>
      </c>
      <c r="N15" s="67">
        <v>0</v>
      </c>
      <c r="O15" s="67">
        <v>0</v>
      </c>
      <c r="P15" s="67">
        <v>0</v>
      </c>
      <c r="Q15" s="67">
        <v>0</v>
      </c>
      <c r="R15" s="67">
        <v>0</v>
      </c>
      <c r="S15" s="67">
        <v>0</v>
      </c>
    </row>
    <row r="16" spans="1:34" x14ac:dyDescent="0.3">
      <c r="B16" s="61" t="s">
        <v>219</v>
      </c>
      <c r="C16" s="61" t="s">
        <v>123</v>
      </c>
      <c r="D16" s="61" t="s">
        <v>231</v>
      </c>
      <c r="E16" s="67">
        <v>0.1</v>
      </c>
      <c r="F16" s="67">
        <v>0.10750000000000001</v>
      </c>
      <c r="G16" s="67">
        <v>0.11556250000000001</v>
      </c>
      <c r="H16" s="67">
        <v>0.12422968750000002</v>
      </c>
      <c r="I16" s="67">
        <v>0.13354691406250002</v>
      </c>
      <c r="J16" s="67">
        <v>0.14356293261718753</v>
      </c>
      <c r="K16" s="67">
        <v>0.1543301525634766</v>
      </c>
      <c r="L16" s="67">
        <v>0.16590491400573734</v>
      </c>
      <c r="M16" s="67">
        <v>0.17834778255616765</v>
      </c>
      <c r="N16" s="67">
        <v>0.19172386624788024</v>
      </c>
      <c r="O16" s="67">
        <v>0.20610315621647124</v>
      </c>
      <c r="P16" s="67">
        <v>0.22156089293270659</v>
      </c>
      <c r="Q16" s="67">
        <v>0.23817795990265958</v>
      </c>
      <c r="R16" s="67">
        <v>0.25604130689535903</v>
      </c>
      <c r="S16" s="67">
        <v>0.27524440491251095</v>
      </c>
    </row>
    <row r="17" spans="2:19" x14ac:dyDescent="0.3">
      <c r="B17" s="61" t="s">
        <v>219</v>
      </c>
      <c r="C17" s="61" t="s">
        <v>121</v>
      </c>
      <c r="D17" s="61" t="s">
        <v>232</v>
      </c>
      <c r="E17" s="67">
        <v>0.1</v>
      </c>
      <c r="F17" s="67">
        <v>0.115</v>
      </c>
      <c r="G17" s="67">
        <v>0.13225000000000001</v>
      </c>
      <c r="H17" s="67">
        <v>0.15208750000000001</v>
      </c>
      <c r="I17" s="67">
        <v>0.174900625</v>
      </c>
      <c r="J17" s="67">
        <v>0.20113571875</v>
      </c>
      <c r="K17" s="67">
        <v>0.23130607656249999</v>
      </c>
      <c r="L17" s="67">
        <v>0.26600198804687497</v>
      </c>
      <c r="M17" s="67">
        <v>0.3059022862539062</v>
      </c>
      <c r="N17" s="67">
        <v>0.35178762919199213</v>
      </c>
      <c r="O17" s="67">
        <v>0.40455577357079098</v>
      </c>
      <c r="P17" s="67">
        <v>0.46523913960640961</v>
      </c>
      <c r="Q17" s="67">
        <v>0.53502501054737106</v>
      </c>
      <c r="R17" s="67">
        <v>0.61527876212947674</v>
      </c>
      <c r="S17" s="67">
        <v>0.7075705764488982</v>
      </c>
    </row>
    <row r="18" spans="2:19" x14ac:dyDescent="0.3">
      <c r="B18" s="61" t="s">
        <v>219</v>
      </c>
      <c r="C18" s="61" t="s">
        <v>122</v>
      </c>
      <c r="D18" s="61" t="s">
        <v>232</v>
      </c>
      <c r="E18" s="67">
        <v>0.1</v>
      </c>
      <c r="F18" s="67">
        <v>0.115</v>
      </c>
      <c r="G18" s="67">
        <v>0.13225000000000001</v>
      </c>
      <c r="H18" s="67">
        <v>0.15208750000000001</v>
      </c>
      <c r="I18" s="67">
        <v>0.174900625</v>
      </c>
      <c r="J18" s="67">
        <v>0.20113571875</v>
      </c>
      <c r="K18" s="67">
        <v>0.23130607656249999</v>
      </c>
      <c r="L18" s="67">
        <v>0.26600198804687497</v>
      </c>
      <c r="M18" s="67">
        <v>0.3059022862539062</v>
      </c>
      <c r="N18" s="67">
        <v>0.35178762919199213</v>
      </c>
      <c r="O18" s="67">
        <v>0.40455577357079098</v>
      </c>
      <c r="P18" s="67">
        <v>0.46523913960640961</v>
      </c>
      <c r="Q18" s="67">
        <v>0.53502501054737106</v>
      </c>
      <c r="R18" s="67">
        <v>0.61527876212947674</v>
      </c>
      <c r="S18" s="67">
        <v>0.7075705764488982</v>
      </c>
    </row>
    <row r="19" spans="2:19" x14ac:dyDescent="0.3">
      <c r="B19" s="61" t="s">
        <v>219</v>
      </c>
      <c r="C19" s="61" t="s">
        <v>200</v>
      </c>
      <c r="D19" s="61" t="s">
        <v>232</v>
      </c>
      <c r="E19" s="67">
        <v>0</v>
      </c>
      <c r="F19" s="67">
        <v>0</v>
      </c>
      <c r="G19" s="67">
        <v>0</v>
      </c>
      <c r="H19" s="67">
        <v>0</v>
      </c>
      <c r="I19" s="67">
        <v>0</v>
      </c>
      <c r="J19" s="67">
        <v>0</v>
      </c>
      <c r="K19" s="67">
        <v>0</v>
      </c>
      <c r="L19" s="67">
        <v>0</v>
      </c>
      <c r="M19" s="67">
        <v>0</v>
      </c>
      <c r="N19" s="67">
        <v>0</v>
      </c>
      <c r="O19" s="67">
        <v>0</v>
      </c>
      <c r="P19" s="67">
        <v>0</v>
      </c>
      <c r="Q19" s="67">
        <v>0</v>
      </c>
      <c r="R19" s="67">
        <v>0</v>
      </c>
      <c r="S19" s="67">
        <v>0</v>
      </c>
    </row>
    <row r="20" spans="2:19" x14ac:dyDescent="0.3">
      <c r="B20" s="61" t="s">
        <v>219</v>
      </c>
      <c r="C20" s="61" t="s">
        <v>123</v>
      </c>
      <c r="D20" s="61" t="s">
        <v>232</v>
      </c>
      <c r="E20" s="67">
        <v>0.1</v>
      </c>
      <c r="F20" s="67">
        <v>0.115</v>
      </c>
      <c r="G20" s="67">
        <v>0.13225000000000001</v>
      </c>
      <c r="H20" s="67">
        <v>0.15208750000000001</v>
      </c>
      <c r="I20" s="67">
        <v>0.174900625</v>
      </c>
      <c r="J20" s="67">
        <v>0.20113571875</v>
      </c>
      <c r="K20" s="67">
        <v>0.23130607656249999</v>
      </c>
      <c r="L20" s="67">
        <v>0.26600198804687497</v>
      </c>
      <c r="M20" s="67">
        <v>0.3059022862539062</v>
      </c>
      <c r="N20" s="67">
        <v>0.35178762919199213</v>
      </c>
      <c r="O20" s="67">
        <v>0.40455577357079098</v>
      </c>
      <c r="P20" s="67">
        <v>0.46523913960640961</v>
      </c>
      <c r="Q20" s="67">
        <v>0.53502501054737106</v>
      </c>
      <c r="R20" s="67">
        <v>0.61527876212947674</v>
      </c>
      <c r="S20" s="67">
        <v>0.7075705764488982</v>
      </c>
    </row>
    <row r="21" spans="2:19" x14ac:dyDescent="0.3">
      <c r="B21" s="61" t="s">
        <v>220</v>
      </c>
      <c r="C21" s="61" t="s">
        <v>121</v>
      </c>
      <c r="D21" s="61" t="s">
        <v>231</v>
      </c>
      <c r="E21" s="67">
        <v>0.04</v>
      </c>
      <c r="F21" s="67">
        <v>4.3000000000000003E-2</v>
      </c>
      <c r="G21" s="67">
        <v>4.6225000000000002E-2</v>
      </c>
      <c r="H21" s="67">
        <v>4.9691875000000003E-2</v>
      </c>
      <c r="I21" s="67">
        <v>5.3418765625000003E-2</v>
      </c>
      <c r="J21" s="67">
        <v>5.7425173046875E-2</v>
      </c>
      <c r="K21" s="67">
        <v>6.1732061025390625E-2</v>
      </c>
      <c r="L21" s="67">
        <v>6.6361965602294917E-2</v>
      </c>
      <c r="M21" s="67">
        <v>7.1339113022467038E-2</v>
      </c>
      <c r="N21" s="67">
        <v>7.6689546499152064E-2</v>
      </c>
      <c r="O21" s="67">
        <v>8.2441262486588465E-2</v>
      </c>
      <c r="P21" s="67">
        <v>8.8624357173082605E-2</v>
      </c>
      <c r="Q21" s="67">
        <v>9.5271183961063793E-2</v>
      </c>
      <c r="R21" s="67">
        <v>0.10241652275814357</v>
      </c>
      <c r="S21" s="67">
        <v>0.11009776196500434</v>
      </c>
    </row>
    <row r="22" spans="2:19" x14ac:dyDescent="0.3">
      <c r="B22" s="61" t="s">
        <v>220</v>
      </c>
      <c r="C22" s="61" t="s">
        <v>122</v>
      </c>
      <c r="D22" s="61" t="s">
        <v>231</v>
      </c>
      <c r="E22" s="67">
        <v>0.04</v>
      </c>
      <c r="F22" s="67">
        <v>4.3000000000000003E-2</v>
      </c>
      <c r="G22" s="67">
        <v>4.6225000000000002E-2</v>
      </c>
      <c r="H22" s="67">
        <v>4.9691875000000003E-2</v>
      </c>
      <c r="I22" s="67">
        <v>5.3418765625000003E-2</v>
      </c>
      <c r="J22" s="67">
        <v>5.7425173046875E-2</v>
      </c>
      <c r="K22" s="67">
        <v>6.1732061025390625E-2</v>
      </c>
      <c r="L22" s="67">
        <v>6.6361965602294917E-2</v>
      </c>
      <c r="M22" s="67">
        <v>7.1339113022467038E-2</v>
      </c>
      <c r="N22" s="67">
        <v>7.6689546499152064E-2</v>
      </c>
      <c r="O22" s="67">
        <v>8.2441262486588465E-2</v>
      </c>
      <c r="P22" s="67">
        <v>8.8624357173082605E-2</v>
      </c>
      <c r="Q22" s="67">
        <v>9.5271183961063793E-2</v>
      </c>
      <c r="R22" s="67">
        <v>0.10241652275814357</v>
      </c>
      <c r="S22" s="67">
        <v>0.11009776196500434</v>
      </c>
    </row>
    <row r="23" spans="2:19" x14ac:dyDescent="0.3">
      <c r="B23" s="61" t="s">
        <v>220</v>
      </c>
      <c r="C23" s="61" t="s">
        <v>200</v>
      </c>
      <c r="D23" s="61" t="s">
        <v>231</v>
      </c>
      <c r="E23" s="67">
        <v>0</v>
      </c>
      <c r="F23" s="67">
        <v>0</v>
      </c>
      <c r="G23" s="67">
        <v>0</v>
      </c>
      <c r="H23" s="67">
        <v>0</v>
      </c>
      <c r="I23" s="67">
        <v>0</v>
      </c>
      <c r="J23" s="67">
        <v>0</v>
      </c>
      <c r="K23" s="67">
        <v>0</v>
      </c>
      <c r="L23" s="67">
        <v>0</v>
      </c>
      <c r="M23" s="67">
        <v>0</v>
      </c>
      <c r="N23" s="67">
        <v>0</v>
      </c>
      <c r="O23" s="67">
        <v>0</v>
      </c>
      <c r="P23" s="67">
        <v>0</v>
      </c>
      <c r="Q23" s="67">
        <v>0</v>
      </c>
      <c r="R23" s="67">
        <v>0</v>
      </c>
      <c r="S23" s="67">
        <v>0</v>
      </c>
    </row>
    <row r="24" spans="2:19" x14ac:dyDescent="0.3">
      <c r="B24" s="61" t="s">
        <v>220</v>
      </c>
      <c r="C24" s="61" t="s">
        <v>123</v>
      </c>
      <c r="D24" s="61" t="s">
        <v>231</v>
      </c>
      <c r="E24" s="67">
        <v>0.04</v>
      </c>
      <c r="F24" s="67">
        <v>4.3000000000000003E-2</v>
      </c>
      <c r="G24" s="67">
        <v>4.6225000000000002E-2</v>
      </c>
      <c r="H24" s="67">
        <v>4.9691875000000003E-2</v>
      </c>
      <c r="I24" s="67">
        <v>5.3418765625000003E-2</v>
      </c>
      <c r="J24" s="67">
        <v>5.7425173046875E-2</v>
      </c>
      <c r="K24" s="67">
        <v>6.1732061025390625E-2</v>
      </c>
      <c r="L24" s="67">
        <v>6.6361965602294917E-2</v>
      </c>
      <c r="M24" s="67">
        <v>7.1339113022467038E-2</v>
      </c>
      <c r="N24" s="67">
        <v>7.6689546499152064E-2</v>
      </c>
      <c r="O24" s="67">
        <v>8.2441262486588465E-2</v>
      </c>
      <c r="P24" s="67">
        <v>8.8624357173082605E-2</v>
      </c>
      <c r="Q24" s="67">
        <v>9.5271183961063793E-2</v>
      </c>
      <c r="R24" s="67">
        <v>0.10241652275814357</v>
      </c>
      <c r="S24" s="67">
        <v>0.11009776196500434</v>
      </c>
    </row>
    <row r="25" spans="2:19" x14ac:dyDescent="0.3">
      <c r="B25" s="61" t="s">
        <v>220</v>
      </c>
      <c r="C25" s="61" t="s">
        <v>121</v>
      </c>
      <c r="D25" s="61" t="s">
        <v>232</v>
      </c>
      <c r="E25" s="67">
        <v>0.04</v>
      </c>
      <c r="F25" s="67">
        <v>4.5999999999999999E-2</v>
      </c>
      <c r="G25" s="67">
        <v>5.2900000000000003E-2</v>
      </c>
      <c r="H25" s="67">
        <v>6.0835E-2</v>
      </c>
      <c r="I25" s="67">
        <v>6.9960250000000002E-2</v>
      </c>
      <c r="J25" s="67">
        <v>8.0454287499999999E-2</v>
      </c>
      <c r="K25" s="67">
        <v>9.2522430624999999E-2</v>
      </c>
      <c r="L25" s="67">
        <v>0.10640079521875</v>
      </c>
      <c r="M25" s="67">
        <v>0.1223609145015625</v>
      </c>
      <c r="N25" s="67">
        <v>0.14071505167679688</v>
      </c>
      <c r="O25" s="67">
        <v>0.16182230942831641</v>
      </c>
      <c r="P25" s="67">
        <v>0.18609565584256388</v>
      </c>
      <c r="Q25" s="67">
        <v>0.21401000421894845</v>
      </c>
      <c r="R25" s="67">
        <v>0.2461115048517907</v>
      </c>
      <c r="S25" s="67">
        <v>0.28302823057955928</v>
      </c>
    </row>
    <row r="26" spans="2:19" x14ac:dyDescent="0.3">
      <c r="B26" s="61" t="s">
        <v>220</v>
      </c>
      <c r="C26" s="61" t="s">
        <v>122</v>
      </c>
      <c r="D26" s="61" t="s">
        <v>232</v>
      </c>
      <c r="E26" s="67">
        <v>0.04</v>
      </c>
      <c r="F26" s="67">
        <v>4.5999999999999999E-2</v>
      </c>
      <c r="G26" s="67">
        <v>5.2900000000000003E-2</v>
      </c>
      <c r="H26" s="67">
        <v>6.0835E-2</v>
      </c>
      <c r="I26" s="67">
        <v>6.9960250000000002E-2</v>
      </c>
      <c r="J26" s="67">
        <v>8.0454287499999999E-2</v>
      </c>
      <c r="K26" s="67">
        <v>9.2522430624999999E-2</v>
      </c>
      <c r="L26" s="67">
        <v>0.10640079521875</v>
      </c>
      <c r="M26" s="67">
        <v>0.1223609145015625</v>
      </c>
      <c r="N26" s="67">
        <v>0.14071505167679688</v>
      </c>
      <c r="O26" s="67">
        <v>0.16182230942831641</v>
      </c>
      <c r="P26" s="67">
        <v>0.18609565584256388</v>
      </c>
      <c r="Q26" s="67">
        <v>0.21401000421894845</v>
      </c>
      <c r="R26" s="67">
        <v>0.2461115048517907</v>
      </c>
      <c r="S26" s="67">
        <v>0.28302823057955928</v>
      </c>
    </row>
    <row r="27" spans="2:19" x14ac:dyDescent="0.3">
      <c r="B27" s="61" t="s">
        <v>220</v>
      </c>
      <c r="C27" s="61" t="s">
        <v>200</v>
      </c>
      <c r="D27" s="61" t="s">
        <v>232</v>
      </c>
      <c r="E27" s="67">
        <v>0</v>
      </c>
      <c r="F27" s="67">
        <v>0</v>
      </c>
      <c r="G27" s="67">
        <v>0</v>
      </c>
      <c r="H27" s="67">
        <v>0</v>
      </c>
      <c r="I27" s="67">
        <v>0</v>
      </c>
      <c r="J27" s="67">
        <v>0</v>
      </c>
      <c r="K27" s="67">
        <v>0</v>
      </c>
      <c r="L27" s="67">
        <v>0</v>
      </c>
      <c r="M27" s="67">
        <v>0</v>
      </c>
      <c r="N27" s="67">
        <v>0</v>
      </c>
      <c r="O27" s="67">
        <v>0</v>
      </c>
      <c r="P27" s="67">
        <v>0</v>
      </c>
      <c r="Q27" s="67">
        <v>0</v>
      </c>
      <c r="R27" s="67">
        <v>0</v>
      </c>
      <c r="S27" s="67">
        <v>0</v>
      </c>
    </row>
    <row r="28" spans="2:19" x14ac:dyDescent="0.3">
      <c r="B28" s="61" t="s">
        <v>220</v>
      </c>
      <c r="C28" s="61" t="s">
        <v>123</v>
      </c>
      <c r="D28" s="61" t="s">
        <v>232</v>
      </c>
      <c r="E28" s="67">
        <v>0.04</v>
      </c>
      <c r="F28" s="67">
        <v>4.5999999999999999E-2</v>
      </c>
      <c r="G28" s="67">
        <v>5.2900000000000003E-2</v>
      </c>
      <c r="H28" s="67">
        <v>6.0835E-2</v>
      </c>
      <c r="I28" s="67">
        <v>6.9960250000000002E-2</v>
      </c>
      <c r="J28" s="67">
        <v>8.0454287499999999E-2</v>
      </c>
      <c r="K28" s="67">
        <v>9.2522430624999999E-2</v>
      </c>
      <c r="L28" s="67">
        <v>0.10640079521875</v>
      </c>
      <c r="M28" s="67">
        <v>0.1223609145015625</v>
      </c>
      <c r="N28" s="67">
        <v>0.14071505167679688</v>
      </c>
      <c r="O28" s="67">
        <v>0.16182230942831641</v>
      </c>
      <c r="P28" s="67">
        <v>0.18609565584256388</v>
      </c>
      <c r="Q28" s="67">
        <v>0.21401000421894845</v>
      </c>
      <c r="R28" s="67">
        <v>0.2461115048517907</v>
      </c>
      <c r="S28" s="67">
        <v>0.28302823057955928</v>
      </c>
    </row>
    <row r="29" spans="2:19" x14ac:dyDescent="0.3">
      <c r="B29" s="61" t="s">
        <v>221</v>
      </c>
      <c r="C29" s="61" t="s">
        <v>121</v>
      </c>
      <c r="D29" s="61" t="s">
        <v>231</v>
      </c>
      <c r="E29" s="67">
        <v>0</v>
      </c>
      <c r="F29" s="67">
        <v>0</v>
      </c>
      <c r="G29" s="67">
        <v>0</v>
      </c>
      <c r="H29" s="67">
        <v>1.2701622202669914E-4</v>
      </c>
      <c r="I29" s="67">
        <v>1.2701622202669914E-4</v>
      </c>
      <c r="J29" s="67">
        <v>1.2701622202669914E-4</v>
      </c>
      <c r="K29" s="67">
        <v>1.2701622202669914E-4</v>
      </c>
      <c r="L29" s="67">
        <v>1.2701622202669914E-4</v>
      </c>
      <c r="M29" s="67">
        <v>1.2701622202669914E-4</v>
      </c>
      <c r="N29" s="67">
        <v>1.2701622202669914E-4</v>
      </c>
      <c r="O29" s="67">
        <v>1.2701622202669914E-4</v>
      </c>
      <c r="P29" s="67">
        <v>1.2701622202669914E-4</v>
      </c>
      <c r="Q29" s="67">
        <v>1.2701622202669914E-4</v>
      </c>
      <c r="R29" s="67">
        <v>1.2701622202669914E-4</v>
      </c>
      <c r="S29" s="67">
        <v>1.2701622202669914E-4</v>
      </c>
    </row>
    <row r="30" spans="2:19" x14ac:dyDescent="0.3">
      <c r="B30" s="61" t="s">
        <v>221</v>
      </c>
      <c r="C30" s="61" t="s">
        <v>122</v>
      </c>
      <c r="D30" s="61" t="s">
        <v>231</v>
      </c>
      <c r="E30" s="67">
        <v>0</v>
      </c>
      <c r="F30" s="67">
        <v>0</v>
      </c>
      <c r="G30" s="67">
        <v>0</v>
      </c>
      <c r="H30" s="67">
        <v>1.5002726910605204E-4</v>
      </c>
      <c r="I30" s="67">
        <v>1.5002726910605204E-4</v>
      </c>
      <c r="J30" s="67">
        <v>1.5002726910605204E-4</v>
      </c>
      <c r="K30" s="67">
        <v>1.5002726910605204E-4</v>
      </c>
      <c r="L30" s="67">
        <v>1.5002726910605204E-4</v>
      </c>
      <c r="M30" s="67">
        <v>1.5002726910605204E-4</v>
      </c>
      <c r="N30" s="67">
        <v>1.5002726910605204E-4</v>
      </c>
      <c r="O30" s="67">
        <v>1.5002726910605204E-4</v>
      </c>
      <c r="P30" s="67">
        <v>1.5002726910605204E-4</v>
      </c>
      <c r="Q30" s="67">
        <v>1.5002726910605204E-4</v>
      </c>
      <c r="R30" s="67">
        <v>1.5002726910605204E-4</v>
      </c>
      <c r="S30" s="67">
        <v>1.5002726910605204E-4</v>
      </c>
    </row>
    <row r="31" spans="2:19" x14ac:dyDescent="0.3">
      <c r="B31" s="61" t="s">
        <v>221</v>
      </c>
      <c r="C31" s="61" t="s">
        <v>200</v>
      </c>
      <c r="D31" s="61" t="s">
        <v>231</v>
      </c>
      <c r="E31" s="67">
        <v>0</v>
      </c>
      <c r="F31" s="67">
        <v>0</v>
      </c>
      <c r="G31" s="67">
        <v>0</v>
      </c>
      <c r="H31" s="67">
        <v>1.0734337642768531E-4</v>
      </c>
      <c r="I31" s="67">
        <v>1.0734337642768531E-4</v>
      </c>
      <c r="J31" s="67">
        <v>1.0734337642768531E-4</v>
      </c>
      <c r="K31" s="67">
        <v>1.0734337642768531E-4</v>
      </c>
      <c r="L31" s="67">
        <v>1.0734337642768531E-4</v>
      </c>
      <c r="M31" s="67">
        <v>1.0734337642768531E-4</v>
      </c>
      <c r="N31" s="67">
        <v>1.0734337642768531E-4</v>
      </c>
      <c r="O31" s="67">
        <v>1.0734337642768531E-4</v>
      </c>
      <c r="P31" s="67">
        <v>1.0734337642768531E-4</v>
      </c>
      <c r="Q31" s="67">
        <v>1.0734337642768531E-4</v>
      </c>
      <c r="R31" s="67">
        <v>1.0734337642768531E-4</v>
      </c>
      <c r="S31" s="67">
        <v>1.0734337642768531E-4</v>
      </c>
    </row>
    <row r="32" spans="2:19" x14ac:dyDescent="0.3">
      <c r="B32" s="61" t="s">
        <v>221</v>
      </c>
      <c r="C32" s="61" t="s">
        <v>123</v>
      </c>
      <c r="D32" s="61" t="s">
        <v>231</v>
      </c>
      <c r="E32" s="67">
        <v>0</v>
      </c>
      <c r="F32" s="67">
        <v>0</v>
      </c>
      <c r="G32" s="67">
        <v>0</v>
      </c>
      <c r="H32" s="67">
        <v>5.2718237165241821E-4</v>
      </c>
      <c r="I32" s="67">
        <v>5.2718237165241821E-4</v>
      </c>
      <c r="J32" s="67">
        <v>5.2718237165241821E-4</v>
      </c>
      <c r="K32" s="67">
        <v>5.2718237165241821E-4</v>
      </c>
      <c r="L32" s="67">
        <v>5.2718237165241821E-4</v>
      </c>
      <c r="M32" s="67">
        <v>5.2718237165241821E-4</v>
      </c>
      <c r="N32" s="67">
        <v>5.2718237165241821E-4</v>
      </c>
      <c r="O32" s="67">
        <v>5.2718237165241821E-4</v>
      </c>
      <c r="P32" s="67">
        <v>5.2718237165241821E-4</v>
      </c>
      <c r="Q32" s="67">
        <v>5.2718237165241821E-4</v>
      </c>
      <c r="R32" s="67">
        <v>5.2718237165241821E-4</v>
      </c>
      <c r="S32" s="67">
        <v>5.2718237165241821E-4</v>
      </c>
    </row>
    <row r="33" spans="2:19" x14ac:dyDescent="0.3">
      <c r="B33" s="61" t="s">
        <v>221</v>
      </c>
      <c r="C33" s="61" t="s">
        <v>121</v>
      </c>
      <c r="D33" s="61" t="s">
        <v>232</v>
      </c>
      <c r="E33" s="67">
        <v>0</v>
      </c>
      <c r="F33" s="67">
        <v>0</v>
      </c>
      <c r="G33" s="67">
        <v>0</v>
      </c>
      <c r="H33" s="67">
        <v>2.5403244405339828E-4</v>
      </c>
      <c r="I33" s="67">
        <v>2.5403244405339828E-4</v>
      </c>
      <c r="J33" s="67">
        <v>2.5403244405339828E-4</v>
      </c>
      <c r="K33" s="67">
        <v>6.3508111013349565E-4</v>
      </c>
      <c r="L33" s="67">
        <v>6.3508111013349565E-4</v>
      </c>
      <c r="M33" s="67">
        <v>6.3508111013349565E-4</v>
      </c>
      <c r="N33" s="67">
        <v>6.3508111013349565E-4</v>
      </c>
      <c r="O33" s="67">
        <v>6.3508111013349565E-4</v>
      </c>
      <c r="P33" s="67">
        <v>6.3508111013349565E-4</v>
      </c>
      <c r="Q33" s="67">
        <v>6.3508111013349565E-4</v>
      </c>
      <c r="R33" s="67">
        <v>6.3508111013349565E-4</v>
      </c>
      <c r="S33" s="67">
        <v>6.3508111013349565E-4</v>
      </c>
    </row>
    <row r="34" spans="2:19" x14ac:dyDescent="0.3">
      <c r="B34" s="61" t="s">
        <v>221</v>
      </c>
      <c r="C34" s="61" t="s">
        <v>122</v>
      </c>
      <c r="D34" s="61" t="s">
        <v>232</v>
      </c>
      <c r="E34" s="67">
        <v>0</v>
      </c>
      <c r="F34" s="67">
        <v>0</v>
      </c>
      <c r="G34" s="67">
        <v>0</v>
      </c>
      <c r="H34" s="67">
        <v>3.0005453821210407E-4</v>
      </c>
      <c r="I34" s="67">
        <v>3.0005453821210407E-4</v>
      </c>
      <c r="J34" s="67">
        <v>3.0005453821210407E-4</v>
      </c>
      <c r="K34" s="67">
        <v>7.501363455302601E-4</v>
      </c>
      <c r="L34" s="67">
        <v>7.501363455302601E-4</v>
      </c>
      <c r="M34" s="67">
        <v>7.501363455302601E-4</v>
      </c>
      <c r="N34" s="67">
        <v>7.501363455302601E-4</v>
      </c>
      <c r="O34" s="67">
        <v>7.501363455302601E-4</v>
      </c>
      <c r="P34" s="67">
        <v>7.501363455302601E-4</v>
      </c>
      <c r="Q34" s="67">
        <v>7.501363455302601E-4</v>
      </c>
      <c r="R34" s="67">
        <v>7.501363455302601E-4</v>
      </c>
      <c r="S34" s="67">
        <v>7.501363455302601E-4</v>
      </c>
    </row>
    <row r="35" spans="2:19" x14ac:dyDescent="0.3">
      <c r="B35" s="61" t="s">
        <v>221</v>
      </c>
      <c r="C35" s="61" t="s">
        <v>200</v>
      </c>
      <c r="D35" s="61" t="s">
        <v>232</v>
      </c>
      <c r="E35" s="67">
        <v>0</v>
      </c>
      <c r="F35" s="67">
        <v>0</v>
      </c>
      <c r="G35" s="67">
        <v>0</v>
      </c>
      <c r="H35" s="67">
        <v>2.1468675285537061E-4</v>
      </c>
      <c r="I35" s="67">
        <v>2.1468675285537061E-4</v>
      </c>
      <c r="J35" s="67">
        <v>2.1468675285537061E-4</v>
      </c>
      <c r="K35" s="67">
        <v>5.3671688213842656E-4</v>
      </c>
      <c r="L35" s="67">
        <v>5.3671688213842656E-4</v>
      </c>
      <c r="M35" s="67">
        <v>5.3671688213842656E-4</v>
      </c>
      <c r="N35" s="67">
        <v>5.3671688213842656E-4</v>
      </c>
      <c r="O35" s="67">
        <v>5.3671688213842656E-4</v>
      </c>
      <c r="P35" s="67">
        <v>5.3671688213842656E-4</v>
      </c>
      <c r="Q35" s="67">
        <v>5.3671688213842656E-4</v>
      </c>
      <c r="R35" s="67">
        <v>5.3671688213842656E-4</v>
      </c>
      <c r="S35" s="67">
        <v>5.3671688213842656E-4</v>
      </c>
    </row>
    <row r="36" spans="2:19" x14ac:dyDescent="0.3">
      <c r="B36" s="61" t="s">
        <v>221</v>
      </c>
      <c r="C36" s="61" t="s">
        <v>123</v>
      </c>
      <c r="D36" s="61" t="s">
        <v>232</v>
      </c>
      <c r="E36" s="67">
        <v>0</v>
      </c>
      <c r="F36" s="67">
        <v>0</v>
      </c>
      <c r="G36" s="67">
        <v>0</v>
      </c>
      <c r="H36" s="67">
        <v>1.0543647433048364E-3</v>
      </c>
      <c r="I36" s="67">
        <v>1.0543647433048364E-3</v>
      </c>
      <c r="J36" s="67">
        <v>1.0543647433048364E-3</v>
      </c>
      <c r="K36" s="67">
        <v>2.6359118582620911E-3</v>
      </c>
      <c r="L36" s="67">
        <v>2.6359118582620911E-3</v>
      </c>
      <c r="M36" s="67">
        <v>2.6359118582620911E-3</v>
      </c>
      <c r="N36" s="67">
        <v>2.6359118582620911E-3</v>
      </c>
      <c r="O36" s="67">
        <v>2.6359118582620911E-3</v>
      </c>
      <c r="P36" s="67">
        <v>2.6359118582620911E-3</v>
      </c>
      <c r="Q36" s="67">
        <v>2.6359118582620911E-3</v>
      </c>
      <c r="R36" s="67">
        <v>2.6359118582620911E-3</v>
      </c>
      <c r="S36" s="67">
        <v>2.6359118582620911E-3</v>
      </c>
    </row>
    <row r="37" spans="2:19" x14ac:dyDescent="0.3">
      <c r="B37" s="61" t="s">
        <v>222</v>
      </c>
      <c r="C37" s="61" t="s">
        <v>121</v>
      </c>
      <c r="D37" s="61" t="s">
        <v>231</v>
      </c>
      <c r="E37" s="67">
        <v>0</v>
      </c>
      <c r="F37" s="67">
        <v>0</v>
      </c>
      <c r="G37" s="67">
        <v>0</v>
      </c>
      <c r="H37" s="67">
        <v>1.4287507259001164E-3</v>
      </c>
      <c r="I37" s="67">
        <v>1.4287507259001164E-3</v>
      </c>
      <c r="J37" s="67">
        <v>1.4287507259001164E-3</v>
      </c>
      <c r="K37" s="67">
        <v>2.1431260888501746E-3</v>
      </c>
      <c r="L37" s="67">
        <v>2.1431260888501746E-3</v>
      </c>
      <c r="M37" s="67">
        <v>2.1431260888501746E-3</v>
      </c>
      <c r="N37" s="67">
        <v>2.8575014518002328E-3</v>
      </c>
      <c r="O37" s="67">
        <v>2.8575014518002328E-3</v>
      </c>
      <c r="P37" s="67">
        <v>2.8575014518002328E-3</v>
      </c>
      <c r="Q37" s="67">
        <v>3.571876814750291E-3</v>
      </c>
      <c r="R37" s="67">
        <v>3.571876814750291E-3</v>
      </c>
      <c r="S37" s="67">
        <v>3.571876814750291E-3</v>
      </c>
    </row>
    <row r="38" spans="2:19" x14ac:dyDescent="0.3">
      <c r="B38" s="61" t="s">
        <v>222</v>
      </c>
      <c r="C38" s="61" t="s">
        <v>122</v>
      </c>
      <c r="D38" s="61" t="s">
        <v>231</v>
      </c>
      <c r="E38" s="67">
        <v>0</v>
      </c>
      <c r="F38" s="67">
        <v>0</v>
      </c>
      <c r="G38" s="67">
        <v>0</v>
      </c>
      <c r="H38" s="67">
        <v>1.4287507259001164E-3</v>
      </c>
      <c r="I38" s="67">
        <v>1.4287507259001164E-3</v>
      </c>
      <c r="J38" s="67">
        <v>1.4287507259001164E-3</v>
      </c>
      <c r="K38" s="67">
        <v>2.1431260888501746E-3</v>
      </c>
      <c r="L38" s="67">
        <v>2.1431260888501746E-3</v>
      </c>
      <c r="M38" s="67">
        <v>2.1431260888501746E-3</v>
      </c>
      <c r="N38" s="67">
        <v>2.8575014518002328E-3</v>
      </c>
      <c r="O38" s="67">
        <v>2.8575014518002328E-3</v>
      </c>
      <c r="P38" s="67">
        <v>2.8575014518002328E-3</v>
      </c>
      <c r="Q38" s="67">
        <v>3.571876814750291E-3</v>
      </c>
      <c r="R38" s="67">
        <v>3.571876814750291E-3</v>
      </c>
      <c r="S38" s="67">
        <v>3.571876814750291E-3</v>
      </c>
    </row>
    <row r="39" spans="2:19" x14ac:dyDescent="0.3">
      <c r="B39" s="61" t="s">
        <v>222</v>
      </c>
      <c r="C39" s="61" t="s">
        <v>200</v>
      </c>
      <c r="D39" s="61" t="s">
        <v>231</v>
      </c>
      <c r="E39" s="67">
        <v>0</v>
      </c>
      <c r="F39" s="67">
        <v>0</v>
      </c>
      <c r="G39" s="67">
        <v>0</v>
      </c>
      <c r="H39" s="67">
        <v>1.4287507259001164E-3</v>
      </c>
      <c r="I39" s="67">
        <v>1.4287507259001164E-3</v>
      </c>
      <c r="J39" s="67">
        <v>1.4287507259001164E-3</v>
      </c>
      <c r="K39" s="67">
        <v>2.1431260888501746E-3</v>
      </c>
      <c r="L39" s="67">
        <v>2.1431260888501746E-3</v>
      </c>
      <c r="M39" s="67">
        <v>2.1431260888501746E-3</v>
      </c>
      <c r="N39" s="67">
        <v>2.8575014518002328E-3</v>
      </c>
      <c r="O39" s="67">
        <v>2.8575014518002328E-3</v>
      </c>
      <c r="P39" s="67">
        <v>2.8575014518002328E-3</v>
      </c>
      <c r="Q39" s="67">
        <v>3.571876814750291E-3</v>
      </c>
      <c r="R39" s="67">
        <v>3.571876814750291E-3</v>
      </c>
      <c r="S39" s="67">
        <v>3.571876814750291E-3</v>
      </c>
    </row>
    <row r="40" spans="2:19" x14ac:dyDescent="0.3">
      <c r="B40" s="61" t="s">
        <v>222</v>
      </c>
      <c r="C40" s="61" t="s">
        <v>123</v>
      </c>
      <c r="D40" s="61" t="s">
        <v>231</v>
      </c>
      <c r="E40" s="67">
        <v>0</v>
      </c>
      <c r="F40" s="67">
        <v>0</v>
      </c>
      <c r="G40" s="67">
        <v>0</v>
      </c>
      <c r="H40" s="67">
        <v>1.4287507259001164E-3</v>
      </c>
      <c r="I40" s="67">
        <v>1.4287507259001164E-3</v>
      </c>
      <c r="J40" s="67">
        <v>1.4287507259001164E-3</v>
      </c>
      <c r="K40" s="67">
        <v>2.1431260888501746E-3</v>
      </c>
      <c r="L40" s="67">
        <v>2.1431260888501746E-3</v>
      </c>
      <c r="M40" s="67">
        <v>2.1431260888501746E-3</v>
      </c>
      <c r="N40" s="67">
        <v>2.8575014518002328E-3</v>
      </c>
      <c r="O40" s="67">
        <v>2.8575014518002328E-3</v>
      </c>
      <c r="P40" s="67">
        <v>2.8575014518002328E-3</v>
      </c>
      <c r="Q40" s="67">
        <v>3.571876814750291E-3</v>
      </c>
      <c r="R40" s="67">
        <v>3.571876814750291E-3</v>
      </c>
      <c r="S40" s="67">
        <v>3.571876814750291E-3</v>
      </c>
    </row>
    <row r="41" spans="2:19" x14ac:dyDescent="0.3">
      <c r="B41" s="61" t="s">
        <v>222</v>
      </c>
      <c r="C41" s="61" t="s">
        <v>121</v>
      </c>
      <c r="D41" s="61" t="s">
        <v>232</v>
      </c>
      <c r="E41" s="67">
        <v>0</v>
      </c>
      <c r="F41" s="67">
        <v>0</v>
      </c>
      <c r="G41" s="67">
        <v>0</v>
      </c>
      <c r="H41" s="67">
        <v>2.8575014518002328E-3</v>
      </c>
      <c r="I41" s="67">
        <v>2.8575014518002328E-3</v>
      </c>
      <c r="J41" s="67">
        <v>2.8575014518002328E-3</v>
      </c>
      <c r="K41" s="67">
        <v>4.2862521777003492E-3</v>
      </c>
      <c r="L41" s="67">
        <v>4.2862521777003492E-3</v>
      </c>
      <c r="M41" s="67">
        <v>4.2862521777003492E-3</v>
      </c>
      <c r="N41" s="67">
        <v>5.7150029036004656E-3</v>
      </c>
      <c r="O41" s="67">
        <v>5.7150029036004656E-3</v>
      </c>
      <c r="P41" s="67">
        <v>5.7150029036004656E-3</v>
      </c>
      <c r="Q41" s="67">
        <v>7.143753629500582E-3</v>
      </c>
      <c r="R41" s="67">
        <v>7.143753629500582E-3</v>
      </c>
      <c r="S41" s="67">
        <v>7.143753629500582E-3</v>
      </c>
    </row>
    <row r="42" spans="2:19" x14ac:dyDescent="0.3">
      <c r="B42" s="61" t="s">
        <v>222</v>
      </c>
      <c r="C42" s="61" t="s">
        <v>122</v>
      </c>
      <c r="D42" s="61" t="s">
        <v>232</v>
      </c>
      <c r="E42" s="67">
        <v>0</v>
      </c>
      <c r="F42" s="67">
        <v>0</v>
      </c>
      <c r="G42" s="67">
        <v>0</v>
      </c>
      <c r="H42" s="67">
        <v>2.8575014518002328E-3</v>
      </c>
      <c r="I42" s="67">
        <v>2.8575014518002328E-3</v>
      </c>
      <c r="J42" s="67">
        <v>2.8575014518002328E-3</v>
      </c>
      <c r="K42" s="67">
        <v>4.2862521777003492E-3</v>
      </c>
      <c r="L42" s="67">
        <v>4.2862521777003492E-3</v>
      </c>
      <c r="M42" s="67">
        <v>4.2862521777003492E-3</v>
      </c>
      <c r="N42" s="67">
        <v>5.7150029036004656E-3</v>
      </c>
      <c r="O42" s="67">
        <v>5.7150029036004656E-3</v>
      </c>
      <c r="P42" s="67">
        <v>5.7150029036004656E-3</v>
      </c>
      <c r="Q42" s="67">
        <v>7.143753629500582E-3</v>
      </c>
      <c r="R42" s="67">
        <v>7.143753629500582E-3</v>
      </c>
      <c r="S42" s="67">
        <v>7.143753629500582E-3</v>
      </c>
    </row>
    <row r="43" spans="2:19" x14ac:dyDescent="0.3">
      <c r="B43" s="61" t="s">
        <v>222</v>
      </c>
      <c r="C43" s="61" t="s">
        <v>200</v>
      </c>
      <c r="D43" s="61" t="s">
        <v>232</v>
      </c>
      <c r="E43" s="67">
        <v>0</v>
      </c>
      <c r="F43" s="67">
        <v>0</v>
      </c>
      <c r="G43" s="67">
        <v>0</v>
      </c>
      <c r="H43" s="67">
        <v>2.8575014518002328E-3</v>
      </c>
      <c r="I43" s="67">
        <v>2.8575014518002328E-3</v>
      </c>
      <c r="J43" s="67">
        <v>2.8575014518002328E-3</v>
      </c>
      <c r="K43" s="67">
        <v>4.2862521777003492E-3</v>
      </c>
      <c r="L43" s="67">
        <v>4.2862521777003492E-3</v>
      </c>
      <c r="M43" s="67">
        <v>4.2862521777003492E-3</v>
      </c>
      <c r="N43" s="67">
        <v>5.7150029036004656E-3</v>
      </c>
      <c r="O43" s="67">
        <v>5.7150029036004656E-3</v>
      </c>
      <c r="P43" s="67">
        <v>5.7150029036004656E-3</v>
      </c>
      <c r="Q43" s="67">
        <v>7.143753629500582E-3</v>
      </c>
      <c r="R43" s="67">
        <v>7.143753629500582E-3</v>
      </c>
      <c r="S43" s="67">
        <v>7.143753629500582E-3</v>
      </c>
    </row>
    <row r="44" spans="2:19" x14ac:dyDescent="0.3">
      <c r="B44" s="61" t="s">
        <v>222</v>
      </c>
      <c r="C44" s="61" t="s">
        <v>123</v>
      </c>
      <c r="D44" s="61" t="s">
        <v>232</v>
      </c>
      <c r="E44" s="67">
        <v>0</v>
      </c>
      <c r="F44" s="67">
        <v>0</v>
      </c>
      <c r="G44" s="67">
        <v>0</v>
      </c>
      <c r="H44" s="67">
        <v>2.8575014518002328E-3</v>
      </c>
      <c r="I44" s="67">
        <v>2.8575014518002328E-3</v>
      </c>
      <c r="J44" s="67">
        <v>2.8575014518002328E-3</v>
      </c>
      <c r="K44" s="67">
        <v>4.2862521777003492E-3</v>
      </c>
      <c r="L44" s="67">
        <v>4.2862521777003492E-3</v>
      </c>
      <c r="M44" s="67">
        <v>4.2862521777003492E-3</v>
      </c>
      <c r="N44" s="67">
        <v>5.7150029036004656E-3</v>
      </c>
      <c r="O44" s="67">
        <v>5.7150029036004656E-3</v>
      </c>
      <c r="P44" s="67">
        <v>5.7150029036004656E-3</v>
      </c>
      <c r="Q44" s="67">
        <v>7.143753629500582E-3</v>
      </c>
      <c r="R44" s="67">
        <v>7.143753629500582E-3</v>
      </c>
      <c r="S44" s="67">
        <v>7.143753629500582E-3</v>
      </c>
    </row>
    <row r="45" spans="2:19" x14ac:dyDescent="0.3">
      <c r="B45" s="61" t="s">
        <v>223</v>
      </c>
      <c r="C45" s="61" t="s">
        <v>121</v>
      </c>
      <c r="D45" s="61" t="s">
        <v>231</v>
      </c>
      <c r="E45" s="67">
        <v>0</v>
      </c>
      <c r="F45" s="67">
        <v>0</v>
      </c>
      <c r="G45" s="67">
        <v>0</v>
      </c>
      <c r="H45" s="67">
        <v>1.5196402977935362E-2</v>
      </c>
      <c r="I45" s="67">
        <v>3.0392805955870725E-2</v>
      </c>
      <c r="J45" s="67">
        <v>4.5589208933806087E-2</v>
      </c>
      <c r="K45" s="67">
        <v>6.078561191174145E-2</v>
      </c>
      <c r="L45" s="67">
        <v>7.5982014889676819E-2</v>
      </c>
      <c r="M45" s="67">
        <v>7.5982014889676819E-2</v>
      </c>
      <c r="N45" s="67">
        <v>7.5982014889676819E-2</v>
      </c>
      <c r="O45" s="67">
        <v>7.5982014889676819E-2</v>
      </c>
      <c r="P45" s="67">
        <v>7.5982014889676819E-2</v>
      </c>
      <c r="Q45" s="67">
        <v>7.5982014889676819E-2</v>
      </c>
      <c r="R45" s="67">
        <v>7.5982014889676819E-2</v>
      </c>
      <c r="S45" s="67">
        <v>7.5982014889676819E-2</v>
      </c>
    </row>
    <row r="46" spans="2:19" x14ac:dyDescent="0.3">
      <c r="B46" s="61" t="s">
        <v>223</v>
      </c>
      <c r="C46" s="61" t="s">
        <v>122</v>
      </c>
      <c r="D46" s="61" t="s">
        <v>231</v>
      </c>
      <c r="E46" s="67">
        <v>0</v>
      </c>
      <c r="F46" s="67">
        <v>0</v>
      </c>
      <c r="G46" s="67">
        <v>0</v>
      </c>
      <c r="H46" s="67">
        <v>0</v>
      </c>
      <c r="I46" s="67">
        <v>0</v>
      </c>
      <c r="J46" s="67">
        <v>4.7865273745070309E-3</v>
      </c>
      <c r="K46" s="67">
        <v>9.5730547490140618E-3</v>
      </c>
      <c r="L46" s="67">
        <v>1.4359582123521092E-2</v>
      </c>
      <c r="M46" s="67">
        <v>1.9146109498028124E-2</v>
      </c>
      <c r="N46" s="67">
        <v>2.3932636872535155E-2</v>
      </c>
      <c r="O46" s="67">
        <v>2.3932636872535155E-2</v>
      </c>
      <c r="P46" s="67">
        <v>2.3932636872535155E-2</v>
      </c>
      <c r="Q46" s="67">
        <v>2.3932636872535155E-2</v>
      </c>
      <c r="R46" s="67">
        <v>2.3932636872535155E-2</v>
      </c>
      <c r="S46" s="67">
        <v>2.3932636872535155E-2</v>
      </c>
    </row>
    <row r="47" spans="2:19" x14ac:dyDescent="0.3">
      <c r="B47" s="61" t="s">
        <v>223</v>
      </c>
      <c r="C47" s="61" t="s">
        <v>200</v>
      </c>
      <c r="D47" s="61" t="s">
        <v>231</v>
      </c>
      <c r="E47" s="67">
        <v>0</v>
      </c>
      <c r="F47" s="67">
        <v>0</v>
      </c>
      <c r="G47" s="67">
        <v>0</v>
      </c>
      <c r="H47" s="67">
        <v>0</v>
      </c>
      <c r="I47" s="67">
        <v>0</v>
      </c>
      <c r="J47" s="67">
        <v>0</v>
      </c>
      <c r="K47" s="67">
        <v>0</v>
      </c>
      <c r="L47" s="67">
        <v>0</v>
      </c>
      <c r="M47" s="67">
        <v>0</v>
      </c>
      <c r="N47" s="67">
        <v>0</v>
      </c>
      <c r="O47" s="67">
        <v>0</v>
      </c>
      <c r="P47" s="67">
        <v>0</v>
      </c>
      <c r="Q47" s="67">
        <v>0</v>
      </c>
      <c r="R47" s="67">
        <v>0</v>
      </c>
      <c r="S47" s="67">
        <v>0</v>
      </c>
    </row>
    <row r="48" spans="2:19" x14ac:dyDescent="0.3">
      <c r="B48" s="61" t="s">
        <v>223</v>
      </c>
      <c r="C48" s="61" t="s">
        <v>123</v>
      </c>
      <c r="D48" s="61" t="s">
        <v>231</v>
      </c>
      <c r="E48" s="67">
        <v>0</v>
      </c>
      <c r="F48" s="67">
        <v>0</v>
      </c>
      <c r="G48" s="67">
        <v>0</v>
      </c>
      <c r="H48" s="67">
        <v>0</v>
      </c>
      <c r="I48" s="67">
        <v>0</v>
      </c>
      <c r="J48" s="67">
        <v>8.3450239005951721E-2</v>
      </c>
      <c r="K48" s="67">
        <v>0.16690047801190344</v>
      </c>
      <c r="L48" s="67">
        <v>0.25035071701785516</v>
      </c>
      <c r="M48" s="67">
        <v>0.33380095602380688</v>
      </c>
      <c r="N48" s="67">
        <v>0.4172511950297586</v>
      </c>
      <c r="O48" s="67">
        <v>0.4172511950297586</v>
      </c>
      <c r="P48" s="67">
        <v>0.4172511950297586</v>
      </c>
      <c r="Q48" s="67">
        <v>0.4172511950297586</v>
      </c>
      <c r="R48" s="67">
        <v>0.4172511950297586</v>
      </c>
      <c r="S48" s="67">
        <v>0.4172511950297586</v>
      </c>
    </row>
    <row r="49" spans="2:19" x14ac:dyDescent="0.3">
      <c r="B49" s="61" t="s">
        <v>223</v>
      </c>
      <c r="C49" s="61" t="s">
        <v>121</v>
      </c>
      <c r="D49" s="61" t="s">
        <v>232</v>
      </c>
      <c r="E49" s="67">
        <v>0</v>
      </c>
      <c r="F49" s="67">
        <v>0</v>
      </c>
      <c r="G49" s="67">
        <v>0</v>
      </c>
      <c r="H49" s="67">
        <v>1.5196402977935362E-2</v>
      </c>
      <c r="I49" s="67">
        <v>3.0392805955870725E-2</v>
      </c>
      <c r="J49" s="67">
        <v>4.5589208933806087E-2</v>
      </c>
      <c r="K49" s="67">
        <v>6.078561191174145E-2</v>
      </c>
      <c r="L49" s="67">
        <v>7.5982014889676819E-2</v>
      </c>
      <c r="M49" s="67">
        <v>8.8217067543706826E-2</v>
      </c>
      <c r="N49" s="67">
        <v>0.10045212019773683</v>
      </c>
      <c r="O49" s="67">
        <v>0.11268717285176684</v>
      </c>
      <c r="P49" s="67">
        <v>0.12492222550579685</v>
      </c>
      <c r="Q49" s="67">
        <v>0.13715727815982687</v>
      </c>
      <c r="R49" s="67">
        <v>0.13715727815982687</v>
      </c>
      <c r="S49" s="67">
        <v>0.13715727815982687</v>
      </c>
    </row>
    <row r="50" spans="2:19" x14ac:dyDescent="0.3">
      <c r="B50" s="61" t="s">
        <v>223</v>
      </c>
      <c r="C50" s="61" t="s">
        <v>122</v>
      </c>
      <c r="D50" s="61" t="s">
        <v>232</v>
      </c>
      <c r="E50" s="67">
        <v>0</v>
      </c>
      <c r="F50" s="67">
        <v>0</v>
      </c>
      <c r="G50" s="67">
        <v>0</v>
      </c>
      <c r="H50" s="67">
        <v>4.7865273745070309E-3</v>
      </c>
      <c r="I50" s="67">
        <v>9.5730547490140618E-3</v>
      </c>
      <c r="J50" s="67">
        <v>1.4359582123521092E-2</v>
      </c>
      <c r="K50" s="67">
        <v>1.9146109498028124E-2</v>
      </c>
      <c r="L50" s="67">
        <v>2.3932636872535155E-2</v>
      </c>
      <c r="M50" s="67">
        <v>2.846603058781345E-2</v>
      </c>
      <c r="N50" s="67">
        <v>3.2999424303091746E-2</v>
      </c>
      <c r="O50" s="67">
        <v>3.7532818018370037E-2</v>
      </c>
      <c r="P50" s="67">
        <v>4.2066211733648329E-2</v>
      </c>
      <c r="Q50" s="67">
        <v>4.659960544892662E-2</v>
      </c>
      <c r="R50" s="67">
        <v>4.659960544892662E-2</v>
      </c>
      <c r="S50" s="67">
        <v>4.659960544892662E-2</v>
      </c>
    </row>
    <row r="51" spans="2:19" x14ac:dyDescent="0.3">
      <c r="B51" s="61" t="s">
        <v>223</v>
      </c>
      <c r="C51" s="61" t="s">
        <v>200</v>
      </c>
      <c r="D51" s="61" t="s">
        <v>232</v>
      </c>
      <c r="E51" s="67">
        <v>0</v>
      </c>
      <c r="F51" s="67">
        <v>0</v>
      </c>
      <c r="G51" s="67">
        <v>0</v>
      </c>
      <c r="H51" s="67">
        <v>0</v>
      </c>
      <c r="I51" s="67">
        <v>0</v>
      </c>
      <c r="J51" s="67">
        <v>0</v>
      </c>
      <c r="K51" s="67">
        <v>0</v>
      </c>
      <c r="L51" s="67">
        <v>0</v>
      </c>
      <c r="M51" s="67">
        <v>0</v>
      </c>
      <c r="N51" s="67">
        <v>0</v>
      </c>
      <c r="O51" s="67">
        <v>0</v>
      </c>
      <c r="P51" s="67">
        <v>0</v>
      </c>
      <c r="Q51" s="67">
        <v>0</v>
      </c>
      <c r="R51" s="67">
        <v>0</v>
      </c>
      <c r="S51" s="67">
        <v>0</v>
      </c>
    </row>
    <row r="52" spans="2:19" x14ac:dyDescent="0.3">
      <c r="B52" s="61" t="s">
        <v>223</v>
      </c>
      <c r="C52" s="61" t="s">
        <v>123</v>
      </c>
      <c r="D52" s="61" t="s">
        <v>232</v>
      </c>
      <c r="E52" s="67">
        <v>0</v>
      </c>
      <c r="F52" s="67">
        <v>0</v>
      </c>
      <c r="G52" s="67">
        <v>0</v>
      </c>
      <c r="H52" s="67">
        <v>8.3450239005951721E-2</v>
      </c>
      <c r="I52" s="67">
        <v>0.16690047801190344</v>
      </c>
      <c r="J52" s="67">
        <v>0.25035071701785516</v>
      </c>
      <c r="K52" s="67">
        <v>0.33380095602380688</v>
      </c>
      <c r="L52" s="67">
        <v>0.4172511950297586</v>
      </c>
      <c r="M52" s="67">
        <v>0.4172511950297586</v>
      </c>
      <c r="N52" s="67">
        <v>0.4172511950297586</v>
      </c>
      <c r="O52" s="67">
        <v>0.4172511950297586</v>
      </c>
      <c r="P52" s="67">
        <v>0.4172511950297586</v>
      </c>
      <c r="Q52" s="67">
        <v>0.4172511950297586</v>
      </c>
      <c r="R52" s="67">
        <v>0.4172511950297586</v>
      </c>
      <c r="S52" s="67">
        <v>0.4172511950297586</v>
      </c>
    </row>
    <row r="53" spans="2:19" x14ac:dyDescent="0.3">
      <c r="B53" s="61" t="s">
        <v>224</v>
      </c>
      <c r="C53" s="61" t="s">
        <v>121</v>
      </c>
      <c r="D53" s="61" t="s">
        <v>231</v>
      </c>
      <c r="E53" s="67">
        <v>0</v>
      </c>
      <c r="F53" s="67">
        <v>0</v>
      </c>
      <c r="G53" s="67">
        <v>0</v>
      </c>
      <c r="H53" s="67">
        <v>0.01</v>
      </c>
      <c r="I53" s="67">
        <v>0.02</v>
      </c>
      <c r="J53" s="67">
        <v>0.03</v>
      </c>
      <c r="K53" s="67">
        <v>0.04</v>
      </c>
      <c r="L53" s="67">
        <v>0.05</v>
      </c>
      <c r="M53" s="67">
        <v>6.0000000000000005E-2</v>
      </c>
      <c r="N53" s="67">
        <v>7.0000000000000007E-2</v>
      </c>
      <c r="O53" s="67">
        <v>0.08</v>
      </c>
      <c r="P53" s="67">
        <v>0.09</v>
      </c>
      <c r="Q53" s="67">
        <v>9.9999999999999992E-2</v>
      </c>
      <c r="R53" s="67">
        <v>0.10999999999999999</v>
      </c>
      <c r="S53" s="67">
        <v>0.11999999999999998</v>
      </c>
    </row>
    <row r="54" spans="2:19" x14ac:dyDescent="0.3">
      <c r="B54" s="61" t="s">
        <v>224</v>
      </c>
      <c r="C54" s="61" t="s">
        <v>122</v>
      </c>
      <c r="D54" s="61" t="s">
        <v>231</v>
      </c>
      <c r="E54" s="67">
        <v>0</v>
      </c>
      <c r="F54" s="67">
        <v>0</v>
      </c>
      <c r="G54" s="67">
        <v>0</v>
      </c>
      <c r="H54" s="67">
        <v>0.01</v>
      </c>
      <c r="I54" s="67">
        <v>0.02</v>
      </c>
      <c r="J54" s="67">
        <v>0.03</v>
      </c>
      <c r="K54" s="67">
        <v>0.04</v>
      </c>
      <c r="L54" s="67">
        <v>0.05</v>
      </c>
      <c r="M54" s="67">
        <v>6.0000000000000005E-2</v>
      </c>
      <c r="N54" s="67">
        <v>7.0000000000000007E-2</v>
      </c>
      <c r="O54" s="67">
        <v>0.08</v>
      </c>
      <c r="P54" s="67">
        <v>0.09</v>
      </c>
      <c r="Q54" s="67">
        <v>9.9999999999999992E-2</v>
      </c>
      <c r="R54" s="67">
        <v>0.10999999999999999</v>
      </c>
      <c r="S54" s="67">
        <v>0.11999999999999998</v>
      </c>
    </row>
    <row r="55" spans="2:19" x14ac:dyDescent="0.3">
      <c r="B55" s="61" t="s">
        <v>224</v>
      </c>
      <c r="C55" s="61" t="s">
        <v>200</v>
      </c>
      <c r="D55" s="61" t="s">
        <v>231</v>
      </c>
      <c r="E55" s="67">
        <v>0</v>
      </c>
      <c r="F55" s="67">
        <v>0</v>
      </c>
      <c r="G55" s="67">
        <v>0</v>
      </c>
      <c r="H55" s="67">
        <v>0</v>
      </c>
      <c r="I55" s="67">
        <v>0</v>
      </c>
      <c r="J55" s="67">
        <v>0</v>
      </c>
      <c r="K55" s="67">
        <v>0</v>
      </c>
      <c r="L55" s="67">
        <v>0</v>
      </c>
      <c r="M55" s="67">
        <v>0</v>
      </c>
      <c r="N55" s="67">
        <v>0</v>
      </c>
      <c r="O55" s="67">
        <v>0</v>
      </c>
      <c r="P55" s="67">
        <v>0</v>
      </c>
      <c r="Q55" s="67">
        <v>0</v>
      </c>
      <c r="R55" s="67">
        <v>0</v>
      </c>
      <c r="S55" s="67">
        <v>0</v>
      </c>
    </row>
    <row r="56" spans="2:19" x14ac:dyDescent="0.3">
      <c r="B56" s="61" t="s">
        <v>224</v>
      </c>
      <c r="C56" s="61" t="s">
        <v>123</v>
      </c>
      <c r="D56" s="61" t="s">
        <v>231</v>
      </c>
      <c r="E56" s="67">
        <v>0</v>
      </c>
      <c r="F56" s="67">
        <v>0</v>
      </c>
      <c r="G56" s="67">
        <v>0</v>
      </c>
      <c r="H56" s="67">
        <v>0.01</v>
      </c>
      <c r="I56" s="67">
        <v>0.02</v>
      </c>
      <c r="J56" s="67">
        <v>0.03</v>
      </c>
      <c r="K56" s="67">
        <v>0.04</v>
      </c>
      <c r="L56" s="67">
        <v>0.05</v>
      </c>
      <c r="M56" s="67">
        <v>6.0000000000000005E-2</v>
      </c>
      <c r="N56" s="67">
        <v>7.0000000000000007E-2</v>
      </c>
      <c r="O56" s="67">
        <v>0.08</v>
      </c>
      <c r="P56" s="67">
        <v>0.09</v>
      </c>
      <c r="Q56" s="67">
        <v>9.9999999999999992E-2</v>
      </c>
      <c r="R56" s="67">
        <v>0.10999999999999999</v>
      </c>
      <c r="S56" s="67">
        <v>0.11999999999999998</v>
      </c>
    </row>
    <row r="57" spans="2:19" x14ac:dyDescent="0.3">
      <c r="B57" s="61" t="s">
        <v>224</v>
      </c>
      <c r="C57" s="61" t="s">
        <v>121</v>
      </c>
      <c r="D57" s="61" t="s">
        <v>232</v>
      </c>
      <c r="E57" s="67">
        <v>0</v>
      </c>
      <c r="F57" s="67">
        <v>0</v>
      </c>
      <c r="G57" s="67">
        <v>0</v>
      </c>
      <c r="H57" s="67">
        <v>0.02</v>
      </c>
      <c r="I57" s="67">
        <v>0.04</v>
      </c>
      <c r="J57" s="67">
        <v>0.06</v>
      </c>
      <c r="K57" s="67">
        <v>0.08</v>
      </c>
      <c r="L57" s="67">
        <v>0.1</v>
      </c>
      <c r="M57" s="67">
        <v>0.12000000000000001</v>
      </c>
      <c r="N57" s="67">
        <v>0.14000000000000001</v>
      </c>
      <c r="O57" s="67">
        <v>0.16</v>
      </c>
      <c r="P57" s="67">
        <v>0.18</v>
      </c>
      <c r="Q57" s="67">
        <v>0.19999999999999998</v>
      </c>
      <c r="R57" s="67">
        <v>0.21999999999999997</v>
      </c>
      <c r="S57" s="67">
        <v>0.23999999999999996</v>
      </c>
    </row>
    <row r="58" spans="2:19" x14ac:dyDescent="0.3">
      <c r="B58" s="61" t="s">
        <v>224</v>
      </c>
      <c r="C58" s="61" t="s">
        <v>122</v>
      </c>
      <c r="D58" s="61" t="s">
        <v>232</v>
      </c>
      <c r="E58" s="67">
        <v>0</v>
      </c>
      <c r="F58" s="67">
        <v>0</v>
      </c>
      <c r="G58" s="67">
        <v>0</v>
      </c>
      <c r="H58" s="67">
        <v>0.02</v>
      </c>
      <c r="I58" s="67">
        <v>0.04</v>
      </c>
      <c r="J58" s="67">
        <v>0.06</v>
      </c>
      <c r="K58" s="67">
        <v>0.08</v>
      </c>
      <c r="L58" s="67">
        <v>0.1</v>
      </c>
      <c r="M58" s="67">
        <v>0.12000000000000001</v>
      </c>
      <c r="N58" s="67">
        <v>0.14000000000000001</v>
      </c>
      <c r="O58" s="67">
        <v>0.16</v>
      </c>
      <c r="P58" s="67">
        <v>0.18</v>
      </c>
      <c r="Q58" s="67">
        <v>0.19999999999999998</v>
      </c>
      <c r="R58" s="67">
        <v>0.21999999999999997</v>
      </c>
      <c r="S58" s="67">
        <v>0.23999999999999996</v>
      </c>
    </row>
    <row r="59" spans="2:19" x14ac:dyDescent="0.3">
      <c r="B59" s="61" t="s">
        <v>224</v>
      </c>
      <c r="C59" s="61" t="s">
        <v>200</v>
      </c>
      <c r="D59" s="61" t="s">
        <v>232</v>
      </c>
      <c r="E59" s="67">
        <v>0</v>
      </c>
      <c r="F59" s="67">
        <v>0</v>
      </c>
      <c r="G59" s="67">
        <v>0</v>
      </c>
      <c r="H59" s="67">
        <v>0.01</v>
      </c>
      <c r="I59" s="67">
        <v>0.02</v>
      </c>
      <c r="J59" s="67">
        <v>0.03</v>
      </c>
      <c r="K59" s="67">
        <v>0.04</v>
      </c>
      <c r="L59" s="67">
        <v>0.05</v>
      </c>
      <c r="M59" s="67">
        <v>6.0000000000000005E-2</v>
      </c>
      <c r="N59" s="67">
        <v>7.0000000000000007E-2</v>
      </c>
      <c r="O59" s="67">
        <v>0.08</v>
      </c>
      <c r="P59" s="67">
        <v>0.09</v>
      </c>
      <c r="Q59" s="67">
        <v>9.9999999999999992E-2</v>
      </c>
      <c r="R59" s="67">
        <v>0.10999999999999999</v>
      </c>
      <c r="S59" s="67">
        <v>0.11999999999999998</v>
      </c>
    </row>
    <row r="60" spans="2:19" x14ac:dyDescent="0.3">
      <c r="B60" s="61" t="s">
        <v>224</v>
      </c>
      <c r="C60" s="61" t="s">
        <v>123</v>
      </c>
      <c r="D60" s="61" t="s">
        <v>232</v>
      </c>
      <c r="E60" s="67">
        <v>0</v>
      </c>
      <c r="F60" s="67">
        <v>0</v>
      </c>
      <c r="G60" s="67">
        <v>0</v>
      </c>
      <c r="H60" s="67">
        <v>0.02</v>
      </c>
      <c r="I60" s="67">
        <v>0.04</v>
      </c>
      <c r="J60" s="67">
        <v>0.06</v>
      </c>
      <c r="K60" s="67">
        <v>0.08</v>
      </c>
      <c r="L60" s="67">
        <v>0.1</v>
      </c>
      <c r="M60" s="67">
        <v>0.12000000000000001</v>
      </c>
      <c r="N60" s="67">
        <v>0.14000000000000001</v>
      </c>
      <c r="O60" s="67">
        <v>0.16</v>
      </c>
      <c r="P60" s="67">
        <v>0.18</v>
      </c>
      <c r="Q60" s="67">
        <v>0.19999999999999998</v>
      </c>
      <c r="R60" s="67">
        <v>0.21999999999999997</v>
      </c>
      <c r="S60" s="67">
        <v>0.23999999999999996</v>
      </c>
    </row>
    <row r="61" spans="2:19" x14ac:dyDescent="0.3">
      <c r="B61" s="61" t="s">
        <v>225</v>
      </c>
      <c r="C61" s="61" t="s">
        <v>121</v>
      </c>
      <c r="D61" s="61" t="s">
        <v>231</v>
      </c>
      <c r="E61" s="67">
        <v>7.4999999999999997E-2</v>
      </c>
      <c r="F61" s="67">
        <v>7.4999999999999997E-2</v>
      </c>
      <c r="G61" s="67">
        <v>7.4999999999999997E-2</v>
      </c>
      <c r="H61" s="67">
        <v>7.4999999999999997E-2</v>
      </c>
      <c r="I61" s="67">
        <v>7.4999999999999997E-2</v>
      </c>
      <c r="J61" s="67">
        <v>7.4999999999999997E-2</v>
      </c>
      <c r="K61" s="67">
        <v>7.4999999999999997E-2</v>
      </c>
      <c r="L61" s="67">
        <v>7.4999999999999997E-2</v>
      </c>
      <c r="M61" s="67">
        <v>7.4999999999999997E-2</v>
      </c>
      <c r="N61" s="67">
        <v>7.4999999999999997E-2</v>
      </c>
      <c r="O61" s="67">
        <v>7.4999999999999997E-2</v>
      </c>
      <c r="P61" s="67">
        <v>7.4999999999999997E-2</v>
      </c>
      <c r="Q61" s="67">
        <v>7.4999999999999997E-2</v>
      </c>
      <c r="R61" s="67">
        <v>7.4999999999999997E-2</v>
      </c>
      <c r="S61" s="67">
        <v>7.4999999999999997E-2</v>
      </c>
    </row>
    <row r="62" spans="2:19" x14ac:dyDescent="0.3">
      <c r="B62" s="61" t="s">
        <v>225</v>
      </c>
      <c r="C62" s="61" t="s">
        <v>122</v>
      </c>
      <c r="D62" s="61" t="s">
        <v>231</v>
      </c>
      <c r="E62" s="67">
        <v>0</v>
      </c>
      <c r="F62" s="67">
        <v>0</v>
      </c>
      <c r="G62" s="67">
        <v>0</v>
      </c>
      <c r="H62" s="67">
        <v>0</v>
      </c>
      <c r="I62" s="67">
        <v>0</v>
      </c>
      <c r="J62" s="67">
        <v>0</v>
      </c>
      <c r="K62" s="67">
        <v>0</v>
      </c>
      <c r="L62" s="67">
        <v>0</v>
      </c>
      <c r="M62" s="67">
        <v>0</v>
      </c>
      <c r="N62" s="67">
        <v>0</v>
      </c>
      <c r="O62" s="67">
        <v>0</v>
      </c>
      <c r="P62" s="67">
        <v>0</v>
      </c>
      <c r="Q62" s="67">
        <v>0</v>
      </c>
      <c r="R62" s="67">
        <v>0</v>
      </c>
      <c r="S62" s="67">
        <v>0</v>
      </c>
    </row>
    <row r="63" spans="2:19" x14ac:dyDescent="0.3">
      <c r="B63" s="61" t="s">
        <v>225</v>
      </c>
      <c r="C63" s="61" t="s">
        <v>200</v>
      </c>
      <c r="D63" s="61" t="s">
        <v>231</v>
      </c>
      <c r="E63" s="67">
        <v>0</v>
      </c>
      <c r="F63" s="67">
        <v>0</v>
      </c>
      <c r="G63" s="67">
        <v>0</v>
      </c>
      <c r="H63" s="67">
        <v>0</v>
      </c>
      <c r="I63" s="67">
        <v>0</v>
      </c>
      <c r="J63" s="67">
        <v>0</v>
      </c>
      <c r="K63" s="67">
        <v>0</v>
      </c>
      <c r="L63" s="67">
        <v>0</v>
      </c>
      <c r="M63" s="67">
        <v>0</v>
      </c>
      <c r="N63" s="67">
        <v>0</v>
      </c>
      <c r="O63" s="67">
        <v>0</v>
      </c>
      <c r="P63" s="67">
        <v>0</v>
      </c>
      <c r="Q63" s="67">
        <v>0</v>
      </c>
      <c r="R63" s="67">
        <v>0</v>
      </c>
      <c r="S63" s="67">
        <v>0</v>
      </c>
    </row>
    <row r="64" spans="2:19" x14ac:dyDescent="0.3">
      <c r="B64" s="61" t="s">
        <v>225</v>
      </c>
      <c r="C64" s="61" t="s">
        <v>123</v>
      </c>
      <c r="D64" s="61" t="s">
        <v>231</v>
      </c>
      <c r="E64" s="67">
        <v>0</v>
      </c>
      <c r="F64" s="67">
        <v>0</v>
      </c>
      <c r="G64" s="67">
        <v>0</v>
      </c>
      <c r="H64" s="67">
        <v>0</v>
      </c>
      <c r="I64" s="67">
        <v>0</v>
      </c>
      <c r="J64" s="67">
        <v>0</v>
      </c>
      <c r="K64" s="67">
        <v>0</v>
      </c>
      <c r="L64" s="67">
        <v>0</v>
      </c>
      <c r="M64" s="67">
        <v>0</v>
      </c>
      <c r="N64" s="67">
        <v>0</v>
      </c>
      <c r="O64" s="67">
        <v>0</v>
      </c>
      <c r="P64" s="67">
        <v>0</v>
      </c>
      <c r="Q64" s="67">
        <v>0</v>
      </c>
      <c r="R64" s="67">
        <v>0</v>
      </c>
      <c r="S64" s="67">
        <v>0</v>
      </c>
    </row>
    <row r="65" spans="2:19" x14ac:dyDescent="0.3">
      <c r="B65" s="61" t="s">
        <v>225</v>
      </c>
      <c r="C65" s="61" t="s">
        <v>121</v>
      </c>
      <c r="D65" s="61" t="s">
        <v>232</v>
      </c>
      <c r="E65" s="67">
        <v>7.4999999999999997E-2</v>
      </c>
      <c r="F65" s="67">
        <v>7.4999999999999997E-2</v>
      </c>
      <c r="G65" s="67">
        <v>7.4999999999999997E-2</v>
      </c>
      <c r="H65" s="67">
        <v>7.4999999999999997E-2</v>
      </c>
      <c r="I65" s="67">
        <v>0.15</v>
      </c>
      <c r="J65" s="67">
        <v>0.15</v>
      </c>
      <c r="K65" s="67">
        <v>0.15</v>
      </c>
      <c r="L65" s="67">
        <v>0.15</v>
      </c>
      <c r="M65" s="67">
        <v>0.15</v>
      </c>
      <c r="N65" s="67">
        <v>0.22499999999999998</v>
      </c>
      <c r="O65" s="67">
        <v>0.22499999999999998</v>
      </c>
      <c r="P65" s="67">
        <v>0.22499999999999998</v>
      </c>
      <c r="Q65" s="67">
        <v>0.22499999999999998</v>
      </c>
      <c r="R65" s="67">
        <v>0.22499999999999998</v>
      </c>
      <c r="S65" s="67">
        <v>0.22499999999999998</v>
      </c>
    </row>
    <row r="66" spans="2:19" x14ac:dyDescent="0.3">
      <c r="B66" s="61" t="s">
        <v>225</v>
      </c>
      <c r="C66" s="61" t="s">
        <v>122</v>
      </c>
      <c r="D66" s="61" t="s">
        <v>232</v>
      </c>
      <c r="E66" s="67">
        <v>0</v>
      </c>
      <c r="F66" s="67">
        <v>0</v>
      </c>
      <c r="G66" s="67">
        <v>0</v>
      </c>
      <c r="H66" s="67">
        <v>7.4999999999999997E-2</v>
      </c>
      <c r="I66" s="67">
        <v>7.4999999999999997E-2</v>
      </c>
      <c r="J66" s="67">
        <v>7.4999999999999997E-2</v>
      </c>
      <c r="K66" s="67">
        <v>7.4999999999999997E-2</v>
      </c>
      <c r="L66" s="67">
        <v>7.4999999999999997E-2</v>
      </c>
      <c r="M66" s="67">
        <v>0.15</v>
      </c>
      <c r="N66" s="67">
        <v>0.15</v>
      </c>
      <c r="O66" s="67">
        <v>0.15</v>
      </c>
      <c r="P66" s="67">
        <v>0.15</v>
      </c>
      <c r="Q66" s="67">
        <v>0.15</v>
      </c>
      <c r="R66" s="67">
        <v>0.15</v>
      </c>
      <c r="S66" s="67">
        <v>0.15</v>
      </c>
    </row>
    <row r="67" spans="2:19" x14ac:dyDescent="0.3">
      <c r="B67" s="61" t="s">
        <v>225</v>
      </c>
      <c r="C67" s="61" t="s">
        <v>200</v>
      </c>
      <c r="D67" s="61" t="s">
        <v>232</v>
      </c>
      <c r="E67" s="67">
        <v>0</v>
      </c>
      <c r="F67" s="67">
        <v>0</v>
      </c>
      <c r="G67" s="67">
        <v>0</v>
      </c>
      <c r="H67" s="67">
        <v>7.4999999999999997E-2</v>
      </c>
      <c r="I67" s="67">
        <v>7.4999999999999997E-2</v>
      </c>
      <c r="J67" s="67">
        <v>7.4999999999999997E-2</v>
      </c>
      <c r="K67" s="67">
        <v>7.4999999999999997E-2</v>
      </c>
      <c r="L67" s="67">
        <v>7.4999999999999997E-2</v>
      </c>
      <c r="M67" s="67">
        <v>0.15</v>
      </c>
      <c r="N67" s="67">
        <v>0.15</v>
      </c>
      <c r="O67" s="67">
        <v>0.15</v>
      </c>
      <c r="P67" s="67">
        <v>0.15</v>
      </c>
      <c r="Q67" s="67">
        <v>0.15</v>
      </c>
      <c r="R67" s="67">
        <v>0.15</v>
      </c>
      <c r="S67" s="67">
        <v>0.15</v>
      </c>
    </row>
    <row r="68" spans="2:19" x14ac:dyDescent="0.3">
      <c r="B68" s="61" t="s">
        <v>225</v>
      </c>
      <c r="C68" s="61" t="s">
        <v>123</v>
      </c>
      <c r="D68" s="61" t="s">
        <v>232</v>
      </c>
      <c r="E68" s="67">
        <v>0</v>
      </c>
      <c r="F68" s="67">
        <v>0</v>
      </c>
      <c r="G68" s="67">
        <v>0</v>
      </c>
      <c r="H68" s="67">
        <v>7.4999999999999997E-2</v>
      </c>
      <c r="I68" s="67">
        <v>7.4999999999999997E-2</v>
      </c>
      <c r="J68" s="67">
        <v>7.4999999999999997E-2</v>
      </c>
      <c r="K68" s="67">
        <v>7.4999999999999997E-2</v>
      </c>
      <c r="L68" s="67">
        <v>7.4999999999999997E-2</v>
      </c>
      <c r="M68" s="67">
        <v>0.15</v>
      </c>
      <c r="N68" s="67">
        <v>0.15</v>
      </c>
      <c r="O68" s="67">
        <v>0.15</v>
      </c>
      <c r="P68" s="67">
        <v>0.15</v>
      </c>
      <c r="Q68" s="67">
        <v>0.15</v>
      </c>
      <c r="R68" s="67">
        <v>0.15</v>
      </c>
      <c r="S68" s="67">
        <v>0.15</v>
      </c>
    </row>
    <row r="69" spans="2:19" x14ac:dyDescent="0.3">
      <c r="B69" s="61" t="s">
        <v>226</v>
      </c>
      <c r="C69" s="61" t="s">
        <v>121</v>
      </c>
      <c r="D69" s="61" t="s">
        <v>231</v>
      </c>
      <c r="E69" s="67">
        <v>0</v>
      </c>
      <c r="F69" s="67">
        <v>0</v>
      </c>
      <c r="G69" s="67">
        <v>0</v>
      </c>
      <c r="H69" s="67">
        <v>0.01</v>
      </c>
      <c r="I69" s="67">
        <v>1.0200000000000001E-2</v>
      </c>
      <c r="J69" s="67">
        <v>1.0404E-2</v>
      </c>
      <c r="K69" s="67">
        <v>1.0612079999999999E-2</v>
      </c>
      <c r="L69" s="67">
        <v>1.0824321600000001E-2</v>
      </c>
      <c r="M69" s="67">
        <v>1.1040808032000001E-2</v>
      </c>
      <c r="N69" s="67">
        <v>1.1261624192640001E-2</v>
      </c>
      <c r="O69" s="67">
        <v>1.1486856676492798E-2</v>
      </c>
      <c r="P69" s="67">
        <v>1.1716593810022656E-2</v>
      </c>
      <c r="Q69" s="67">
        <v>1.1950925686223109E-2</v>
      </c>
      <c r="R69" s="67">
        <v>1.2189944199947572E-2</v>
      </c>
      <c r="S69" s="67">
        <v>1.243374308394652E-2</v>
      </c>
    </row>
    <row r="70" spans="2:19" x14ac:dyDescent="0.3">
      <c r="B70" s="61" t="s">
        <v>226</v>
      </c>
      <c r="C70" s="61" t="s">
        <v>122</v>
      </c>
      <c r="D70" s="61" t="s">
        <v>231</v>
      </c>
      <c r="E70" s="67">
        <v>0</v>
      </c>
      <c r="F70" s="67">
        <v>0</v>
      </c>
      <c r="G70" s="67">
        <v>0</v>
      </c>
      <c r="H70" s="67">
        <v>0.01</v>
      </c>
      <c r="I70" s="67">
        <v>1.0200000000000001E-2</v>
      </c>
      <c r="J70" s="67">
        <v>1.0404E-2</v>
      </c>
      <c r="K70" s="67">
        <v>1.0612079999999999E-2</v>
      </c>
      <c r="L70" s="67">
        <v>1.0824321600000001E-2</v>
      </c>
      <c r="M70" s="67">
        <v>1.1040808032000001E-2</v>
      </c>
      <c r="N70" s="67">
        <v>1.1261624192640001E-2</v>
      </c>
      <c r="O70" s="67">
        <v>1.1486856676492798E-2</v>
      </c>
      <c r="P70" s="67">
        <v>1.1716593810022656E-2</v>
      </c>
      <c r="Q70" s="67">
        <v>1.1950925686223109E-2</v>
      </c>
      <c r="R70" s="67">
        <v>1.2189944199947572E-2</v>
      </c>
      <c r="S70" s="67">
        <v>1.243374308394652E-2</v>
      </c>
    </row>
    <row r="71" spans="2:19" x14ac:dyDescent="0.3">
      <c r="B71" s="61" t="s">
        <v>226</v>
      </c>
      <c r="C71" s="61" t="s">
        <v>200</v>
      </c>
      <c r="D71" s="61" t="s">
        <v>231</v>
      </c>
      <c r="E71" s="67">
        <v>0</v>
      </c>
      <c r="F71" s="67">
        <v>0</v>
      </c>
      <c r="G71" s="67">
        <v>0</v>
      </c>
      <c r="H71" s="67">
        <v>0.01</v>
      </c>
      <c r="I71" s="67">
        <v>1.0200000000000001E-2</v>
      </c>
      <c r="J71" s="67">
        <v>1.0404E-2</v>
      </c>
      <c r="K71" s="67">
        <v>1.0612079999999999E-2</v>
      </c>
      <c r="L71" s="67">
        <v>1.0824321600000001E-2</v>
      </c>
      <c r="M71" s="67">
        <v>1.1040808032000001E-2</v>
      </c>
      <c r="N71" s="67">
        <v>1.1261624192640001E-2</v>
      </c>
      <c r="O71" s="67">
        <v>1.1486856676492798E-2</v>
      </c>
      <c r="P71" s="67">
        <v>1.1716593810022656E-2</v>
      </c>
      <c r="Q71" s="67">
        <v>1.1950925686223109E-2</v>
      </c>
      <c r="R71" s="67">
        <v>1.2189944199947572E-2</v>
      </c>
      <c r="S71" s="67">
        <v>1.243374308394652E-2</v>
      </c>
    </row>
    <row r="72" spans="2:19" x14ac:dyDescent="0.3">
      <c r="B72" s="61" t="s">
        <v>226</v>
      </c>
      <c r="C72" s="61" t="s">
        <v>123</v>
      </c>
      <c r="D72" s="61" t="s">
        <v>231</v>
      </c>
      <c r="E72" s="67">
        <v>0</v>
      </c>
      <c r="F72" s="67">
        <v>0</v>
      </c>
      <c r="G72" s="67">
        <v>0</v>
      </c>
      <c r="H72" s="67">
        <v>0.01</v>
      </c>
      <c r="I72" s="67">
        <v>1.0200000000000001E-2</v>
      </c>
      <c r="J72" s="67">
        <v>1.0404E-2</v>
      </c>
      <c r="K72" s="67">
        <v>1.0612079999999999E-2</v>
      </c>
      <c r="L72" s="67">
        <v>1.0824321600000001E-2</v>
      </c>
      <c r="M72" s="67">
        <v>1.1040808032000001E-2</v>
      </c>
      <c r="N72" s="67">
        <v>1.1261624192640001E-2</v>
      </c>
      <c r="O72" s="67">
        <v>1.1486856676492798E-2</v>
      </c>
      <c r="P72" s="67">
        <v>1.1716593810022656E-2</v>
      </c>
      <c r="Q72" s="67">
        <v>1.1950925686223109E-2</v>
      </c>
      <c r="R72" s="67">
        <v>1.2189944199947572E-2</v>
      </c>
      <c r="S72" s="67">
        <v>1.243374308394652E-2</v>
      </c>
    </row>
    <row r="73" spans="2:19" x14ac:dyDescent="0.3">
      <c r="B73" s="61" t="s">
        <v>226</v>
      </c>
      <c r="C73" s="61" t="s">
        <v>121</v>
      </c>
      <c r="D73" s="61" t="s">
        <v>232</v>
      </c>
      <c r="E73" s="67">
        <v>0</v>
      </c>
      <c r="F73" s="67">
        <v>0</v>
      </c>
      <c r="G73" s="67">
        <v>0</v>
      </c>
      <c r="H73" s="67">
        <v>0.01</v>
      </c>
      <c r="I73" s="67">
        <v>1.0400000000000001E-2</v>
      </c>
      <c r="J73" s="67">
        <v>1.0816000000000001E-2</v>
      </c>
      <c r="K73" s="67">
        <v>1.1248640000000001E-2</v>
      </c>
      <c r="L73" s="67">
        <v>1.1698585600000002E-2</v>
      </c>
      <c r="M73" s="67">
        <v>1.2166529024000004E-2</v>
      </c>
      <c r="N73" s="67">
        <v>1.2653190184960004E-2</v>
      </c>
      <c r="O73" s="67">
        <v>1.3159317792358403E-2</v>
      </c>
      <c r="P73" s="67">
        <v>1.3685690504052741E-2</v>
      </c>
      <c r="Q73" s="67">
        <v>1.4233118124214851E-2</v>
      </c>
      <c r="R73" s="67">
        <v>1.4802442849183447E-2</v>
      </c>
      <c r="S73" s="67">
        <v>1.5394540563150783E-2</v>
      </c>
    </row>
    <row r="74" spans="2:19" x14ac:dyDescent="0.3">
      <c r="B74" s="61" t="s">
        <v>226</v>
      </c>
      <c r="C74" s="61" t="s">
        <v>122</v>
      </c>
      <c r="D74" s="61" t="s">
        <v>232</v>
      </c>
      <c r="E74" s="67">
        <v>0</v>
      </c>
      <c r="F74" s="67">
        <v>0</v>
      </c>
      <c r="G74" s="67">
        <v>0</v>
      </c>
      <c r="H74" s="67">
        <v>0.01</v>
      </c>
      <c r="I74" s="67">
        <v>1.0400000000000001E-2</v>
      </c>
      <c r="J74" s="67">
        <v>1.0816000000000001E-2</v>
      </c>
      <c r="K74" s="67">
        <v>1.1248640000000001E-2</v>
      </c>
      <c r="L74" s="67">
        <v>1.1698585600000002E-2</v>
      </c>
      <c r="M74" s="67">
        <v>1.2166529024000004E-2</v>
      </c>
      <c r="N74" s="67">
        <v>1.2653190184960004E-2</v>
      </c>
      <c r="O74" s="67">
        <v>1.3159317792358403E-2</v>
      </c>
      <c r="P74" s="67">
        <v>1.3685690504052741E-2</v>
      </c>
      <c r="Q74" s="67">
        <v>1.4233118124214851E-2</v>
      </c>
      <c r="R74" s="67">
        <v>1.4802442849183447E-2</v>
      </c>
      <c r="S74" s="67">
        <v>1.5394540563150783E-2</v>
      </c>
    </row>
    <row r="75" spans="2:19" x14ac:dyDescent="0.3">
      <c r="B75" s="61" t="s">
        <v>226</v>
      </c>
      <c r="C75" s="61" t="s">
        <v>200</v>
      </c>
      <c r="D75" s="61" t="s">
        <v>232</v>
      </c>
      <c r="E75" s="67">
        <v>0</v>
      </c>
      <c r="F75" s="67">
        <v>0</v>
      </c>
      <c r="G75" s="67">
        <v>0</v>
      </c>
      <c r="H75" s="67">
        <v>0.01</v>
      </c>
      <c r="I75" s="67">
        <v>1.0400000000000001E-2</v>
      </c>
      <c r="J75" s="67">
        <v>1.0816000000000001E-2</v>
      </c>
      <c r="K75" s="67">
        <v>1.1248640000000001E-2</v>
      </c>
      <c r="L75" s="67">
        <v>1.1698585600000002E-2</v>
      </c>
      <c r="M75" s="67">
        <v>1.2166529024000004E-2</v>
      </c>
      <c r="N75" s="67">
        <v>1.2653190184960004E-2</v>
      </c>
      <c r="O75" s="67">
        <v>1.3159317792358403E-2</v>
      </c>
      <c r="P75" s="67">
        <v>1.3685690504052741E-2</v>
      </c>
      <c r="Q75" s="67">
        <v>1.4233118124214851E-2</v>
      </c>
      <c r="R75" s="67">
        <v>1.4802442849183447E-2</v>
      </c>
      <c r="S75" s="67">
        <v>1.5394540563150783E-2</v>
      </c>
    </row>
    <row r="76" spans="2:19" x14ac:dyDescent="0.3">
      <c r="B76" s="61" t="s">
        <v>226</v>
      </c>
      <c r="C76" s="61" t="s">
        <v>123</v>
      </c>
      <c r="D76" s="61" t="s">
        <v>232</v>
      </c>
      <c r="E76" s="67">
        <v>0</v>
      </c>
      <c r="F76" s="67">
        <v>0</v>
      </c>
      <c r="G76" s="67">
        <v>0</v>
      </c>
      <c r="H76" s="67">
        <v>0.01</v>
      </c>
      <c r="I76" s="67">
        <v>1.0400000000000001E-2</v>
      </c>
      <c r="J76" s="67">
        <v>1.0816000000000001E-2</v>
      </c>
      <c r="K76" s="67">
        <v>1.1248640000000001E-2</v>
      </c>
      <c r="L76" s="67">
        <v>1.1698585600000002E-2</v>
      </c>
      <c r="M76" s="67">
        <v>1.2166529024000004E-2</v>
      </c>
      <c r="N76" s="67">
        <v>1.2653190184960004E-2</v>
      </c>
      <c r="O76" s="67">
        <v>1.3159317792358403E-2</v>
      </c>
      <c r="P76" s="67">
        <v>1.3685690504052741E-2</v>
      </c>
      <c r="Q76" s="67">
        <v>1.4233118124214851E-2</v>
      </c>
      <c r="R76" s="67">
        <v>1.4802442849183447E-2</v>
      </c>
      <c r="S76" s="67">
        <v>1.5394540563150783E-2</v>
      </c>
    </row>
    <row r="77" spans="2:19" x14ac:dyDescent="0.3">
      <c r="B77" s="61" t="s">
        <v>227</v>
      </c>
      <c r="C77" s="61" t="s">
        <v>121</v>
      </c>
      <c r="D77" s="61" t="s">
        <v>231</v>
      </c>
      <c r="E77" s="67">
        <v>1.2999999999999999E-2</v>
      </c>
      <c r="F77" s="67">
        <v>1.2769000000000001E-2</v>
      </c>
      <c r="G77" s="67">
        <v>1.4301280000000003E-2</v>
      </c>
      <c r="H77" s="67">
        <v>1.6017433600000002E-2</v>
      </c>
      <c r="I77" s="67">
        <v>1.7939525632000006E-2</v>
      </c>
      <c r="J77" s="67">
        <v>2.0092268707840005E-2</v>
      </c>
      <c r="K77" s="67">
        <v>2.2503340952780809E-2</v>
      </c>
      <c r="L77" s="67">
        <v>2.5203741867114507E-2</v>
      </c>
      <c r="M77" s="67">
        <v>2.8228190891168251E-2</v>
      </c>
      <c r="N77" s="67">
        <v>3.1615573798108441E-2</v>
      </c>
      <c r="O77" s="67">
        <v>3.5409442653881455E-2</v>
      </c>
      <c r="P77" s="67">
        <v>3.9658575772347236E-2</v>
      </c>
      <c r="Q77" s="67">
        <v>4.4417604865028909E-2</v>
      </c>
      <c r="R77" s="67">
        <v>4.9747717448832378E-2</v>
      </c>
      <c r="S77" s="67">
        <v>5.5717443542692272E-2</v>
      </c>
    </row>
    <row r="78" spans="2:19" x14ac:dyDescent="0.3">
      <c r="B78" s="61" t="s">
        <v>227</v>
      </c>
      <c r="C78" s="61" t="s">
        <v>122</v>
      </c>
      <c r="D78" s="61" t="s">
        <v>231</v>
      </c>
      <c r="E78" s="67">
        <v>1.2768999999999997E-2</v>
      </c>
      <c r="F78" s="67">
        <v>1.2768999999999997E-2</v>
      </c>
      <c r="G78" s="67">
        <v>1.4301279999999998E-2</v>
      </c>
      <c r="H78" s="67">
        <v>1.6017433599999999E-2</v>
      </c>
      <c r="I78" s="67">
        <v>1.7939525632000002E-2</v>
      </c>
      <c r="J78" s="67">
        <v>2.0092268707840002E-2</v>
      </c>
      <c r="K78" s="67">
        <v>2.2503340952780802E-2</v>
      </c>
      <c r="L78" s="67">
        <v>2.52037418671145E-2</v>
      </c>
      <c r="M78" s="67">
        <v>2.8228190891168244E-2</v>
      </c>
      <c r="N78" s="67">
        <v>3.1615573798108434E-2</v>
      </c>
      <c r="O78" s="67">
        <v>3.5409442653881448E-2</v>
      </c>
      <c r="P78" s="67">
        <v>3.9658575772347222E-2</v>
      </c>
      <c r="Q78" s="67">
        <v>4.4417604865028895E-2</v>
      </c>
      <c r="R78" s="67">
        <v>4.9747717448832364E-2</v>
      </c>
      <c r="S78" s="67">
        <v>5.5717443542692258E-2</v>
      </c>
    </row>
    <row r="79" spans="2:19" x14ac:dyDescent="0.3">
      <c r="B79" s="61" t="s">
        <v>227</v>
      </c>
      <c r="C79" s="61" t="s">
        <v>200</v>
      </c>
      <c r="D79" s="61" t="s">
        <v>231</v>
      </c>
      <c r="E79" s="67">
        <v>1.2768999999999997E-2</v>
      </c>
      <c r="F79" s="67">
        <v>1.2768999999999997E-2</v>
      </c>
      <c r="G79" s="67">
        <v>1.4301279999999998E-2</v>
      </c>
      <c r="H79" s="67">
        <v>1.6017433599999999E-2</v>
      </c>
      <c r="I79" s="67">
        <v>1.7939525632000002E-2</v>
      </c>
      <c r="J79" s="67">
        <v>2.0092268707840002E-2</v>
      </c>
      <c r="K79" s="67">
        <v>2.2503340952780802E-2</v>
      </c>
      <c r="L79" s="67">
        <v>2.52037418671145E-2</v>
      </c>
      <c r="M79" s="67">
        <v>2.8228190891168244E-2</v>
      </c>
      <c r="N79" s="67">
        <v>3.1615573798108434E-2</v>
      </c>
      <c r="O79" s="67">
        <v>3.5409442653881448E-2</v>
      </c>
      <c r="P79" s="67">
        <v>3.9658575772347222E-2</v>
      </c>
      <c r="Q79" s="67">
        <v>4.4417604865028895E-2</v>
      </c>
      <c r="R79" s="67">
        <v>4.9747717448832364E-2</v>
      </c>
      <c r="S79" s="67">
        <v>5.5717443542692258E-2</v>
      </c>
    </row>
    <row r="80" spans="2:19" x14ac:dyDescent="0.3">
      <c r="B80" s="61" t="s">
        <v>227</v>
      </c>
      <c r="C80" s="61" t="s">
        <v>123</v>
      </c>
      <c r="D80" s="61" t="s">
        <v>231</v>
      </c>
      <c r="E80" s="67">
        <v>1.2768999999999997E-2</v>
      </c>
      <c r="F80" s="67">
        <v>1.2768999999999997E-2</v>
      </c>
      <c r="G80" s="67">
        <v>1.4301279999999998E-2</v>
      </c>
      <c r="H80" s="67">
        <v>1.6017433599999999E-2</v>
      </c>
      <c r="I80" s="67">
        <v>1.7939525632000002E-2</v>
      </c>
      <c r="J80" s="67">
        <v>2.0092268707840002E-2</v>
      </c>
      <c r="K80" s="67">
        <v>2.2503340952780802E-2</v>
      </c>
      <c r="L80" s="67">
        <v>2.52037418671145E-2</v>
      </c>
      <c r="M80" s="67">
        <v>2.8228190891168244E-2</v>
      </c>
      <c r="N80" s="67">
        <v>3.1615573798108434E-2</v>
      </c>
      <c r="O80" s="67">
        <v>3.5409442653881448E-2</v>
      </c>
      <c r="P80" s="67">
        <v>3.9658575772347222E-2</v>
      </c>
      <c r="Q80" s="67">
        <v>4.4417604865028895E-2</v>
      </c>
      <c r="R80" s="67">
        <v>4.9747717448832364E-2</v>
      </c>
      <c r="S80" s="67">
        <v>5.5717443542692258E-2</v>
      </c>
    </row>
    <row r="81" spans="2:19" x14ac:dyDescent="0.3">
      <c r="B81" s="61" t="s">
        <v>227</v>
      </c>
      <c r="C81" s="61" t="s">
        <v>121</v>
      </c>
      <c r="D81" s="61" t="s">
        <v>232</v>
      </c>
      <c r="E81" s="67">
        <v>1.2768999999999997E-2</v>
      </c>
      <c r="F81" s="67">
        <v>1.2768999999999997E-2</v>
      </c>
      <c r="G81" s="67">
        <v>1.5833559999999997E-2</v>
      </c>
      <c r="H81" s="67">
        <v>1.9633614399999996E-2</v>
      </c>
      <c r="I81" s="67">
        <v>2.4345681855999998E-2</v>
      </c>
      <c r="J81" s="67">
        <v>3.0188645501439997E-2</v>
      </c>
      <c r="K81" s="67">
        <v>3.7433920421785595E-2</v>
      </c>
      <c r="L81" s="67">
        <v>4.641806132301414E-2</v>
      </c>
      <c r="M81" s="67">
        <v>5.7558396040537536E-2</v>
      </c>
      <c r="N81" s="67">
        <v>7.1372411090266541E-2</v>
      </c>
      <c r="O81" s="67">
        <v>8.8501789751930515E-2</v>
      </c>
      <c r="P81" s="67">
        <v>0.10974221929239385</v>
      </c>
      <c r="Q81" s="67">
        <v>0.13608035192256837</v>
      </c>
      <c r="R81" s="67">
        <v>0.16873963638398479</v>
      </c>
      <c r="S81" s="67">
        <v>0.20923714911614114</v>
      </c>
    </row>
    <row r="82" spans="2:19" x14ac:dyDescent="0.3">
      <c r="B82" s="61" t="s">
        <v>227</v>
      </c>
      <c r="C82" s="61" t="s">
        <v>122</v>
      </c>
      <c r="D82" s="61" t="s">
        <v>232</v>
      </c>
      <c r="E82" s="67">
        <v>1.2768999999999997E-2</v>
      </c>
      <c r="F82" s="67">
        <v>1.2768999999999997E-2</v>
      </c>
      <c r="G82" s="67">
        <v>1.5833559999999997E-2</v>
      </c>
      <c r="H82" s="67">
        <v>1.9633614399999996E-2</v>
      </c>
      <c r="I82" s="67">
        <v>2.4345681855999998E-2</v>
      </c>
      <c r="J82" s="67">
        <v>3.0188645501439997E-2</v>
      </c>
      <c r="K82" s="67">
        <v>3.7433920421785595E-2</v>
      </c>
      <c r="L82" s="67">
        <v>4.641806132301414E-2</v>
      </c>
      <c r="M82" s="67">
        <v>5.7558396040537536E-2</v>
      </c>
      <c r="N82" s="67">
        <v>7.1372411090266541E-2</v>
      </c>
      <c r="O82" s="67">
        <v>8.8501789751930515E-2</v>
      </c>
      <c r="P82" s="67">
        <v>0.10974221929239385</v>
      </c>
      <c r="Q82" s="67">
        <v>0.13608035192256837</v>
      </c>
      <c r="R82" s="67">
        <v>0.16873963638398479</v>
      </c>
      <c r="S82" s="67">
        <v>0.20923714911614114</v>
      </c>
    </row>
    <row r="83" spans="2:19" x14ac:dyDescent="0.3">
      <c r="B83" s="61" t="s">
        <v>227</v>
      </c>
      <c r="C83" s="61" t="s">
        <v>200</v>
      </c>
      <c r="D83" s="61" t="s">
        <v>232</v>
      </c>
      <c r="E83" s="67">
        <v>1.2768999999999997E-2</v>
      </c>
      <c r="F83" s="67">
        <v>1.2768999999999997E-2</v>
      </c>
      <c r="G83" s="67">
        <v>1.5833559999999997E-2</v>
      </c>
      <c r="H83" s="67">
        <v>1.9633614399999996E-2</v>
      </c>
      <c r="I83" s="67">
        <v>2.4345681855999998E-2</v>
      </c>
      <c r="J83" s="67">
        <v>3.0188645501439997E-2</v>
      </c>
      <c r="K83" s="67">
        <v>3.7433920421785595E-2</v>
      </c>
      <c r="L83" s="67">
        <v>4.641806132301414E-2</v>
      </c>
      <c r="M83" s="67">
        <v>5.7558396040537536E-2</v>
      </c>
      <c r="N83" s="67">
        <v>7.1372411090266541E-2</v>
      </c>
      <c r="O83" s="67">
        <v>8.8501789751930515E-2</v>
      </c>
      <c r="P83" s="67">
        <v>0.10974221929239385</v>
      </c>
      <c r="Q83" s="67">
        <v>0.13608035192256837</v>
      </c>
      <c r="R83" s="67">
        <v>0.16873963638398479</v>
      </c>
      <c r="S83" s="67">
        <v>0.20923714911614114</v>
      </c>
    </row>
    <row r="84" spans="2:19" x14ac:dyDescent="0.3">
      <c r="B84" s="61" t="s">
        <v>227</v>
      </c>
      <c r="C84" s="61" t="s">
        <v>123</v>
      </c>
      <c r="D84" s="61" t="s">
        <v>232</v>
      </c>
      <c r="E84" s="67">
        <v>1.2768999999999997E-2</v>
      </c>
      <c r="F84" s="67">
        <v>1.2768999999999997E-2</v>
      </c>
      <c r="G84" s="67">
        <v>1.5833559999999997E-2</v>
      </c>
      <c r="H84" s="67">
        <v>1.9633614399999996E-2</v>
      </c>
      <c r="I84" s="67">
        <v>2.4345681855999998E-2</v>
      </c>
      <c r="J84" s="67">
        <v>3.0188645501439997E-2</v>
      </c>
      <c r="K84" s="67">
        <v>3.7433920421785595E-2</v>
      </c>
      <c r="L84" s="67">
        <v>4.641806132301414E-2</v>
      </c>
      <c r="M84" s="67">
        <v>5.7558396040537536E-2</v>
      </c>
      <c r="N84" s="67">
        <v>7.1372411090266541E-2</v>
      </c>
      <c r="O84" s="67">
        <v>8.8501789751930515E-2</v>
      </c>
      <c r="P84" s="67">
        <v>0.10974221929239385</v>
      </c>
      <c r="Q84" s="67">
        <v>0.13608035192256837</v>
      </c>
      <c r="R84" s="67">
        <v>0.16873963638398479</v>
      </c>
      <c r="S84" s="67">
        <v>0.20923714911614114</v>
      </c>
    </row>
    <row r="85" spans="2:19" x14ac:dyDescent="0.3">
      <c r="B85" s="61" t="s">
        <v>184</v>
      </c>
      <c r="C85" s="61" t="s">
        <v>121</v>
      </c>
      <c r="D85" s="61" t="s">
        <v>231</v>
      </c>
      <c r="E85" s="67">
        <v>1.1818181818181818E-2</v>
      </c>
      <c r="F85" s="67">
        <v>1.4090909090909091E-2</v>
      </c>
      <c r="G85" s="67">
        <v>1.5852272727272729E-2</v>
      </c>
      <c r="H85" s="67">
        <v>1.7833806818181818E-2</v>
      </c>
      <c r="I85" s="67">
        <v>2.0063032670454548E-2</v>
      </c>
      <c r="J85" s="67">
        <v>2.2570911754261364E-2</v>
      </c>
      <c r="K85" s="67">
        <v>2.5392275723544036E-2</v>
      </c>
      <c r="L85" s="67">
        <v>2.8566310188987039E-2</v>
      </c>
      <c r="M85" s="67">
        <v>3.2137098962610418E-2</v>
      </c>
      <c r="N85" s="67">
        <v>3.6154236332936719E-2</v>
      </c>
      <c r="O85" s="67">
        <v>4.0673515874553812E-2</v>
      </c>
      <c r="P85" s="67">
        <v>4.5757705358873038E-2</v>
      </c>
      <c r="Q85" s="67">
        <v>5.1477418528732166E-2</v>
      </c>
      <c r="R85" s="67">
        <v>5.7912095844823687E-2</v>
      </c>
      <c r="S85" s="67">
        <v>6.5151107825426657E-2</v>
      </c>
    </row>
    <row r="86" spans="2:19" x14ac:dyDescent="0.3">
      <c r="B86" s="61" t="s">
        <v>184</v>
      </c>
      <c r="C86" s="61" t="s">
        <v>122</v>
      </c>
      <c r="D86" s="61" t="s">
        <v>231</v>
      </c>
      <c r="E86" s="67">
        <v>1.1818181818181818E-2</v>
      </c>
      <c r="F86" s="67">
        <v>1.4090909090909091E-2</v>
      </c>
      <c r="G86" s="67">
        <v>1.5852272727272729E-2</v>
      </c>
      <c r="H86" s="67">
        <v>1.7833806818181818E-2</v>
      </c>
      <c r="I86" s="67">
        <v>2.0063032670454548E-2</v>
      </c>
      <c r="J86" s="67">
        <v>2.2570911754261364E-2</v>
      </c>
      <c r="K86" s="67">
        <v>2.5392275723544036E-2</v>
      </c>
      <c r="L86" s="67">
        <v>2.8566310188987039E-2</v>
      </c>
      <c r="M86" s="67">
        <v>3.2137098962610418E-2</v>
      </c>
      <c r="N86" s="67">
        <v>3.6154236332936719E-2</v>
      </c>
      <c r="O86" s="67">
        <v>4.0673515874553812E-2</v>
      </c>
      <c r="P86" s="67">
        <v>4.5757705358873038E-2</v>
      </c>
      <c r="Q86" s="67">
        <v>5.1477418528732166E-2</v>
      </c>
      <c r="R86" s="67">
        <v>5.7912095844823687E-2</v>
      </c>
      <c r="S86" s="67">
        <v>6.5151107825426657E-2</v>
      </c>
    </row>
    <row r="87" spans="2:19" x14ac:dyDescent="0.3">
      <c r="B87" s="61" t="s">
        <v>184</v>
      </c>
      <c r="C87" s="61" t="s">
        <v>200</v>
      </c>
      <c r="D87" s="61" t="s">
        <v>231</v>
      </c>
      <c r="E87" s="67">
        <v>1.1818181818181818E-2</v>
      </c>
      <c r="F87" s="67">
        <v>1.4090909090909091E-2</v>
      </c>
      <c r="G87" s="67">
        <v>1.5852272727272729E-2</v>
      </c>
      <c r="H87" s="67">
        <v>1.7833806818181818E-2</v>
      </c>
      <c r="I87" s="67">
        <v>2.0063032670454548E-2</v>
      </c>
      <c r="J87" s="67">
        <v>2.2570911754261364E-2</v>
      </c>
      <c r="K87" s="67">
        <v>2.5392275723544036E-2</v>
      </c>
      <c r="L87" s="67">
        <v>2.8566310188987039E-2</v>
      </c>
      <c r="M87" s="67">
        <v>3.2137098962610418E-2</v>
      </c>
      <c r="N87" s="67">
        <v>3.6154236332936719E-2</v>
      </c>
      <c r="O87" s="67">
        <v>4.0673515874553812E-2</v>
      </c>
      <c r="P87" s="67">
        <v>4.5757705358873038E-2</v>
      </c>
      <c r="Q87" s="67">
        <v>5.1477418528732166E-2</v>
      </c>
      <c r="R87" s="67">
        <v>5.7912095844823687E-2</v>
      </c>
      <c r="S87" s="67">
        <v>6.5151107825426657E-2</v>
      </c>
    </row>
    <row r="88" spans="2:19" x14ac:dyDescent="0.3">
      <c r="B88" s="61" t="s">
        <v>184</v>
      </c>
      <c r="C88" s="61" t="s">
        <v>123</v>
      </c>
      <c r="D88" s="61" t="s">
        <v>231</v>
      </c>
      <c r="E88" s="67">
        <v>1.1818181818181818E-2</v>
      </c>
      <c r="F88" s="67">
        <v>1.4090909090909091E-2</v>
      </c>
      <c r="G88" s="67">
        <v>1.5852272727272729E-2</v>
      </c>
      <c r="H88" s="67">
        <v>1.7833806818181818E-2</v>
      </c>
      <c r="I88" s="67">
        <v>2.0063032670454548E-2</v>
      </c>
      <c r="J88" s="67">
        <v>2.2570911754261364E-2</v>
      </c>
      <c r="K88" s="67">
        <v>2.5392275723544036E-2</v>
      </c>
      <c r="L88" s="67">
        <v>2.8566310188987039E-2</v>
      </c>
      <c r="M88" s="67">
        <v>3.2137098962610418E-2</v>
      </c>
      <c r="N88" s="67">
        <v>3.6154236332936719E-2</v>
      </c>
      <c r="O88" s="67">
        <v>4.0673515874553812E-2</v>
      </c>
      <c r="P88" s="67">
        <v>4.5757705358873038E-2</v>
      </c>
      <c r="Q88" s="67">
        <v>5.1477418528732166E-2</v>
      </c>
      <c r="R88" s="67">
        <v>5.7912095844823687E-2</v>
      </c>
      <c r="S88" s="67">
        <v>6.5151107825426657E-2</v>
      </c>
    </row>
    <row r="89" spans="2:19" x14ac:dyDescent="0.3">
      <c r="B89" s="61" t="s">
        <v>184</v>
      </c>
      <c r="C89" s="61" t="s">
        <v>121</v>
      </c>
      <c r="D89" s="61" t="s">
        <v>232</v>
      </c>
      <c r="E89" s="67">
        <v>1.1818181818181818E-2</v>
      </c>
      <c r="F89" s="67">
        <v>1.4090909090909091E-2</v>
      </c>
      <c r="G89" s="67">
        <v>1.6627272727272727E-2</v>
      </c>
      <c r="H89" s="67">
        <v>1.9620181818181818E-2</v>
      </c>
      <c r="I89" s="67">
        <v>2.3151814545454542E-2</v>
      </c>
      <c r="J89" s="67">
        <v>2.731914116363636E-2</v>
      </c>
      <c r="K89" s="67">
        <v>3.2236586573090899E-2</v>
      </c>
      <c r="L89" s="67">
        <v>3.8039172156247261E-2</v>
      </c>
      <c r="M89" s="67">
        <v>4.4886223144371767E-2</v>
      </c>
      <c r="N89" s="67">
        <v>5.2965743310358679E-2</v>
      </c>
      <c r="O89" s="67">
        <v>6.2499577106223246E-2</v>
      </c>
      <c r="P89" s="67">
        <v>7.3749500985343427E-2</v>
      </c>
      <c r="Q89" s="67">
        <v>8.7024411162705234E-2</v>
      </c>
      <c r="R89" s="67">
        <v>0.10268880517199216</v>
      </c>
      <c r="S89" s="67">
        <v>0.12117279010295075</v>
      </c>
    </row>
    <row r="90" spans="2:19" x14ac:dyDescent="0.3">
      <c r="B90" s="61" t="s">
        <v>184</v>
      </c>
      <c r="C90" s="61" t="s">
        <v>122</v>
      </c>
      <c r="D90" s="61" t="s">
        <v>232</v>
      </c>
      <c r="E90" s="67">
        <v>1.1818181818181818E-2</v>
      </c>
      <c r="F90" s="67">
        <v>1.4090909090909091E-2</v>
      </c>
      <c r="G90" s="67">
        <v>1.6627272727272727E-2</v>
      </c>
      <c r="H90" s="67">
        <v>1.9620181818181818E-2</v>
      </c>
      <c r="I90" s="67">
        <v>2.3151814545454542E-2</v>
      </c>
      <c r="J90" s="67">
        <v>2.731914116363636E-2</v>
      </c>
      <c r="K90" s="67">
        <v>3.2236586573090899E-2</v>
      </c>
      <c r="L90" s="67">
        <v>3.8039172156247261E-2</v>
      </c>
      <c r="M90" s="67">
        <v>4.4886223144371767E-2</v>
      </c>
      <c r="N90" s="67">
        <v>5.2965743310358679E-2</v>
      </c>
      <c r="O90" s="67">
        <v>6.2499577106223246E-2</v>
      </c>
      <c r="P90" s="67">
        <v>7.3749500985343427E-2</v>
      </c>
      <c r="Q90" s="67">
        <v>8.7024411162705234E-2</v>
      </c>
      <c r="R90" s="67">
        <v>0.10268880517199216</v>
      </c>
      <c r="S90" s="67">
        <v>0.12117279010295075</v>
      </c>
    </row>
    <row r="91" spans="2:19" x14ac:dyDescent="0.3">
      <c r="B91" s="61" t="s">
        <v>184</v>
      </c>
      <c r="C91" s="61" t="s">
        <v>200</v>
      </c>
      <c r="D91" s="61" t="s">
        <v>232</v>
      </c>
      <c r="E91" s="67">
        <v>1.1818181818181818E-2</v>
      </c>
      <c r="F91" s="67">
        <v>1.4090909090909091E-2</v>
      </c>
      <c r="G91" s="67">
        <v>1.6627272727272727E-2</v>
      </c>
      <c r="H91" s="67">
        <v>1.9620181818181818E-2</v>
      </c>
      <c r="I91" s="67">
        <v>2.3151814545454542E-2</v>
      </c>
      <c r="J91" s="67">
        <v>2.731914116363636E-2</v>
      </c>
      <c r="K91" s="67">
        <v>3.2236586573090899E-2</v>
      </c>
      <c r="L91" s="67">
        <v>3.8039172156247261E-2</v>
      </c>
      <c r="M91" s="67">
        <v>4.4886223144371767E-2</v>
      </c>
      <c r="N91" s="67">
        <v>5.2965743310358679E-2</v>
      </c>
      <c r="O91" s="67">
        <v>6.2499577106223246E-2</v>
      </c>
      <c r="P91" s="67">
        <v>7.3749500985343427E-2</v>
      </c>
      <c r="Q91" s="67">
        <v>8.7024411162705234E-2</v>
      </c>
      <c r="R91" s="67">
        <v>0.10268880517199216</v>
      </c>
      <c r="S91" s="67">
        <v>0.12117279010295075</v>
      </c>
    </row>
    <row r="92" spans="2:19" x14ac:dyDescent="0.3">
      <c r="B92" s="61" t="s">
        <v>184</v>
      </c>
      <c r="C92" s="61" t="s">
        <v>123</v>
      </c>
      <c r="D92" s="61" t="s">
        <v>232</v>
      </c>
      <c r="E92" s="67">
        <v>1.1818181818181818E-2</v>
      </c>
      <c r="F92" s="67">
        <v>1.4090909090909091E-2</v>
      </c>
      <c r="G92" s="67">
        <v>1.6627272727272727E-2</v>
      </c>
      <c r="H92" s="67">
        <v>1.9620181818181818E-2</v>
      </c>
      <c r="I92" s="67">
        <v>2.3151814545454542E-2</v>
      </c>
      <c r="J92" s="67">
        <v>2.731914116363636E-2</v>
      </c>
      <c r="K92" s="67">
        <v>3.2236586573090899E-2</v>
      </c>
      <c r="L92" s="67">
        <v>3.8039172156247261E-2</v>
      </c>
      <c r="M92" s="67">
        <v>4.4886223144371767E-2</v>
      </c>
      <c r="N92" s="67">
        <v>5.2965743310358679E-2</v>
      </c>
      <c r="O92" s="67">
        <v>6.2499577106223246E-2</v>
      </c>
      <c r="P92" s="67">
        <v>7.3749500985343427E-2</v>
      </c>
      <c r="Q92" s="67">
        <v>8.7024411162705234E-2</v>
      </c>
      <c r="R92" s="67">
        <v>0.10268880517199216</v>
      </c>
      <c r="S92" s="67">
        <v>0.12117279010295075</v>
      </c>
    </row>
    <row r="93" spans="2:19" x14ac:dyDescent="0.3">
      <c r="B93" s="61" t="s">
        <v>181</v>
      </c>
      <c r="C93" s="61" t="s">
        <v>121</v>
      </c>
      <c r="D93" s="61" t="s">
        <v>231</v>
      </c>
      <c r="E93" s="67">
        <v>1.2999999999999999E-2</v>
      </c>
      <c r="F93" s="67">
        <v>1.2769000000000001E-2</v>
      </c>
      <c r="G93" s="67">
        <v>1.316803125E-2</v>
      </c>
      <c r="H93" s="67">
        <v>1.3579532226562501E-2</v>
      </c>
      <c r="I93" s="67">
        <v>1.4003892608642579E-2</v>
      </c>
      <c r="J93" s="67">
        <v>1.4441514252662659E-2</v>
      </c>
      <c r="K93" s="67">
        <v>1.4892811573058367E-2</v>
      </c>
      <c r="L93" s="67">
        <v>1.5358211934716441E-2</v>
      </c>
      <c r="M93" s="67">
        <v>1.5838156057676332E-2</v>
      </c>
      <c r="N93" s="67">
        <v>1.6333098434478714E-2</v>
      </c>
      <c r="O93" s="67">
        <v>1.6843507760556174E-2</v>
      </c>
      <c r="P93" s="67">
        <v>1.7369867378073556E-2</v>
      </c>
      <c r="Q93" s="67">
        <v>1.7912675733638354E-2</v>
      </c>
      <c r="R93" s="67">
        <v>1.8472446850314555E-2</v>
      </c>
      <c r="S93" s="67">
        <v>1.9049710814386885E-2</v>
      </c>
    </row>
    <row r="94" spans="2:19" x14ac:dyDescent="0.3">
      <c r="B94" s="61" t="s">
        <v>181</v>
      </c>
      <c r="C94" s="61" t="s">
        <v>122</v>
      </c>
      <c r="D94" s="61" t="s">
        <v>231</v>
      </c>
      <c r="E94" s="67">
        <v>1.2768999999999997E-2</v>
      </c>
      <c r="F94" s="67">
        <v>1.2768999999999997E-2</v>
      </c>
      <c r="G94" s="67">
        <v>1.3168031249999997E-2</v>
      </c>
      <c r="H94" s="67">
        <v>1.3579532226562498E-2</v>
      </c>
      <c r="I94" s="67">
        <v>1.4003892608642576E-2</v>
      </c>
      <c r="J94" s="67">
        <v>1.4441514252662655E-2</v>
      </c>
      <c r="K94" s="67">
        <v>1.4892811573058364E-2</v>
      </c>
      <c r="L94" s="67">
        <v>1.5358211934716438E-2</v>
      </c>
      <c r="M94" s="67">
        <v>1.5838156057676325E-2</v>
      </c>
      <c r="N94" s="67">
        <v>1.6333098434478711E-2</v>
      </c>
      <c r="O94" s="67">
        <v>1.6843507760556171E-2</v>
      </c>
      <c r="P94" s="67">
        <v>1.7369867378073552E-2</v>
      </c>
      <c r="Q94" s="67">
        <v>1.7912675733638351E-2</v>
      </c>
      <c r="R94" s="67">
        <v>1.8472446850314551E-2</v>
      </c>
      <c r="S94" s="67">
        <v>1.9049710814386878E-2</v>
      </c>
    </row>
    <row r="95" spans="2:19" x14ac:dyDescent="0.3">
      <c r="B95" s="61" t="s">
        <v>181</v>
      </c>
      <c r="C95" s="61" t="s">
        <v>200</v>
      </c>
      <c r="D95" s="61" t="s">
        <v>231</v>
      </c>
      <c r="E95" s="67">
        <v>1.2768999999999997E-2</v>
      </c>
      <c r="F95" s="67">
        <v>1.2768999999999997E-2</v>
      </c>
      <c r="G95" s="67">
        <v>1.3168031249999997E-2</v>
      </c>
      <c r="H95" s="67">
        <v>1.3579532226562498E-2</v>
      </c>
      <c r="I95" s="67">
        <v>1.4003892608642576E-2</v>
      </c>
      <c r="J95" s="67">
        <v>1.4441514252662655E-2</v>
      </c>
      <c r="K95" s="67">
        <v>1.4892811573058364E-2</v>
      </c>
      <c r="L95" s="67">
        <v>1.5358211934716438E-2</v>
      </c>
      <c r="M95" s="67">
        <v>1.5838156057676325E-2</v>
      </c>
      <c r="N95" s="67">
        <v>1.6333098434478711E-2</v>
      </c>
      <c r="O95" s="67">
        <v>1.6843507760556171E-2</v>
      </c>
      <c r="P95" s="67">
        <v>1.7369867378073552E-2</v>
      </c>
      <c r="Q95" s="67">
        <v>1.7912675733638351E-2</v>
      </c>
      <c r="R95" s="67">
        <v>1.8472446850314551E-2</v>
      </c>
      <c r="S95" s="67">
        <v>1.9049710814386878E-2</v>
      </c>
    </row>
    <row r="96" spans="2:19" x14ac:dyDescent="0.3">
      <c r="B96" s="61" t="s">
        <v>181</v>
      </c>
      <c r="C96" s="61" t="s">
        <v>123</v>
      </c>
      <c r="D96" s="61" t="s">
        <v>231</v>
      </c>
      <c r="E96" s="67">
        <v>1.2768999999999997E-2</v>
      </c>
      <c r="F96" s="67">
        <v>1.2768999999999997E-2</v>
      </c>
      <c r="G96" s="67">
        <v>1.3168031249999997E-2</v>
      </c>
      <c r="H96" s="67">
        <v>1.3579532226562498E-2</v>
      </c>
      <c r="I96" s="67">
        <v>1.4003892608642576E-2</v>
      </c>
      <c r="J96" s="67">
        <v>1.4441514252662655E-2</v>
      </c>
      <c r="K96" s="67">
        <v>1.4892811573058364E-2</v>
      </c>
      <c r="L96" s="67">
        <v>1.5358211934716438E-2</v>
      </c>
      <c r="M96" s="67">
        <v>1.5838156057676325E-2</v>
      </c>
      <c r="N96" s="67">
        <v>1.6333098434478711E-2</v>
      </c>
      <c r="O96" s="67">
        <v>1.6843507760556171E-2</v>
      </c>
      <c r="P96" s="67">
        <v>1.7369867378073552E-2</v>
      </c>
      <c r="Q96" s="67">
        <v>1.7912675733638351E-2</v>
      </c>
      <c r="R96" s="67">
        <v>1.8472446850314551E-2</v>
      </c>
      <c r="S96" s="67">
        <v>1.9049710814386878E-2</v>
      </c>
    </row>
    <row r="97" spans="2:19" x14ac:dyDescent="0.3">
      <c r="B97" s="61" t="s">
        <v>181</v>
      </c>
      <c r="C97" s="61" t="s">
        <v>121</v>
      </c>
      <c r="D97" s="61" t="s">
        <v>232</v>
      </c>
      <c r="E97" s="67">
        <v>1.2768999999999997E-2</v>
      </c>
      <c r="F97" s="67">
        <v>1.2768999999999997E-2</v>
      </c>
      <c r="G97" s="67">
        <v>1.3343604999999996E-2</v>
      </c>
      <c r="H97" s="67">
        <v>1.3944067224999995E-2</v>
      </c>
      <c r="I97" s="67">
        <v>1.4571550250124994E-2</v>
      </c>
      <c r="J97" s="67">
        <v>1.5227270011380615E-2</v>
      </c>
      <c r="K97" s="67">
        <v>1.5912497161892743E-2</v>
      </c>
      <c r="L97" s="67">
        <v>1.6628559534177911E-2</v>
      </c>
      <c r="M97" s="67">
        <v>1.7376844713215919E-2</v>
      </c>
      <c r="N97" s="67">
        <v>1.8158802725310629E-2</v>
      </c>
      <c r="O97" s="67">
        <v>1.8975948847949609E-2</v>
      </c>
      <c r="P97" s="67">
        <v>1.9829866546107335E-2</v>
      </c>
      <c r="Q97" s="67">
        <v>2.0722210540682167E-2</v>
      </c>
      <c r="R97" s="67">
        <v>2.165471001501286E-2</v>
      </c>
      <c r="S97" s="67">
        <v>2.2629171965688439E-2</v>
      </c>
    </row>
    <row r="98" spans="2:19" x14ac:dyDescent="0.3">
      <c r="B98" s="61" t="s">
        <v>181</v>
      </c>
      <c r="C98" s="61" t="s">
        <v>122</v>
      </c>
      <c r="D98" s="61" t="s">
        <v>232</v>
      </c>
      <c r="E98" s="67">
        <v>1.2768999999999997E-2</v>
      </c>
      <c r="F98" s="67">
        <v>1.2768999999999997E-2</v>
      </c>
      <c r="G98" s="67">
        <v>1.3343604999999996E-2</v>
      </c>
      <c r="H98" s="67">
        <v>1.3944067224999995E-2</v>
      </c>
      <c r="I98" s="67">
        <v>1.4571550250124994E-2</v>
      </c>
      <c r="J98" s="67">
        <v>1.5227270011380615E-2</v>
      </c>
      <c r="K98" s="67">
        <v>1.5912497161892743E-2</v>
      </c>
      <c r="L98" s="67">
        <v>1.6628559534177911E-2</v>
      </c>
      <c r="M98" s="67">
        <v>1.7376844713215919E-2</v>
      </c>
      <c r="N98" s="67">
        <v>1.8158802725310629E-2</v>
      </c>
      <c r="O98" s="67">
        <v>1.8975948847949609E-2</v>
      </c>
      <c r="P98" s="67">
        <v>1.9829866546107335E-2</v>
      </c>
      <c r="Q98" s="67">
        <v>2.0722210540682167E-2</v>
      </c>
      <c r="R98" s="67">
        <v>2.165471001501286E-2</v>
      </c>
      <c r="S98" s="67">
        <v>2.2629171965688439E-2</v>
      </c>
    </row>
    <row r="99" spans="2:19" x14ac:dyDescent="0.3">
      <c r="B99" s="61" t="s">
        <v>181</v>
      </c>
      <c r="C99" s="61" t="s">
        <v>200</v>
      </c>
      <c r="D99" s="61" t="s">
        <v>232</v>
      </c>
      <c r="E99" s="67">
        <v>1.2768999999999997E-2</v>
      </c>
      <c r="F99" s="67">
        <v>1.2768999999999997E-2</v>
      </c>
      <c r="G99" s="67">
        <v>1.3343604999999996E-2</v>
      </c>
      <c r="H99" s="67">
        <v>1.3944067224999995E-2</v>
      </c>
      <c r="I99" s="67">
        <v>1.4571550250124994E-2</v>
      </c>
      <c r="J99" s="67">
        <v>1.5227270011380615E-2</v>
      </c>
      <c r="K99" s="67">
        <v>1.5912497161892743E-2</v>
      </c>
      <c r="L99" s="67">
        <v>1.6628559534177911E-2</v>
      </c>
      <c r="M99" s="67">
        <v>1.7376844713215919E-2</v>
      </c>
      <c r="N99" s="67">
        <v>1.8158802725310629E-2</v>
      </c>
      <c r="O99" s="67">
        <v>1.8975948847949609E-2</v>
      </c>
      <c r="P99" s="67">
        <v>1.9829866546107335E-2</v>
      </c>
      <c r="Q99" s="67">
        <v>2.0722210540682167E-2</v>
      </c>
      <c r="R99" s="67">
        <v>2.165471001501286E-2</v>
      </c>
      <c r="S99" s="67">
        <v>2.2629171965688439E-2</v>
      </c>
    </row>
    <row r="100" spans="2:19" x14ac:dyDescent="0.3">
      <c r="B100" s="61" t="s">
        <v>181</v>
      </c>
      <c r="C100" s="61" t="s">
        <v>123</v>
      </c>
      <c r="D100" s="61" t="s">
        <v>232</v>
      </c>
      <c r="E100" s="67">
        <v>1.2768999999999997E-2</v>
      </c>
      <c r="F100" s="67">
        <v>1.2768999999999997E-2</v>
      </c>
      <c r="G100" s="67">
        <v>1.3343604999999996E-2</v>
      </c>
      <c r="H100" s="67">
        <v>1.3944067224999995E-2</v>
      </c>
      <c r="I100" s="67">
        <v>1.4571550250124994E-2</v>
      </c>
      <c r="J100" s="67">
        <v>1.5227270011380615E-2</v>
      </c>
      <c r="K100" s="67">
        <v>1.5912497161892743E-2</v>
      </c>
      <c r="L100" s="67">
        <v>1.6628559534177911E-2</v>
      </c>
      <c r="M100" s="67">
        <v>1.7376844713215919E-2</v>
      </c>
      <c r="N100" s="67">
        <v>1.8158802725310629E-2</v>
      </c>
      <c r="O100" s="67">
        <v>1.8975948847949609E-2</v>
      </c>
      <c r="P100" s="67">
        <v>1.9829866546107335E-2</v>
      </c>
      <c r="Q100" s="67">
        <v>2.0722210540682167E-2</v>
      </c>
      <c r="R100" s="67">
        <v>2.165471001501286E-2</v>
      </c>
      <c r="S100" s="67">
        <v>2.2629171965688439E-2</v>
      </c>
    </row>
  </sheetData>
  <mergeCells count="1">
    <mergeCell ref="E3:S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Y13"/>
  <sheetViews>
    <sheetView workbookViewId="0">
      <selection activeCell="D19" sqref="D19"/>
    </sheetView>
  </sheetViews>
  <sheetFormatPr defaultRowHeight="14.4" x14ac:dyDescent="0.3"/>
  <cols>
    <col min="3" max="3" width="22" customWidth="1"/>
    <col min="4" max="4" width="11.44140625" customWidth="1"/>
    <col min="5" max="5" width="13.33203125" customWidth="1"/>
  </cols>
  <sheetData>
    <row r="1" spans="1:25" ht="18" x14ac:dyDescent="0.35">
      <c r="A1" s="152" t="s">
        <v>421</v>
      </c>
    </row>
    <row r="2" spans="1:25" x14ac:dyDescent="0.3">
      <c r="A2" t="s">
        <v>256</v>
      </c>
    </row>
    <row r="3" spans="1:25" x14ac:dyDescent="0.3">
      <c r="B3" t="s">
        <v>252</v>
      </c>
    </row>
    <row r="4" spans="1:25" x14ac:dyDescent="0.3">
      <c r="B4" s="85" t="s">
        <v>271</v>
      </c>
    </row>
    <row r="5" spans="1:25" x14ac:dyDescent="0.3">
      <c r="B5" t="s">
        <v>253</v>
      </c>
    </row>
    <row r="6" spans="1:25" x14ac:dyDescent="0.3">
      <c r="B6" t="s">
        <v>254</v>
      </c>
    </row>
    <row r="7" spans="1:25" x14ac:dyDescent="0.3">
      <c r="B7" t="s">
        <v>255</v>
      </c>
    </row>
    <row r="8" spans="1:25" x14ac:dyDescent="0.3">
      <c r="B8" s="1" t="s">
        <v>269</v>
      </c>
    </row>
    <row r="9" spans="1:25" x14ac:dyDescent="0.3">
      <c r="B9" t="s">
        <v>264</v>
      </c>
    </row>
    <row r="10" spans="1:25" x14ac:dyDescent="0.3">
      <c r="B10" t="s">
        <v>267</v>
      </c>
    </row>
    <row r="11" spans="1:25" x14ac:dyDescent="0.3">
      <c r="B11" s="84"/>
      <c r="I11" t="s">
        <v>0</v>
      </c>
    </row>
    <row r="12" spans="1:25" x14ac:dyDescent="0.3">
      <c r="C12" t="s">
        <v>257</v>
      </c>
      <c r="D12" t="s">
        <v>182</v>
      </c>
      <c r="E12" t="s">
        <v>247</v>
      </c>
      <c r="I12">
        <v>2015</v>
      </c>
      <c r="J12">
        <v>2016</v>
      </c>
      <c r="K12">
        <v>2017</v>
      </c>
      <c r="L12">
        <v>2018</v>
      </c>
      <c r="M12">
        <v>2019</v>
      </c>
      <c r="N12">
        <v>2020</v>
      </c>
      <c r="O12">
        <v>2021</v>
      </c>
      <c r="P12">
        <v>2022</v>
      </c>
      <c r="Q12">
        <v>2023</v>
      </c>
      <c r="R12">
        <v>2024</v>
      </c>
      <c r="S12">
        <v>2025</v>
      </c>
      <c r="T12">
        <v>2026</v>
      </c>
      <c r="U12">
        <v>2027</v>
      </c>
      <c r="V12">
        <v>2028</v>
      </c>
      <c r="W12">
        <v>2029</v>
      </c>
      <c r="X12">
        <v>2030</v>
      </c>
    </row>
    <row r="13" spans="1:25" x14ac:dyDescent="0.3">
      <c r="C13" s="47">
        <v>0.04</v>
      </c>
      <c r="D13" s="47">
        <v>0.01</v>
      </c>
      <c r="E13">
        <v>0</v>
      </c>
      <c r="I13" s="57">
        <f>$C13*'arch 2018 PGT BRO'!AY26/1000000*$D13*'arch 2018 PGT BRO'!$C3</f>
        <v>31.747231206314542</v>
      </c>
      <c r="J13" s="57">
        <f>$C13*'arch 2018 PGT BRO'!AZ26/1000000*$D13*'arch 2018 PGT BRO'!$C3</f>
        <v>32.116692352925611</v>
      </c>
      <c r="K13" s="57">
        <f>$C13*'arch 2018 PGT BRO'!BA26/1000000*$D13*'arch 2018 PGT BRO'!$C3</f>
        <v>32.537601757751119</v>
      </c>
      <c r="L13" s="57">
        <f>$C13*'arch 2018 PGT BRO'!BB26/1000000*$D13*'arch 2018 PGT BRO'!$C3</f>
        <v>32.836152106110937</v>
      </c>
      <c r="M13" s="57">
        <f>$C13*'arch 2018 PGT BRO'!BC26/1000000*$D13*'arch 2018 PGT BRO'!$C3</f>
        <v>33.261256313777778</v>
      </c>
      <c r="N13" s="57">
        <f>$C13*'arch 2018 PGT BRO'!BD26/1000000*$D13*'arch 2018 PGT BRO'!$C3</f>
        <v>33.68371537838901</v>
      </c>
      <c r="O13" s="57">
        <f>$C13*'arch 2018 PGT BRO'!BE26/1000000*$D13*'arch 2018 PGT BRO'!$C3</f>
        <v>34.066422045010533</v>
      </c>
      <c r="P13" s="57">
        <f>$C13*'arch 2018 PGT BRO'!BF26/1000000*$D13*'arch 2018 PGT BRO'!$C3</f>
        <v>34.447591164660551</v>
      </c>
      <c r="Q13" s="57">
        <f>$C13*'arch 2018 PGT BRO'!BG26/1000000*$D13*'arch 2018 PGT BRO'!$C3</f>
        <v>34.826571576142761</v>
      </c>
      <c r="R13" s="57">
        <f>$C13*'arch 2018 PGT BRO'!BH26/1000000*$D13*'arch 2018 PGT BRO'!$C3</f>
        <v>35.173665126958845</v>
      </c>
      <c r="S13" s="57">
        <f>$C13*'arch 2018 PGT BRO'!BI26/1000000*$D13*'arch 2018 PGT BRO'!$C3</f>
        <v>35.535516074516146</v>
      </c>
      <c r="T13" s="57">
        <f>$C13*'arch 2018 PGT BRO'!BJ26/1000000*$D13*'arch 2018 PGT BRO'!$C3</f>
        <v>35.859343092760938</v>
      </c>
      <c r="U13" s="57">
        <f>$C13*'arch 2018 PGT BRO'!BK26/1000000*$D13*'arch 2018 PGT BRO'!$C3</f>
        <v>36.17844722796012</v>
      </c>
      <c r="V13" s="57">
        <f>$C13*'arch 2018 PGT BRO'!BL26/1000000*$D13*'arch 2018 PGT BRO'!$C3</f>
        <v>36.509622327254192</v>
      </c>
      <c r="W13" s="57">
        <f>$C13*'arch 2018 PGT BRO'!BM26/1000000*$D13*'arch 2018 PGT BRO'!$C3</f>
        <v>36.839783683836323</v>
      </c>
      <c r="X13" s="57">
        <f>$C13*'arch 2018 PGT BRO'!BN26/1000000*$D13*'arch 2018 PGT BRO'!$C3</f>
        <v>37.170088820056904</v>
      </c>
      <c r="Y13" s="72"/>
    </row>
  </sheetData>
  <hyperlinks>
    <hyperlink ref="B4" r:id="rId1"/>
  </hyperlink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V72"/>
  <sheetViews>
    <sheetView topLeftCell="A13" workbookViewId="0">
      <selection activeCell="X1" sqref="X1"/>
    </sheetView>
  </sheetViews>
  <sheetFormatPr defaultRowHeight="14.4" x14ac:dyDescent="0.3"/>
  <cols>
    <col min="2" max="2" width="43.33203125" customWidth="1"/>
    <col min="3" max="3" width="11.88671875" bestFit="1" customWidth="1"/>
    <col min="4" max="15" width="10.5546875" bestFit="1" customWidth="1"/>
    <col min="20" max="20" width="30.5546875" customWidth="1"/>
  </cols>
  <sheetData>
    <row r="1" spans="2:22" ht="18" x14ac:dyDescent="0.35">
      <c r="B1" s="5" t="s">
        <v>304</v>
      </c>
    </row>
    <row r="2" spans="2:22" ht="18" x14ac:dyDescent="0.35">
      <c r="B2" s="89" t="s">
        <v>288</v>
      </c>
    </row>
    <row r="3" spans="2:22" x14ac:dyDescent="0.3">
      <c r="B3" s="86"/>
      <c r="C3" s="87" t="s">
        <v>275</v>
      </c>
      <c r="D3" s="87" t="s">
        <v>276</v>
      </c>
      <c r="E3" s="87" t="s">
        <v>277</v>
      </c>
      <c r="F3" s="87" t="s">
        <v>278</v>
      </c>
      <c r="G3" s="87" t="s">
        <v>279</v>
      </c>
      <c r="H3" s="87" t="s">
        <v>280</v>
      </c>
      <c r="I3" s="87" t="s">
        <v>281</v>
      </c>
      <c r="J3" s="87" t="s">
        <v>282</v>
      </c>
      <c r="K3" s="87" t="s">
        <v>283</v>
      </c>
      <c r="L3" s="87" t="s">
        <v>284</v>
      </c>
      <c r="M3" s="87" t="s">
        <v>285</v>
      </c>
      <c r="N3" s="87" t="s">
        <v>286</v>
      </c>
      <c r="O3" s="87" t="s">
        <v>287</v>
      </c>
      <c r="T3" t="s">
        <v>6</v>
      </c>
      <c r="U3">
        <v>2018</v>
      </c>
    </row>
    <row r="4" spans="2:22" x14ac:dyDescent="0.3">
      <c r="B4" s="90" t="s">
        <v>227</v>
      </c>
      <c r="C4" s="88">
        <v>15.8827243930376</v>
      </c>
      <c r="D4" s="88">
        <v>17.999066399196384</v>
      </c>
      <c r="E4" s="88">
        <v>20.349825822813425</v>
      </c>
      <c r="F4" s="88">
        <v>22.986019583800488</v>
      </c>
      <c r="G4" s="88">
        <v>26.075321711899928</v>
      </c>
      <c r="H4" s="88">
        <v>29.505533360601135</v>
      </c>
      <c r="I4" s="88">
        <v>33.320159522424511</v>
      </c>
      <c r="J4" s="88">
        <v>37.63653734219664</v>
      </c>
      <c r="K4" s="88">
        <v>42.446051733390533</v>
      </c>
      <c r="L4" s="88">
        <v>47.86934238449102</v>
      </c>
      <c r="M4" s="88">
        <v>54.115761452215907</v>
      </c>
      <c r="N4" s="88">
        <v>61.177210085530028</v>
      </c>
      <c r="O4" s="88">
        <v>69.160392426900245</v>
      </c>
      <c r="P4" s="57">
        <f>SUM(C4:O4)</f>
        <v>478.52394621849783</v>
      </c>
      <c r="T4" t="s">
        <v>135</v>
      </c>
      <c r="U4" s="57">
        <v>173.63543280128738</v>
      </c>
      <c r="V4" t="s">
        <v>293</v>
      </c>
    </row>
    <row r="5" spans="2:22" x14ac:dyDescent="0.3">
      <c r="B5" s="90" t="s">
        <v>225</v>
      </c>
      <c r="C5" s="88">
        <v>0</v>
      </c>
      <c r="D5" s="88">
        <v>0</v>
      </c>
      <c r="E5" s="88">
        <v>0</v>
      </c>
      <c r="F5" s="88">
        <v>0</v>
      </c>
      <c r="G5" s="88">
        <v>0</v>
      </c>
      <c r="H5" s="88">
        <v>0</v>
      </c>
      <c r="I5" s="88">
        <v>0</v>
      </c>
      <c r="J5" s="88">
        <v>0</v>
      </c>
      <c r="K5" s="88">
        <v>0</v>
      </c>
      <c r="L5" s="88">
        <v>0</v>
      </c>
      <c r="M5" s="88">
        <v>0</v>
      </c>
      <c r="N5" s="88">
        <v>0</v>
      </c>
      <c r="O5" s="88">
        <v>0</v>
      </c>
      <c r="P5" s="57">
        <f t="shared" ref="P5:P17" si="0">SUM(C5:O5)</f>
        <v>0</v>
      </c>
      <c r="Q5" s="7" t="s">
        <v>290</v>
      </c>
    </row>
    <row r="6" spans="2:22" x14ac:dyDescent="0.3">
      <c r="B6" s="90" t="s">
        <v>184</v>
      </c>
      <c r="C6" s="88">
        <v>3.8185659421390019</v>
      </c>
      <c r="D6" s="88">
        <v>4.3628613373685754</v>
      </c>
      <c r="E6" s="88">
        <v>4.975117966770207</v>
      </c>
      <c r="F6" s="88">
        <v>5.6689383160267628</v>
      </c>
      <c r="G6" s="88">
        <v>6.4557159046569375</v>
      </c>
      <c r="H6" s="88">
        <v>7.3530496166659498</v>
      </c>
      <c r="I6" s="88">
        <v>8.3771239939390014</v>
      </c>
      <c r="J6" s="88">
        <v>9.5431367329836299</v>
      </c>
      <c r="K6" s="88">
        <v>10.867768905059904</v>
      </c>
      <c r="L6" s="88">
        <v>12.37327624627215</v>
      </c>
      <c r="M6" s="88">
        <v>14.086275361809191</v>
      </c>
      <c r="N6" s="88">
        <v>16.035790116720062</v>
      </c>
      <c r="O6" s="88">
        <v>18.254753051176895</v>
      </c>
      <c r="P6" s="57">
        <f t="shared" si="0"/>
        <v>122.17237349158827</v>
      </c>
      <c r="T6" t="s">
        <v>112</v>
      </c>
      <c r="U6" s="57">
        <v>7.7026629758576641</v>
      </c>
      <c r="V6" t="s">
        <v>294</v>
      </c>
    </row>
    <row r="7" spans="2:22" x14ac:dyDescent="0.3">
      <c r="B7" s="90" t="s">
        <v>224</v>
      </c>
      <c r="C7" s="88">
        <v>0</v>
      </c>
      <c r="D7" s="88">
        <v>0.40711216215981594</v>
      </c>
      <c r="E7" s="88">
        <v>0.82253745599412675</v>
      </c>
      <c r="F7" s="88">
        <v>1.2451475542269517</v>
      </c>
      <c r="G7" s="88">
        <v>1.6820518261778485</v>
      </c>
      <c r="H7" s="88">
        <v>2.1240525116336197</v>
      </c>
      <c r="I7" s="88">
        <v>2.5693142578713095</v>
      </c>
      <c r="J7" s="88">
        <v>3.0223451523249354</v>
      </c>
      <c r="K7" s="88">
        <v>3.4779061990900204</v>
      </c>
      <c r="L7" s="88">
        <v>3.939664954106513</v>
      </c>
      <c r="M7" s="88">
        <v>4.4181185764580704</v>
      </c>
      <c r="N7" s="88">
        <v>4.9050199656549891</v>
      </c>
      <c r="O7" s="88">
        <v>5.4005410715333264</v>
      </c>
      <c r="P7" s="57">
        <f t="shared" si="0"/>
        <v>34.013811687231531</v>
      </c>
      <c r="T7" t="s">
        <v>150</v>
      </c>
      <c r="U7" s="57">
        <v>8.7182241963812324</v>
      </c>
      <c r="V7" t="s">
        <v>295</v>
      </c>
    </row>
    <row r="8" spans="2:22" x14ac:dyDescent="0.3">
      <c r="B8" s="90" t="s">
        <v>223</v>
      </c>
      <c r="C8" s="88">
        <v>0</v>
      </c>
      <c r="D8" s="88">
        <v>1.5111463098201718</v>
      </c>
      <c r="E8" s="88">
        <v>1.5288840100340908</v>
      </c>
      <c r="F8" s="88">
        <v>4.9905289407528999</v>
      </c>
      <c r="G8" s="88">
        <v>5.0620144670563247</v>
      </c>
      <c r="H8" s="88">
        <v>5.1176887438982313</v>
      </c>
      <c r="I8" s="88">
        <v>5.1682557729245149</v>
      </c>
      <c r="J8" s="88">
        <v>5.2154370257064686</v>
      </c>
      <c r="K8" s="88">
        <v>5.2563053564099658</v>
      </c>
      <c r="L8" s="88">
        <v>5.2969503957159798</v>
      </c>
      <c r="M8" s="88">
        <v>5.3520269867033869</v>
      </c>
      <c r="N8" s="88">
        <v>5.4081270058924185</v>
      </c>
      <c r="O8" s="88">
        <v>5.4650264416062653</v>
      </c>
      <c r="P8" s="57">
        <f t="shared" si="0"/>
        <v>55.372391456520717</v>
      </c>
    </row>
    <row r="9" spans="2:22" x14ac:dyDescent="0.3">
      <c r="B9" s="90" t="s">
        <v>212</v>
      </c>
      <c r="C9" s="88">
        <v>177.332940682703</v>
      </c>
      <c r="D9" s="88">
        <v>193.53454205438675</v>
      </c>
      <c r="E9" s="88">
        <v>210.62185041818307</v>
      </c>
      <c r="F9" s="88">
        <v>228.61744096533602</v>
      </c>
      <c r="G9" s="88">
        <v>242.88182947623309</v>
      </c>
      <c r="H9" s="88">
        <v>255.83886429820234</v>
      </c>
      <c r="I9" s="88">
        <v>269.0104131757065</v>
      </c>
      <c r="J9" s="88">
        <v>282.73438983756228</v>
      </c>
      <c r="K9" s="88">
        <v>296.74578094578254</v>
      </c>
      <c r="L9" s="88">
        <v>311.24841117681325</v>
      </c>
      <c r="M9" s="88">
        <v>324.30671049512796</v>
      </c>
      <c r="N9" s="88">
        <v>337.6845105965225</v>
      </c>
      <c r="O9" s="88">
        <v>345.95402119271745</v>
      </c>
      <c r="P9" s="57">
        <f t="shared" si="0"/>
        <v>3476.5117053152767</v>
      </c>
      <c r="T9" t="s">
        <v>90</v>
      </c>
      <c r="U9" s="57">
        <v>152.2888583183194</v>
      </c>
      <c r="V9" t="s">
        <v>296</v>
      </c>
    </row>
    <row r="10" spans="2:22" x14ac:dyDescent="0.3">
      <c r="B10" s="90" t="s">
        <v>220</v>
      </c>
      <c r="C10" s="88">
        <v>0</v>
      </c>
      <c r="D10" s="88">
        <v>0</v>
      </c>
      <c r="E10" s="88">
        <v>0</v>
      </c>
      <c r="F10" s="88">
        <v>0</v>
      </c>
      <c r="G10" s="88">
        <v>0</v>
      </c>
      <c r="H10" s="88">
        <v>0</v>
      </c>
      <c r="I10" s="88">
        <v>0</v>
      </c>
      <c r="J10" s="88">
        <v>0</v>
      </c>
      <c r="K10" s="88">
        <v>0</v>
      </c>
      <c r="L10" s="88">
        <v>0</v>
      </c>
      <c r="M10" s="88">
        <v>0</v>
      </c>
      <c r="N10" s="88">
        <v>0</v>
      </c>
      <c r="O10" s="88">
        <v>0</v>
      </c>
      <c r="P10" s="57">
        <f t="shared" si="0"/>
        <v>0</v>
      </c>
      <c r="Q10" s="7" t="s">
        <v>290</v>
      </c>
      <c r="T10" t="s">
        <v>270</v>
      </c>
      <c r="U10" s="57">
        <v>91.982446669948501</v>
      </c>
    </row>
    <row r="11" spans="2:22" x14ac:dyDescent="0.3">
      <c r="B11" s="90" t="s">
        <v>222</v>
      </c>
      <c r="C11" s="88">
        <v>0</v>
      </c>
      <c r="D11" s="88">
        <v>1.2077531594444868</v>
      </c>
      <c r="E11" s="88">
        <v>1.2267558510567156</v>
      </c>
      <c r="F11" s="88">
        <v>1.2483453458189548</v>
      </c>
      <c r="G11" s="88">
        <v>1.9127564294190298</v>
      </c>
      <c r="H11" s="88">
        <v>1.9564390881259659</v>
      </c>
      <c r="I11" s="88">
        <v>1.9995510306959485</v>
      </c>
      <c r="J11" s="88">
        <v>2.7261246419940708</v>
      </c>
      <c r="K11" s="88">
        <v>2.7855378103249002</v>
      </c>
      <c r="L11" s="88">
        <v>2.8464872038723037</v>
      </c>
      <c r="M11" s="88">
        <v>3.6145268717819814</v>
      </c>
      <c r="N11" s="88">
        <v>3.6718467334059688</v>
      </c>
      <c r="O11" s="88">
        <v>3.7300831257164546</v>
      </c>
      <c r="P11" s="57">
        <f t="shared" si="0"/>
        <v>28.926207291656784</v>
      </c>
      <c r="T11" t="s">
        <v>105</v>
      </c>
      <c r="U11" s="57">
        <v>34.366034303748009</v>
      </c>
    </row>
    <row r="12" spans="2:22" x14ac:dyDescent="0.3">
      <c r="B12" s="90" t="s">
        <v>181</v>
      </c>
      <c r="C12" s="88">
        <v>16.298707881704949</v>
      </c>
      <c r="D12" s="88">
        <v>17.010883393176307</v>
      </c>
      <c r="E12" s="88">
        <v>17.708554563868702</v>
      </c>
      <c r="F12" s="88">
        <v>22.047490787748725</v>
      </c>
      <c r="G12" s="88">
        <v>22.928962514395273</v>
      </c>
      <c r="H12" s="88">
        <v>23.898993207008402</v>
      </c>
      <c r="I12" s="88">
        <v>24.860445870412232</v>
      </c>
      <c r="J12" s="88">
        <v>25.861013523593599</v>
      </c>
      <c r="K12" s="88">
        <v>27.576928077644972</v>
      </c>
      <c r="L12" s="88">
        <v>28.624306982942983</v>
      </c>
      <c r="M12" s="88">
        <v>29.802535549225151</v>
      </c>
      <c r="N12" s="88">
        <v>31.0297309053948</v>
      </c>
      <c r="O12" s="88">
        <v>32.307827638744357</v>
      </c>
      <c r="P12" s="57">
        <f t="shared" si="0"/>
        <v>319.95638089586043</v>
      </c>
      <c r="T12" t="s">
        <v>181</v>
      </c>
      <c r="U12" s="57">
        <v>62.385974900414773</v>
      </c>
    </row>
    <row r="13" spans="2:22" x14ac:dyDescent="0.3">
      <c r="B13" s="90" t="s">
        <v>221</v>
      </c>
      <c r="C13" s="88">
        <v>0</v>
      </c>
      <c r="D13" s="88">
        <v>1.026111676991978</v>
      </c>
      <c r="E13" s="88">
        <v>1.0419758449650827</v>
      </c>
      <c r="F13" s="88">
        <v>1.0604149921244566</v>
      </c>
      <c r="G13" s="88">
        <v>1.0835314897502126</v>
      </c>
      <c r="H13" s="88">
        <v>1.1080442541545457</v>
      </c>
      <c r="I13" s="88">
        <v>1.1325339883412062</v>
      </c>
      <c r="J13" s="88">
        <v>1.1581284166641332</v>
      </c>
      <c r="K13" s="88">
        <v>1.1835219851854442</v>
      </c>
      <c r="L13" s="88">
        <v>1.2095485242075954</v>
      </c>
      <c r="M13" s="88">
        <v>1.2286457535863795</v>
      </c>
      <c r="N13" s="88">
        <v>1.2480464304002707</v>
      </c>
      <c r="O13" s="88">
        <v>1.2677554062581187</v>
      </c>
      <c r="P13" s="57">
        <f t="shared" si="0"/>
        <v>13.748258762629423</v>
      </c>
      <c r="T13" t="s">
        <v>104</v>
      </c>
      <c r="U13" s="57">
        <v>0</v>
      </c>
    </row>
    <row r="14" spans="2:22" x14ac:dyDescent="0.3">
      <c r="B14" s="90" t="s">
        <v>226</v>
      </c>
      <c r="C14" s="88">
        <v>0</v>
      </c>
      <c r="D14" s="88">
        <v>0</v>
      </c>
      <c r="E14" s="88">
        <v>7.1264714506665854</v>
      </c>
      <c r="F14" s="88">
        <v>7.3315714953788564</v>
      </c>
      <c r="G14" s="88">
        <v>7.5756280507528739</v>
      </c>
      <c r="H14" s="88">
        <v>7.8187004348890898</v>
      </c>
      <c r="I14" s="88">
        <v>8.0545743804268355</v>
      </c>
      <c r="J14" s="88">
        <v>8.2961670071141924</v>
      </c>
      <c r="K14" s="88">
        <v>8.5314789862745606</v>
      </c>
      <c r="L14" s="88">
        <v>8.7722322171254827</v>
      </c>
      <c r="M14" s="88">
        <v>9.0417671274963762</v>
      </c>
      <c r="N14" s="88">
        <v>9.3200530710680276</v>
      </c>
      <c r="O14" s="88">
        <v>9.607097494466986</v>
      </c>
      <c r="P14" s="57">
        <f t="shared" si="0"/>
        <v>91.475741715659865</v>
      </c>
      <c r="T14" t="s">
        <v>113</v>
      </c>
      <c r="U14" s="57">
        <v>31.110027377201515</v>
      </c>
    </row>
    <row r="15" spans="2:22" x14ac:dyDescent="0.3">
      <c r="B15" s="90" t="s">
        <v>273</v>
      </c>
      <c r="C15" s="88">
        <v>0</v>
      </c>
      <c r="D15" s="88">
        <v>1.0188516933319312</v>
      </c>
      <c r="E15" s="88">
        <v>2.279527711045354</v>
      </c>
      <c r="F15" s="88">
        <v>5.3180705218072193</v>
      </c>
      <c r="G15" s="88">
        <v>7.2408671613154896</v>
      </c>
      <c r="H15" s="88">
        <v>9.1801639342989692</v>
      </c>
      <c r="I15" s="88">
        <v>11.102652000478241</v>
      </c>
      <c r="J15" s="88">
        <v>21.811033039429816</v>
      </c>
      <c r="K15" s="88">
        <v>25.105784269074732</v>
      </c>
      <c r="L15" s="88">
        <v>28.426566036940116</v>
      </c>
      <c r="M15" s="88">
        <v>31.848951034036485</v>
      </c>
      <c r="N15" s="88">
        <v>35.306927234406189</v>
      </c>
      <c r="O15" s="88">
        <v>38.802797552929562</v>
      </c>
      <c r="P15" s="57">
        <f t="shared" si="0"/>
        <v>217.4421921890941</v>
      </c>
    </row>
    <row r="16" spans="2:22" x14ac:dyDescent="0.3">
      <c r="B16" s="90" t="s">
        <v>219</v>
      </c>
      <c r="C16" s="88">
        <v>0</v>
      </c>
      <c r="D16" s="88">
        <v>32.091849973906484</v>
      </c>
      <c r="E16" s="88">
        <v>35.068491870807271</v>
      </c>
      <c r="F16" s="88">
        <v>38.389685284447928</v>
      </c>
      <c r="G16" s="88">
        <v>42.168404539931842</v>
      </c>
      <c r="H16" s="88">
        <v>46.400078957231464</v>
      </c>
      <c r="I16" s="88">
        <v>51.005312202607186</v>
      </c>
      <c r="J16" s="88">
        <v>56.079423127457801</v>
      </c>
      <c r="K16" s="88">
        <v>61.629502306020349</v>
      </c>
      <c r="L16" s="88">
        <v>67.734752362197597</v>
      </c>
      <c r="M16" s="88">
        <v>74.012407506928753</v>
      </c>
      <c r="N16" s="88">
        <v>80.872012352681793</v>
      </c>
      <c r="O16" s="88">
        <v>88.367527138230713</v>
      </c>
      <c r="P16" s="57">
        <f t="shared" si="0"/>
        <v>673.81944762244916</v>
      </c>
      <c r="Q16" s="7" t="s">
        <v>290</v>
      </c>
      <c r="T16" t="s">
        <v>101</v>
      </c>
      <c r="U16" s="57">
        <v>129.97519638144894</v>
      </c>
    </row>
    <row r="17" spans="2:21" x14ac:dyDescent="0.3">
      <c r="B17" s="90" t="s">
        <v>274</v>
      </c>
      <c r="C17" s="88">
        <v>213.33293889958455</v>
      </c>
      <c r="D17" s="88">
        <v>270.17017815978284</v>
      </c>
      <c r="E17" s="88">
        <v>302.74999296620467</v>
      </c>
      <c r="F17" s="88">
        <v>338.90365378746924</v>
      </c>
      <c r="G17" s="88">
        <v>365.0670835715888</v>
      </c>
      <c r="H17" s="88">
        <v>390.3016084067097</v>
      </c>
      <c r="I17" s="88">
        <v>416.60033619582748</v>
      </c>
      <c r="J17" s="88">
        <v>454.08373584702764</v>
      </c>
      <c r="K17" s="88">
        <v>485.60656657425795</v>
      </c>
      <c r="L17" s="88">
        <v>518.34153848468497</v>
      </c>
      <c r="M17" s="88">
        <v>551.82772671536964</v>
      </c>
      <c r="N17" s="88">
        <v>586.65927449767696</v>
      </c>
      <c r="O17" s="88">
        <v>618.3178225402803</v>
      </c>
      <c r="P17" s="57">
        <f t="shared" si="0"/>
        <v>5511.9624566464645</v>
      </c>
      <c r="U17" s="57">
        <v>692.16485792460742</v>
      </c>
    </row>
    <row r="18" spans="2:21" x14ac:dyDescent="0.3">
      <c r="B18" s="92" t="s">
        <v>291</v>
      </c>
      <c r="C18" s="93">
        <f>SUM(C4,C6,C7,C8,C9,C11,C12,C13,C14,C15)</f>
        <v>213.33293889958455</v>
      </c>
      <c r="D18" s="93">
        <f t="shared" ref="D18:O18" si="1">SUM(D4,D6,D7,D8,D9,D11,D12,D13,D14,D15)</f>
        <v>238.07832818587636</v>
      </c>
      <c r="E18" s="93">
        <f t="shared" si="1"/>
        <v>267.68150109539738</v>
      </c>
      <c r="F18" s="93">
        <f t="shared" si="1"/>
        <v>300.51396850302132</v>
      </c>
      <c r="G18" s="93">
        <f t="shared" si="1"/>
        <v>322.89867903165697</v>
      </c>
      <c r="H18" s="93">
        <f t="shared" si="1"/>
        <v>343.90152944947823</v>
      </c>
      <c r="I18" s="93">
        <f t="shared" si="1"/>
        <v>365.59502399322031</v>
      </c>
      <c r="J18" s="93">
        <f t="shared" si="1"/>
        <v>398.00431271956984</v>
      </c>
      <c r="K18" s="93">
        <f t="shared" si="1"/>
        <v>423.9770642682376</v>
      </c>
      <c r="L18" s="93">
        <f t="shared" si="1"/>
        <v>450.60678612248739</v>
      </c>
      <c r="M18" s="93">
        <f t="shared" si="1"/>
        <v>477.81531920844083</v>
      </c>
      <c r="N18" s="93">
        <f t="shared" si="1"/>
        <v>505.78726214499522</v>
      </c>
      <c r="O18" s="93">
        <f t="shared" si="1"/>
        <v>529.95029540204962</v>
      </c>
      <c r="P18" s="57"/>
    </row>
    <row r="19" spans="2:21" x14ac:dyDescent="0.3">
      <c r="B19" s="92"/>
      <c r="C19" s="93"/>
      <c r="D19" s="93"/>
      <c r="E19" s="93"/>
      <c r="F19" s="93"/>
      <c r="G19" s="93"/>
      <c r="H19" s="93"/>
      <c r="I19" s="93"/>
      <c r="J19" s="93"/>
      <c r="K19" s="93"/>
      <c r="L19" s="93"/>
      <c r="M19" s="93"/>
      <c r="N19" s="93"/>
      <c r="O19" s="93"/>
      <c r="P19" s="57"/>
    </row>
    <row r="20" spans="2:21" ht="18" x14ac:dyDescent="0.35">
      <c r="B20" s="91" t="s">
        <v>289</v>
      </c>
      <c r="P20" s="57"/>
    </row>
    <row r="21" spans="2:21" x14ac:dyDescent="0.3">
      <c r="B21" s="90"/>
      <c r="C21" s="87" t="s">
        <v>275</v>
      </c>
      <c r="D21" s="87" t="s">
        <v>276</v>
      </c>
      <c r="E21" s="87" t="s">
        <v>277</v>
      </c>
      <c r="F21" s="87" t="s">
        <v>278</v>
      </c>
      <c r="G21" s="87" t="s">
        <v>279</v>
      </c>
      <c r="H21" s="87" t="s">
        <v>280</v>
      </c>
      <c r="I21" s="87" t="s">
        <v>281</v>
      </c>
      <c r="J21" s="87" t="s">
        <v>282</v>
      </c>
      <c r="K21" s="87" t="s">
        <v>283</v>
      </c>
      <c r="L21" s="87" t="s">
        <v>284</v>
      </c>
      <c r="M21" s="87" t="s">
        <v>285</v>
      </c>
      <c r="N21" s="87" t="s">
        <v>286</v>
      </c>
      <c r="O21" s="87" t="s">
        <v>287</v>
      </c>
      <c r="P21" s="57"/>
    </row>
    <row r="22" spans="2:21" x14ac:dyDescent="0.3">
      <c r="B22" s="90" t="s">
        <v>227</v>
      </c>
      <c r="C22" s="88">
        <v>17.584444863720197</v>
      </c>
      <c r="D22" s="88">
        <v>22.06263113472923</v>
      </c>
      <c r="E22" s="88">
        <v>27.616693744872194</v>
      </c>
      <c r="F22" s="88">
        <v>34.536507887421585</v>
      </c>
      <c r="G22" s="88">
        <v>43.375848945447387</v>
      </c>
      <c r="H22" s="88">
        <v>54.34072702861809</v>
      </c>
      <c r="I22" s="88">
        <v>67.941121176335699</v>
      </c>
      <c r="J22" s="88">
        <v>84.964784519019034</v>
      </c>
      <c r="K22" s="88">
        <v>106.08897697225727</v>
      </c>
      <c r="L22" s="88">
        <v>132.46284736741509</v>
      </c>
      <c r="M22" s="88">
        <v>165.79218724990812</v>
      </c>
      <c r="N22" s="88">
        <v>207.50741369062106</v>
      </c>
      <c r="O22" s="88">
        <v>259.71980089269789</v>
      </c>
      <c r="P22" s="57">
        <f>SUM(C22:O22)</f>
        <v>1223.9939854730628</v>
      </c>
    </row>
    <row r="23" spans="2:21" x14ac:dyDescent="0.3">
      <c r="B23" s="90" t="s">
        <v>225</v>
      </c>
      <c r="C23" s="88">
        <v>21.702167039003879</v>
      </c>
      <c r="D23" s="88">
        <v>50.650681451502983</v>
      </c>
      <c r="E23" s="88">
        <v>73.40154318319793</v>
      </c>
      <c r="F23" s="88">
        <v>74.097398059786016</v>
      </c>
      <c r="G23" s="88">
        <v>75.065165289830531</v>
      </c>
      <c r="H23" s="88">
        <v>75.990630307108816</v>
      </c>
      <c r="I23" s="88">
        <v>106.67527502922337</v>
      </c>
      <c r="J23" s="88">
        <v>131.32267473665621</v>
      </c>
      <c r="K23" s="88">
        <v>132.39789079960187</v>
      </c>
      <c r="L23" s="88">
        <v>133.46439412221474</v>
      </c>
      <c r="M23" s="88">
        <v>134.86196838743919</v>
      </c>
      <c r="N23" s="88">
        <v>136.27931679116276</v>
      </c>
      <c r="O23" s="88">
        <v>137.71384636079139</v>
      </c>
      <c r="P23" s="57">
        <f t="shared" ref="P23:P35" si="2">SUM(C23:O23)</f>
        <v>1283.6229515575196</v>
      </c>
      <c r="Q23" s="7" t="s">
        <v>290</v>
      </c>
    </row>
    <row r="24" spans="2:21" x14ac:dyDescent="0.3">
      <c r="B24" s="90" t="s">
        <v>184</v>
      </c>
      <c r="C24" s="88">
        <v>4.0052513881991292</v>
      </c>
      <c r="D24" s="88">
        <v>4.7998800009102256</v>
      </c>
      <c r="E24" s="88">
        <v>5.7410567186108823</v>
      </c>
      <c r="F24" s="88">
        <v>6.8615095300367175</v>
      </c>
      <c r="G24" s="88">
        <v>8.1958091081529485</v>
      </c>
      <c r="H24" s="88">
        <v>9.7913912714431053</v>
      </c>
      <c r="I24" s="88">
        <v>11.700416933634573</v>
      </c>
      <c r="J24" s="88">
        <v>13.980639112943715</v>
      </c>
      <c r="K24" s="88">
        <v>16.699588074689846</v>
      </c>
      <c r="L24" s="88">
        <v>19.942498024311963</v>
      </c>
      <c r="M24" s="88">
        <v>23.813350666622068</v>
      </c>
      <c r="N24" s="88">
        <v>28.434407407515863</v>
      </c>
      <c r="O24" s="88">
        <v>33.951523369003795</v>
      </c>
      <c r="P24" s="57">
        <f t="shared" si="2"/>
        <v>187.91732160607484</v>
      </c>
    </row>
    <row r="25" spans="2:21" x14ac:dyDescent="0.3">
      <c r="B25" s="90" t="s">
        <v>224</v>
      </c>
      <c r="C25" s="88">
        <v>0</v>
      </c>
      <c r="D25" s="88">
        <v>0.81422432431963176</v>
      </c>
      <c r="E25" s="88">
        <v>1.6450749119882533</v>
      </c>
      <c r="F25" s="88">
        <v>2.4902951084539033</v>
      </c>
      <c r="G25" s="88">
        <v>3.3641036523556975</v>
      </c>
      <c r="H25" s="88">
        <v>4.2481050232672395</v>
      </c>
      <c r="I25" s="88">
        <v>5.138628515742619</v>
      </c>
      <c r="J25" s="88">
        <v>6.0446903046498708</v>
      </c>
      <c r="K25" s="88">
        <v>6.9558123981800408</v>
      </c>
      <c r="L25" s="88">
        <v>7.8793299082130259</v>
      </c>
      <c r="M25" s="88">
        <v>8.8362371529161425</v>
      </c>
      <c r="N25" s="88">
        <v>9.8100399313099782</v>
      </c>
      <c r="O25" s="88">
        <v>10.801082143066653</v>
      </c>
      <c r="P25" s="57">
        <f t="shared" si="2"/>
        <v>68.027623374463062</v>
      </c>
    </row>
    <row r="26" spans="2:21" x14ac:dyDescent="0.3">
      <c r="B26" s="90" t="s">
        <v>223</v>
      </c>
      <c r="C26" s="88">
        <v>0</v>
      </c>
      <c r="D26" s="88">
        <v>4.902725598811962</v>
      </c>
      <c r="E26" s="88">
        <v>4.9463268379294485</v>
      </c>
      <c r="F26" s="88">
        <v>4.9905289407528999</v>
      </c>
      <c r="G26" s="88">
        <v>5.0620144670563247</v>
      </c>
      <c r="H26" s="88">
        <v>5.1176887438982313</v>
      </c>
      <c r="I26" s="88">
        <v>6.9823052926782605</v>
      </c>
      <c r="J26" s="88">
        <v>7.0456838142488722</v>
      </c>
      <c r="K26" s="88">
        <v>7.1013364969815438</v>
      </c>
      <c r="L26" s="88">
        <v>7.1566339865655717</v>
      </c>
      <c r="M26" s="88">
        <v>7.2308189385996009</v>
      </c>
      <c r="N26" s="88">
        <v>7.3062811589850201</v>
      </c>
      <c r="O26" s="88">
        <v>7.3828054674766603</v>
      </c>
      <c r="P26" s="57">
        <f t="shared" si="2"/>
        <v>75.225149743984389</v>
      </c>
    </row>
    <row r="27" spans="2:21" x14ac:dyDescent="0.3">
      <c r="B27" s="90" t="s">
        <v>212</v>
      </c>
      <c r="C27" s="88">
        <v>204.41777364600867</v>
      </c>
      <c r="D27" s="88">
        <v>229.82030519866049</v>
      </c>
      <c r="E27" s="88">
        <v>247.33154443581793</v>
      </c>
      <c r="F27" s="88">
        <v>265.78675457069056</v>
      </c>
      <c r="G27" s="88">
        <v>285.85294518461859</v>
      </c>
      <c r="H27" s="88">
        <v>302.24595199724797</v>
      </c>
      <c r="I27" s="88">
        <v>314.0369928046245</v>
      </c>
      <c r="J27" s="88">
        <v>326.34930119438945</v>
      </c>
      <c r="K27" s="88">
        <v>338.84137300722506</v>
      </c>
      <c r="L27" s="88">
        <v>351.76029664754549</v>
      </c>
      <c r="M27" s="88">
        <v>362.91444133889377</v>
      </c>
      <c r="N27" s="88">
        <v>372.27834255668</v>
      </c>
      <c r="O27" s="88">
        <v>378.2140060207833</v>
      </c>
      <c r="P27" s="57">
        <f t="shared" si="2"/>
        <v>3979.8500286031867</v>
      </c>
    </row>
    <row r="28" spans="2:21" x14ac:dyDescent="0.3">
      <c r="B28" s="90" t="s">
        <v>220</v>
      </c>
      <c r="C28" s="88">
        <v>0</v>
      </c>
      <c r="D28" s="88">
        <v>0.97029569301256735</v>
      </c>
      <c r="E28" s="88">
        <v>1.2316185697990929</v>
      </c>
      <c r="F28" s="88">
        <v>1.5667638207374777</v>
      </c>
      <c r="G28" s="88">
        <v>2.0011460954295455</v>
      </c>
      <c r="H28" s="88">
        <v>2.5580174647271212</v>
      </c>
      <c r="I28" s="88">
        <v>3.2456425274129401</v>
      </c>
      <c r="J28" s="88">
        <v>4.0763350638471163</v>
      </c>
      <c r="K28" s="88">
        <v>5.0825650797672584</v>
      </c>
      <c r="L28" s="88">
        <v>6.3138109433875025</v>
      </c>
      <c r="M28" s="88">
        <v>7.7826240888405138</v>
      </c>
      <c r="N28" s="88">
        <v>9.5906012284783131</v>
      </c>
      <c r="O28" s="88">
        <v>11.637695745539849</v>
      </c>
      <c r="P28" s="57">
        <f t="shared" si="2"/>
        <v>56.057116320979297</v>
      </c>
      <c r="Q28" s="7" t="s">
        <v>290</v>
      </c>
    </row>
    <row r="29" spans="2:21" x14ac:dyDescent="0.3">
      <c r="B29" s="90" t="s">
        <v>222</v>
      </c>
      <c r="C29" s="88">
        <v>0</v>
      </c>
      <c r="D29" s="88">
        <v>2.4155063188889736</v>
      </c>
      <c r="E29" s="88">
        <v>2.4535117021134312</v>
      </c>
      <c r="F29" s="88">
        <v>2.4966906916379097</v>
      </c>
      <c r="G29" s="88">
        <v>3.8255128588380596</v>
      </c>
      <c r="H29" s="88">
        <v>3.9128781762519318</v>
      </c>
      <c r="I29" s="88">
        <v>3.9991020613918971</v>
      </c>
      <c r="J29" s="88">
        <v>5.4522492839881416</v>
      </c>
      <c r="K29" s="88">
        <v>5.5710756206498004</v>
      </c>
      <c r="L29" s="88">
        <v>5.6929744077446074</v>
      </c>
      <c r="M29" s="88">
        <v>7.2290537435639628</v>
      </c>
      <c r="N29" s="88">
        <v>7.3436934668119376</v>
      </c>
      <c r="O29" s="88">
        <v>7.4601662514329092</v>
      </c>
      <c r="P29" s="57">
        <f t="shared" si="2"/>
        <v>57.852414583313568</v>
      </c>
    </row>
    <row r="30" spans="2:21" x14ac:dyDescent="0.3">
      <c r="B30" s="90" t="s">
        <v>181</v>
      </c>
      <c r="C30" s="88">
        <v>16.516023986794348</v>
      </c>
      <c r="D30" s="88">
        <v>17.467531107375347</v>
      </c>
      <c r="E30" s="88">
        <v>18.426383284690548</v>
      </c>
      <c r="F30" s="88">
        <v>23.347977270753361</v>
      </c>
      <c r="G30" s="88">
        <v>24.569740855115921</v>
      </c>
      <c r="H30" s="88">
        <v>25.950641989059207</v>
      </c>
      <c r="I30" s="88">
        <v>27.354560582606208</v>
      </c>
      <c r="J30" s="88">
        <v>28.834916599813834</v>
      </c>
      <c r="K30" s="88">
        <v>31.124113777548715</v>
      </c>
      <c r="L30" s="88">
        <v>32.731363437009101</v>
      </c>
      <c r="M30" s="88">
        <v>34.533027866625716</v>
      </c>
      <c r="N30" s="88">
        <v>36.434413477461966</v>
      </c>
      <c r="O30" s="88">
        <v>38.440927650815865</v>
      </c>
      <c r="P30" s="57">
        <f t="shared" si="2"/>
        <v>355.73162188567011</v>
      </c>
    </row>
    <row r="31" spans="2:21" x14ac:dyDescent="0.3">
      <c r="B31" s="90" t="s">
        <v>221</v>
      </c>
      <c r="C31" s="88">
        <v>0</v>
      </c>
      <c r="D31" s="88">
        <v>2.0522233539839561</v>
      </c>
      <c r="E31" s="88">
        <v>2.0839516899301653</v>
      </c>
      <c r="F31" s="88">
        <v>2.1208299842489131</v>
      </c>
      <c r="G31" s="88">
        <v>5.4176574487510623</v>
      </c>
      <c r="H31" s="88">
        <v>5.5402212707727276</v>
      </c>
      <c r="I31" s="88">
        <v>5.6626699417060307</v>
      </c>
      <c r="J31" s="88">
        <v>5.790642083320666</v>
      </c>
      <c r="K31" s="88">
        <v>5.9176099259272199</v>
      </c>
      <c r="L31" s="88">
        <v>6.0477426210379779</v>
      </c>
      <c r="M31" s="88">
        <v>6.1432287679318973</v>
      </c>
      <c r="N31" s="88">
        <v>6.2402321520013544</v>
      </c>
      <c r="O31" s="88">
        <v>6.3387770312905936</v>
      </c>
      <c r="P31" s="57">
        <f t="shared" si="2"/>
        <v>59.355786270902556</v>
      </c>
    </row>
    <row r="32" spans="2:21" x14ac:dyDescent="0.3">
      <c r="B32" s="90" t="s">
        <v>226</v>
      </c>
      <c r="C32" s="88">
        <v>0</v>
      </c>
      <c r="D32" s="88">
        <v>0</v>
      </c>
      <c r="E32" s="88">
        <v>7.1264714506665854</v>
      </c>
      <c r="F32" s="88">
        <v>7.4753277992098157</v>
      </c>
      <c r="G32" s="88">
        <v>7.8756240865958365</v>
      </c>
      <c r="H32" s="88">
        <v>8.287701040692383</v>
      </c>
      <c r="I32" s="88">
        <v>8.7051301081991426</v>
      </c>
      <c r="J32" s="88">
        <v>9.1420443492415249</v>
      </c>
      <c r="K32" s="88">
        <v>9.5856889135825014</v>
      </c>
      <c r="L32" s="88">
        <v>10.049449970917928</v>
      </c>
      <c r="M32" s="88">
        <v>10.561331093579501</v>
      </c>
      <c r="N32" s="88">
        <v>11.099844461202197</v>
      </c>
      <c r="O32" s="88">
        <v>11.666051072571166</v>
      </c>
      <c r="P32" s="57">
        <f t="shared" si="2"/>
        <v>101.57466434645858</v>
      </c>
    </row>
    <row r="33" spans="2:17" x14ac:dyDescent="0.3">
      <c r="B33" s="90" t="s">
        <v>273</v>
      </c>
      <c r="C33" s="88">
        <v>0</v>
      </c>
      <c r="D33" s="88">
        <v>1.0188516933319312</v>
      </c>
      <c r="E33" s="88">
        <v>3.5459319949594388</v>
      </c>
      <c r="F33" s="88">
        <v>9.1166923230980821</v>
      </c>
      <c r="G33" s="88">
        <v>12.957341236038237</v>
      </c>
      <c r="H33" s="88">
        <v>16.830300546214779</v>
      </c>
      <c r="I33" s="88">
        <v>20.673903725028445</v>
      </c>
      <c r="J33" s="88">
        <v>41.056062191867831</v>
      </c>
      <c r="K33" s="88">
        <v>47.636616305423807</v>
      </c>
      <c r="L33" s="88">
        <v>54.268898797794755</v>
      </c>
      <c r="M33" s="88">
        <v>61.097987697947573</v>
      </c>
      <c r="N33" s="88">
        <v>67.998526525523019</v>
      </c>
      <c r="O33" s="88">
        <v>74.974896966677463</v>
      </c>
      <c r="P33" s="57">
        <f t="shared" si="2"/>
        <v>411.17601000390533</v>
      </c>
    </row>
    <row r="34" spans="2:17" x14ac:dyDescent="0.3">
      <c r="B34" s="90" t="s">
        <v>219</v>
      </c>
      <c r="C34" s="88">
        <v>0</v>
      </c>
      <c r="D34" s="88">
        <v>32.091849973906484</v>
      </c>
      <c r="E34" s="88">
        <v>37.51513083853802</v>
      </c>
      <c r="F34" s="88">
        <v>43.933247194100495</v>
      </c>
      <c r="G34" s="88">
        <v>51.62443337440483</v>
      </c>
      <c r="H34" s="88">
        <v>60.76817923228927</v>
      </c>
      <c r="I34" s="88">
        <v>71.459881342040262</v>
      </c>
      <c r="J34" s="88">
        <v>84.050401843316777</v>
      </c>
      <c r="K34" s="88">
        <v>98.813047425309875</v>
      </c>
      <c r="L34" s="88">
        <v>116.17871166922377</v>
      </c>
      <c r="M34" s="88">
        <v>135.80286000487405</v>
      </c>
      <c r="N34" s="88">
        <v>158.74205964707625</v>
      </c>
      <c r="O34" s="88">
        <v>185.55635767104098</v>
      </c>
      <c r="P34" s="57">
        <f t="shared" si="2"/>
        <v>1076.5361602161213</v>
      </c>
      <c r="Q34" s="7" t="s">
        <v>290</v>
      </c>
    </row>
    <row r="35" spans="2:17" x14ac:dyDescent="0.3">
      <c r="B35" s="90" t="s">
        <v>274</v>
      </c>
      <c r="C35" s="88">
        <v>264.2256609237262</v>
      </c>
      <c r="D35" s="88">
        <v>369.06670584943379</v>
      </c>
      <c r="E35" s="88">
        <v>433.06523936311396</v>
      </c>
      <c r="F35" s="88">
        <v>478.82052318092781</v>
      </c>
      <c r="G35" s="88">
        <v>529.187342602635</v>
      </c>
      <c r="H35" s="88">
        <v>575.58243409159093</v>
      </c>
      <c r="I35" s="88">
        <v>653.57563004062376</v>
      </c>
      <c r="J35" s="88">
        <v>748.11042509730294</v>
      </c>
      <c r="K35" s="88">
        <v>811.81569479714483</v>
      </c>
      <c r="L35" s="88">
        <v>883.94895190338161</v>
      </c>
      <c r="M35" s="88">
        <v>966.59911699774216</v>
      </c>
      <c r="N35" s="88">
        <v>1059.0651724948298</v>
      </c>
      <c r="O35" s="88">
        <v>1163.8579366431886</v>
      </c>
      <c r="P35" s="57">
        <f t="shared" si="2"/>
        <v>8936.9208339856414</v>
      </c>
    </row>
    <row r="36" spans="2:17" x14ac:dyDescent="0.3">
      <c r="B36" s="92" t="s">
        <v>292</v>
      </c>
      <c r="C36" s="93">
        <f>SUM(C22,C24,C25,C26,C27,C29,C30,C31,C32,C33)</f>
        <v>242.52349388472234</v>
      </c>
      <c r="D36" s="93">
        <f t="shared" ref="D36:O36" si="3">SUM(D22,D24,D25,D26,D27,D29,D30,D31,D32,D33)</f>
        <v>285.35387873101178</v>
      </c>
      <c r="E36" s="93">
        <f t="shared" si="3"/>
        <v>320.91694677157892</v>
      </c>
      <c r="F36" s="93">
        <f t="shared" si="3"/>
        <v>359.2231141063038</v>
      </c>
      <c r="G36" s="93">
        <f t="shared" si="3"/>
        <v>400.49659784297012</v>
      </c>
      <c r="H36" s="93">
        <f t="shared" si="3"/>
        <v>436.26560708746564</v>
      </c>
      <c r="I36" s="93">
        <f t="shared" si="3"/>
        <v>472.19483114194742</v>
      </c>
      <c r="J36" s="93">
        <f t="shared" si="3"/>
        <v>528.66101345348295</v>
      </c>
      <c r="K36" s="93">
        <f t="shared" si="3"/>
        <v>575.52219149246582</v>
      </c>
      <c r="L36" s="93">
        <f t="shared" si="3"/>
        <v>627.99203516855562</v>
      </c>
      <c r="M36" s="93">
        <f t="shared" si="3"/>
        <v>688.15166451658843</v>
      </c>
      <c r="N36" s="93">
        <f t="shared" si="3"/>
        <v>754.45319482811237</v>
      </c>
      <c r="O36" s="93">
        <f t="shared" si="3"/>
        <v>828.95003686581629</v>
      </c>
    </row>
    <row r="38" spans="2:17" ht="18" x14ac:dyDescent="0.35">
      <c r="B38" s="5" t="s">
        <v>305</v>
      </c>
    </row>
    <row r="39" spans="2:17" ht="18" x14ac:dyDescent="0.35">
      <c r="B39" s="5" t="s">
        <v>288</v>
      </c>
    </row>
    <row r="40" spans="2:17" x14ac:dyDescent="0.3">
      <c r="B40" s="86" t="s">
        <v>7</v>
      </c>
      <c r="C40" s="86" t="s">
        <v>275</v>
      </c>
      <c r="D40" s="86" t="s">
        <v>276</v>
      </c>
      <c r="E40" s="86" t="s">
        <v>277</v>
      </c>
      <c r="F40" s="86" t="s">
        <v>278</v>
      </c>
      <c r="G40" s="86" t="s">
        <v>279</v>
      </c>
      <c r="H40" s="86" t="s">
        <v>280</v>
      </c>
      <c r="I40" s="86" t="s">
        <v>281</v>
      </c>
      <c r="J40" s="86" t="s">
        <v>282</v>
      </c>
      <c r="K40" s="86" t="s">
        <v>283</v>
      </c>
      <c r="L40" s="86" t="s">
        <v>284</v>
      </c>
      <c r="M40" s="86" t="s">
        <v>285</v>
      </c>
      <c r="N40" s="86" t="s">
        <v>286</v>
      </c>
      <c r="O40" s="86" t="s">
        <v>287</v>
      </c>
    </row>
    <row r="41" spans="2:17" x14ac:dyDescent="0.3">
      <c r="B41" s="103" t="s">
        <v>227</v>
      </c>
      <c r="C41" s="88">
        <v>0.41001857730366043</v>
      </c>
      <c r="D41" s="88">
        <v>0.46351834967594979</v>
      </c>
      <c r="E41" s="88">
        <v>0.52186005079298625</v>
      </c>
      <c r="F41" s="88">
        <v>0.58928024864764184</v>
      </c>
      <c r="G41" s="88">
        <v>0.66521865533351565</v>
      </c>
      <c r="H41" s="88">
        <v>0.74943081641200726</v>
      </c>
      <c r="I41" s="88">
        <v>0.84441364363092453</v>
      </c>
      <c r="J41" s="88">
        <v>0.95141584510650068</v>
      </c>
      <c r="K41" s="88">
        <v>1.0708475781562941</v>
      </c>
      <c r="L41" s="88">
        <v>1.2065507415552472</v>
      </c>
      <c r="M41" s="88">
        <v>1.3587753573307566</v>
      </c>
      <c r="N41" s="88">
        <v>1.5301159369633268</v>
      </c>
      <c r="O41" s="88">
        <v>1.7231063529846986</v>
      </c>
    </row>
    <row r="42" spans="2:17" x14ac:dyDescent="0.3">
      <c r="B42" s="103" t="s">
        <v>225</v>
      </c>
      <c r="C42" s="88">
        <v>0</v>
      </c>
      <c r="D42" s="88">
        <v>0</v>
      </c>
      <c r="E42" s="88">
        <v>0</v>
      </c>
      <c r="F42" s="88">
        <v>0</v>
      </c>
      <c r="G42" s="88">
        <v>0</v>
      </c>
      <c r="H42" s="88">
        <v>0</v>
      </c>
      <c r="I42" s="88">
        <v>0</v>
      </c>
      <c r="J42" s="88">
        <v>0</v>
      </c>
      <c r="K42" s="88">
        <v>0</v>
      </c>
      <c r="L42" s="88">
        <v>0</v>
      </c>
      <c r="M42" s="88">
        <v>0</v>
      </c>
      <c r="N42" s="88">
        <v>0</v>
      </c>
      <c r="O42" s="88">
        <v>0</v>
      </c>
      <c r="Q42" s="7" t="s">
        <v>290</v>
      </c>
    </row>
    <row r="43" spans="2:17" x14ac:dyDescent="0.3">
      <c r="B43" s="103" t="s">
        <v>184</v>
      </c>
      <c r="C43" s="88">
        <v>0.402906686675788</v>
      </c>
      <c r="D43" s="88">
        <v>0.46023090612493572</v>
      </c>
      <c r="E43" s="88">
        <v>0.52484490119540084</v>
      </c>
      <c r="F43" s="88">
        <v>0.5980662852543237</v>
      </c>
      <c r="G43" s="88">
        <v>0.6811524640862151</v>
      </c>
      <c r="H43" s="88">
        <v>0.77591344556050879</v>
      </c>
      <c r="I43" s="88">
        <v>0.88399804561282791</v>
      </c>
      <c r="J43" s="88">
        <v>1.0070227534431373</v>
      </c>
      <c r="K43" s="88">
        <v>1.1468288134732185</v>
      </c>
      <c r="L43" s="88">
        <v>1.3057744208394513</v>
      </c>
      <c r="M43" s="88">
        <v>1.4866336333941168</v>
      </c>
      <c r="N43" s="88">
        <v>1.6924661561701826</v>
      </c>
      <c r="O43" s="88">
        <v>1.9267308217747088</v>
      </c>
    </row>
    <row r="44" spans="2:17" x14ac:dyDescent="0.3">
      <c r="B44" s="103" t="s">
        <v>224</v>
      </c>
      <c r="C44" s="88">
        <v>0</v>
      </c>
      <c r="D44" s="88">
        <v>0</v>
      </c>
      <c r="E44" s="88">
        <v>0</v>
      </c>
      <c r="F44" s="88">
        <v>0</v>
      </c>
      <c r="G44" s="88">
        <v>0</v>
      </c>
      <c r="H44" s="88">
        <v>0</v>
      </c>
      <c r="I44" s="88">
        <v>0</v>
      </c>
      <c r="J44" s="88">
        <v>0</v>
      </c>
      <c r="K44" s="88">
        <v>0</v>
      </c>
      <c r="L44" s="88">
        <v>0</v>
      </c>
      <c r="M44" s="88">
        <v>0</v>
      </c>
      <c r="N44" s="88">
        <v>0</v>
      </c>
      <c r="O44" s="88">
        <v>0</v>
      </c>
    </row>
    <row r="45" spans="2:17" x14ac:dyDescent="0.3">
      <c r="B45" s="103" t="s">
        <v>223</v>
      </c>
      <c r="C45" s="88">
        <v>0</v>
      </c>
      <c r="D45" s="88">
        <v>0</v>
      </c>
      <c r="E45" s="88">
        <v>0</v>
      </c>
      <c r="F45" s="88">
        <v>0</v>
      </c>
      <c r="G45" s="88">
        <v>0</v>
      </c>
      <c r="H45" s="88">
        <v>0</v>
      </c>
      <c r="I45" s="88">
        <v>0</v>
      </c>
      <c r="J45" s="88">
        <v>0</v>
      </c>
      <c r="K45" s="88">
        <v>0</v>
      </c>
      <c r="L45" s="88">
        <v>0</v>
      </c>
      <c r="M45" s="88">
        <v>0</v>
      </c>
      <c r="N45" s="88">
        <v>0</v>
      </c>
      <c r="O45" s="88">
        <v>0</v>
      </c>
    </row>
    <row r="46" spans="2:17" x14ac:dyDescent="0.3">
      <c r="B46" s="103" t="s">
        <v>212</v>
      </c>
      <c r="C46" s="88">
        <v>10.850162794984703</v>
      </c>
      <c r="D46" s="88">
        <v>11.281330426496773</v>
      </c>
      <c r="E46" s="88">
        <v>11.736212679893786</v>
      </c>
      <c r="F46" s="88">
        <v>12.199175366854874</v>
      </c>
      <c r="G46" s="88">
        <v>12.518550693842261</v>
      </c>
      <c r="H46" s="88">
        <v>12.7860110017983</v>
      </c>
      <c r="I46" s="88">
        <v>13.057995247179045</v>
      </c>
      <c r="J46" s="88">
        <v>13.318137721395111</v>
      </c>
      <c r="K46" s="88">
        <v>13.6062144301568</v>
      </c>
      <c r="L46" s="88">
        <v>13.875769046788562</v>
      </c>
      <c r="M46" s="88">
        <v>14.153374853561971</v>
      </c>
      <c r="N46" s="88">
        <v>14.432908431528469</v>
      </c>
      <c r="O46" s="88">
        <v>14.716360156450664</v>
      </c>
    </row>
    <row r="47" spans="2:17" x14ac:dyDescent="0.3">
      <c r="B47" s="103" t="s">
        <v>220</v>
      </c>
      <c r="C47" s="88">
        <v>0</v>
      </c>
      <c r="D47" s="88">
        <v>0</v>
      </c>
      <c r="E47" s="88">
        <v>0</v>
      </c>
      <c r="F47" s="88">
        <v>0</v>
      </c>
      <c r="G47" s="88">
        <v>0</v>
      </c>
      <c r="H47" s="88">
        <v>0</v>
      </c>
      <c r="I47" s="88">
        <v>0</v>
      </c>
      <c r="J47" s="88">
        <v>0</v>
      </c>
      <c r="K47" s="88">
        <v>0</v>
      </c>
      <c r="L47" s="88">
        <v>0</v>
      </c>
      <c r="M47" s="88">
        <v>0</v>
      </c>
      <c r="N47" s="88">
        <v>0</v>
      </c>
      <c r="O47" s="88">
        <v>0</v>
      </c>
      <c r="Q47" s="7" t="s">
        <v>290</v>
      </c>
    </row>
    <row r="48" spans="2:17" x14ac:dyDescent="0.3">
      <c r="B48" s="103" t="s">
        <v>222</v>
      </c>
      <c r="C48" s="88">
        <v>0</v>
      </c>
      <c r="D48" s="88">
        <v>3.2485678293037806E-2</v>
      </c>
      <c r="E48" s="88">
        <v>3.2557291896250305E-2</v>
      </c>
      <c r="F48" s="88">
        <v>3.2641123923617912E-2</v>
      </c>
      <c r="G48" s="88">
        <v>4.918920353677049E-2</v>
      </c>
      <c r="H48" s="88">
        <v>4.9484339745914957E-2</v>
      </c>
      <c r="I48" s="88">
        <v>4.9790815839715757E-2</v>
      </c>
      <c r="J48" s="88">
        <v>6.6729553909134931E-2</v>
      </c>
      <c r="K48" s="88">
        <v>6.7201990473161125E-2</v>
      </c>
      <c r="L48" s="88">
        <v>6.7571766371287659E-2</v>
      </c>
      <c r="M48" s="88">
        <v>8.4967369757067979E-2</v>
      </c>
      <c r="N48" s="88">
        <v>8.5471675940880426E-2</v>
      </c>
      <c r="O48" s="88">
        <v>8.5988941460347718E-2</v>
      </c>
    </row>
    <row r="49" spans="2:17" x14ac:dyDescent="0.3">
      <c r="B49" s="103" t="s">
        <v>181</v>
      </c>
      <c r="C49" s="88">
        <v>0.30270200072032694</v>
      </c>
      <c r="D49" s="88">
        <v>0.31542834225530458</v>
      </c>
      <c r="E49" s="88">
        <v>0.32725404918192241</v>
      </c>
      <c r="F49" s="88">
        <v>0.40760078062892691</v>
      </c>
      <c r="G49" s="88">
        <v>0.42227944918907145</v>
      </c>
      <c r="H49" s="88">
        <v>0.43858413662286894</v>
      </c>
      <c r="I49" s="88">
        <v>0.45556230658332636</v>
      </c>
      <c r="J49" s="88">
        <v>0.47313578332815731</v>
      </c>
      <c r="K49" s="88">
        <v>0.50385755223227824</v>
      </c>
      <c r="L49" s="88">
        <v>0.52292918676949951</v>
      </c>
      <c r="M49" s="88">
        <v>0.54275642212875119</v>
      </c>
      <c r="N49" s="88">
        <v>0.56330362787873489</v>
      </c>
      <c r="O49" s="88">
        <v>0.58464125066783934</v>
      </c>
    </row>
    <row r="50" spans="2:17" x14ac:dyDescent="0.3">
      <c r="B50" s="103" t="s">
        <v>221</v>
      </c>
      <c r="C50" s="88">
        <v>0</v>
      </c>
      <c r="D50" s="88">
        <v>3.7506382104655622E-2</v>
      </c>
      <c r="E50" s="88">
        <v>3.759365170890714E-2</v>
      </c>
      <c r="F50" s="88">
        <v>3.7681157384392677E-2</v>
      </c>
      <c r="G50" s="88">
        <v>3.78453703118748E-2</v>
      </c>
      <c r="H50" s="88">
        <v>3.8052523185446885E-2</v>
      </c>
      <c r="I50" s="88">
        <v>3.8266995357438618E-2</v>
      </c>
      <c r="J50" s="88">
        <v>3.8440917825622832E-2</v>
      </c>
      <c r="K50" s="88">
        <v>3.8686477390257379E-2</v>
      </c>
      <c r="L50" s="88">
        <v>3.8879639453210435E-2</v>
      </c>
      <c r="M50" s="88">
        <v>3.9087425012899038E-2</v>
      </c>
      <c r="N50" s="88">
        <v>3.9296165289438197E-2</v>
      </c>
      <c r="O50" s="88">
        <v>3.9511557759367336E-2</v>
      </c>
    </row>
    <row r="51" spans="2:17" x14ac:dyDescent="0.3">
      <c r="B51" s="103" t="s">
        <v>226</v>
      </c>
      <c r="C51" s="88">
        <v>0</v>
      </c>
      <c r="D51" s="88">
        <v>0</v>
      </c>
      <c r="E51" s="88">
        <v>0.19970136967529414</v>
      </c>
      <c r="F51" s="88">
        <v>0.20550400479296663</v>
      </c>
      <c r="G51" s="88">
        <v>0.21149045208575915</v>
      </c>
      <c r="H51" s="88">
        <v>0.21733386691203124</v>
      </c>
      <c r="I51" s="88">
        <v>0.22337669313977682</v>
      </c>
      <c r="J51" s="88">
        <v>0.22954985958881571</v>
      </c>
      <c r="K51" s="88">
        <v>0.23559839107527508</v>
      </c>
      <c r="L51" s="88">
        <v>0.24207669112337354</v>
      </c>
      <c r="M51" s="88">
        <v>0.24858295929611043</v>
      </c>
      <c r="N51" s="88">
        <v>0.25525041254013137</v>
      </c>
      <c r="O51" s="88">
        <v>0.26210062075961804</v>
      </c>
    </row>
    <row r="52" spans="2:17" x14ac:dyDescent="0.3">
      <c r="B52" s="103" t="s">
        <v>273</v>
      </c>
      <c r="C52" s="88">
        <v>0</v>
      </c>
      <c r="D52" s="88">
        <v>0.13262946813380574</v>
      </c>
      <c r="E52" s="88">
        <v>0.29636094219275</v>
      </c>
      <c r="F52" s="88">
        <v>0.55639052436828695</v>
      </c>
      <c r="G52" s="88">
        <v>0.75713111480605755</v>
      </c>
      <c r="H52" s="88">
        <v>0.96018419433921143</v>
      </c>
      <c r="I52" s="88">
        <v>1.1635254144344827</v>
      </c>
      <c r="J52" s="88">
        <v>1.4399677772505493</v>
      </c>
      <c r="K52" s="88">
        <v>1.6548317953649352</v>
      </c>
      <c r="L52" s="88">
        <v>1.8801888148504131</v>
      </c>
      <c r="M52" s="88">
        <v>2.0983214184322652</v>
      </c>
      <c r="N52" s="88">
        <v>2.3174111481852488</v>
      </c>
      <c r="O52" s="88">
        <v>2.5371130029648743</v>
      </c>
    </row>
    <row r="53" spans="2:17" x14ac:dyDescent="0.3">
      <c r="B53" s="103" t="s">
        <v>219</v>
      </c>
      <c r="C53" s="88">
        <v>0</v>
      </c>
      <c r="D53" s="88">
        <v>0.64076125439291465</v>
      </c>
      <c r="E53" s="88">
        <v>0.69174478492014813</v>
      </c>
      <c r="F53" s="88">
        <v>0.7466165669714715</v>
      </c>
      <c r="G53" s="88">
        <v>0.80736969398305769</v>
      </c>
      <c r="H53" s="88">
        <v>0.874086128393877</v>
      </c>
      <c r="I53" s="88">
        <v>0.94654575855418621</v>
      </c>
      <c r="J53" s="88">
        <v>1.0240409163151458</v>
      </c>
      <c r="K53" s="88">
        <v>1.1097706834942063</v>
      </c>
      <c r="L53" s="88">
        <v>1.2009196483730005</v>
      </c>
      <c r="M53" s="88">
        <v>1.3001090998165938</v>
      </c>
      <c r="N53" s="88">
        <v>1.4074200965168684</v>
      </c>
      <c r="O53" s="88">
        <v>1.5237165991398025</v>
      </c>
      <c r="Q53" s="7" t="s">
        <v>290</v>
      </c>
    </row>
    <row r="54" spans="2:17" x14ac:dyDescent="0.3">
      <c r="B54" s="90" t="s">
        <v>274</v>
      </c>
      <c r="C54" s="104">
        <v>11.965790059684499</v>
      </c>
      <c r="D54" s="104">
        <v>13.363890807477375</v>
      </c>
      <c r="E54" s="104">
        <v>14.368129721457445</v>
      </c>
      <c r="F54" s="104">
        <v>15.372956058826503</v>
      </c>
      <c r="G54" s="104">
        <v>16.150227097174582</v>
      </c>
      <c r="H54" s="104">
        <v>16.88908045297017</v>
      </c>
      <c r="I54" s="104">
        <v>17.663474920331726</v>
      </c>
      <c r="J54" s="104">
        <v>18.548441128162175</v>
      </c>
      <c r="K54" s="104">
        <v>19.43383771181643</v>
      </c>
      <c r="L54" s="104">
        <v>20.340659956124043</v>
      </c>
      <c r="M54" s="104">
        <v>21.31260853873053</v>
      </c>
      <c r="N54" s="104">
        <v>22.323643651013281</v>
      </c>
      <c r="O54" s="104">
        <v>23.399269303961923</v>
      </c>
    </row>
    <row r="55" spans="2:17" x14ac:dyDescent="0.3">
      <c r="B55" s="92" t="s">
        <v>291</v>
      </c>
      <c r="C55" s="105">
        <f>SUM(C41,C43,C44,C45,C46,C48,C49,C50,C51,C52)</f>
        <v>11.965790059684478</v>
      </c>
      <c r="D55" s="105">
        <f t="shared" ref="D55:O55" si="4">SUM(D41,D43,D44,D45,D46,D48,D49,D50,D51,D52)</f>
        <v>12.72312955308446</v>
      </c>
      <c r="E55" s="105">
        <f t="shared" si="4"/>
        <v>13.676384936537296</v>
      </c>
      <c r="F55" s="105">
        <f t="shared" si="4"/>
        <v>14.626339491855031</v>
      </c>
      <c r="G55" s="105">
        <f t="shared" si="4"/>
        <v>15.342857403191523</v>
      </c>
      <c r="H55" s="105">
        <f t="shared" si="4"/>
        <v>16.014994324576293</v>
      </c>
      <c r="I55" s="105">
        <f t="shared" si="4"/>
        <v>16.716929161777539</v>
      </c>
      <c r="J55" s="105">
        <f t="shared" si="4"/>
        <v>17.524400211847027</v>
      </c>
      <c r="K55" s="105">
        <f t="shared" si="4"/>
        <v>18.324067028322222</v>
      </c>
      <c r="L55" s="105">
        <f t="shared" si="4"/>
        <v>19.139740307751044</v>
      </c>
      <c r="M55" s="105">
        <f t="shared" si="4"/>
        <v>20.012499438913935</v>
      </c>
      <c r="N55" s="105">
        <f t="shared" si="4"/>
        <v>20.916223554496412</v>
      </c>
      <c r="O55" s="105">
        <f t="shared" si="4"/>
        <v>21.87555270482212</v>
      </c>
    </row>
    <row r="57" spans="2:17" x14ac:dyDescent="0.3">
      <c r="B57" s="86" t="s">
        <v>7</v>
      </c>
      <c r="C57" s="86" t="s">
        <v>275</v>
      </c>
      <c r="D57" s="86" t="s">
        <v>276</v>
      </c>
      <c r="E57" s="86" t="s">
        <v>277</v>
      </c>
      <c r="F57" s="86" t="s">
        <v>278</v>
      </c>
      <c r="G57" s="86" t="s">
        <v>279</v>
      </c>
      <c r="H57" s="86" t="s">
        <v>280</v>
      </c>
      <c r="I57" s="86" t="s">
        <v>281</v>
      </c>
      <c r="J57" s="86" t="s">
        <v>282</v>
      </c>
      <c r="K57" s="86" t="s">
        <v>283</v>
      </c>
      <c r="L57" s="86" t="s">
        <v>284</v>
      </c>
      <c r="M57" s="86" t="s">
        <v>285</v>
      </c>
      <c r="N57" s="86" t="s">
        <v>286</v>
      </c>
      <c r="O57" s="86" t="s">
        <v>287</v>
      </c>
    </row>
    <row r="58" spans="2:17" x14ac:dyDescent="0.3">
      <c r="B58" s="103" t="s">
        <v>227</v>
      </c>
      <c r="C58" s="88">
        <v>0.4539491391576238</v>
      </c>
      <c r="D58" s="88">
        <v>0.56816471178391292</v>
      </c>
      <c r="E58" s="88">
        <v>0.70821486758262775</v>
      </c>
      <c r="F58" s="88">
        <v>0.88539391873066997</v>
      </c>
      <c r="G58" s="88">
        <v>1.1065797856013404</v>
      </c>
      <c r="H58" s="88">
        <v>1.3802365449139467</v>
      </c>
      <c r="I58" s="88">
        <v>1.7217927677167764</v>
      </c>
      <c r="J58" s="88">
        <v>2.1478288911775905</v>
      </c>
      <c r="K58" s="88">
        <v>2.6764591621710765</v>
      </c>
      <c r="L58" s="88">
        <v>3.338737044598604</v>
      </c>
      <c r="M58" s="88">
        <v>4.1628230376478808</v>
      </c>
      <c r="N58" s="88">
        <v>5.190011121497033</v>
      </c>
      <c r="O58" s="88">
        <v>6.4708256157907753</v>
      </c>
    </row>
    <row r="59" spans="2:17" x14ac:dyDescent="0.3">
      <c r="B59" s="103" t="s">
        <v>225</v>
      </c>
      <c r="C59" s="88">
        <v>0.33087073104082476</v>
      </c>
      <c r="D59" s="88">
        <v>0.75539473096826748</v>
      </c>
      <c r="E59" s="88">
        <v>1.0935092447521488</v>
      </c>
      <c r="F59" s="88">
        <v>1.1017988988252814</v>
      </c>
      <c r="G59" s="88">
        <v>1.11010431569852</v>
      </c>
      <c r="H59" s="88">
        <v>1.1164846819551104</v>
      </c>
      <c r="I59" s="88">
        <v>1.5698866741634812</v>
      </c>
      <c r="J59" s="88">
        <v>1.9201783150286968</v>
      </c>
      <c r="K59" s="88">
        <v>1.9303136830103811</v>
      </c>
      <c r="L59" s="88">
        <v>1.9425587104852939</v>
      </c>
      <c r="M59" s="88">
        <v>1.9538618359449249</v>
      </c>
      <c r="N59" s="88">
        <v>1.965094971255519</v>
      </c>
      <c r="O59" s="88">
        <v>1.9763878559374732</v>
      </c>
      <c r="Q59" s="7" t="s">
        <v>290</v>
      </c>
    </row>
    <row r="60" spans="2:17" x14ac:dyDescent="0.3">
      <c r="B60" s="103" t="s">
        <v>184</v>
      </c>
      <c r="C60" s="88">
        <v>0.42260434691327092</v>
      </c>
      <c r="D60" s="88">
        <v>0.50633127007475398</v>
      </c>
      <c r="E60" s="88">
        <v>0.60564681407798548</v>
      </c>
      <c r="F60" s="88">
        <v>0.72388113736653836</v>
      </c>
      <c r="G60" s="88">
        <v>0.86475236079882734</v>
      </c>
      <c r="H60" s="88">
        <v>1.0332137731040225</v>
      </c>
      <c r="I60" s="88">
        <v>1.2346893408372186</v>
      </c>
      <c r="J60" s="88">
        <v>1.4752824032952638</v>
      </c>
      <c r="K60" s="88">
        <v>1.7622355558436027</v>
      </c>
      <c r="L60" s="88">
        <v>2.1045682072792453</v>
      </c>
      <c r="M60" s="88">
        <v>2.5132071548728918</v>
      </c>
      <c r="N60" s="88">
        <v>3.0010540084206729</v>
      </c>
      <c r="O60" s="88">
        <v>3.583474744241828</v>
      </c>
    </row>
    <row r="61" spans="2:17" x14ac:dyDescent="0.3">
      <c r="B61" s="103" t="s">
        <v>224</v>
      </c>
      <c r="C61" s="88">
        <v>0</v>
      </c>
      <c r="D61" s="88">
        <v>0</v>
      </c>
      <c r="E61" s="88">
        <v>0</v>
      </c>
      <c r="F61" s="88">
        <v>0</v>
      </c>
      <c r="G61" s="88">
        <v>0</v>
      </c>
      <c r="H61" s="88">
        <v>0</v>
      </c>
      <c r="I61" s="88">
        <v>0</v>
      </c>
      <c r="J61" s="88">
        <v>0</v>
      </c>
      <c r="K61" s="88">
        <v>0</v>
      </c>
      <c r="L61" s="88">
        <v>0</v>
      </c>
      <c r="M61" s="88">
        <v>0</v>
      </c>
      <c r="N61" s="88">
        <v>0</v>
      </c>
      <c r="O61" s="88">
        <v>0</v>
      </c>
    </row>
    <row r="62" spans="2:17" x14ac:dyDescent="0.3">
      <c r="B62" s="103" t="s">
        <v>223</v>
      </c>
      <c r="C62" s="88">
        <v>0</v>
      </c>
      <c r="D62" s="88">
        <v>0</v>
      </c>
      <c r="E62" s="88">
        <v>0</v>
      </c>
      <c r="F62" s="88">
        <v>0</v>
      </c>
      <c r="G62" s="88">
        <v>0</v>
      </c>
      <c r="H62" s="88">
        <v>0</v>
      </c>
      <c r="I62" s="88">
        <v>0</v>
      </c>
      <c r="J62" s="88">
        <v>0</v>
      </c>
      <c r="K62" s="88">
        <v>0</v>
      </c>
      <c r="L62" s="88">
        <v>0</v>
      </c>
      <c r="M62" s="88">
        <v>0</v>
      </c>
      <c r="N62" s="88">
        <v>0</v>
      </c>
      <c r="O62" s="88">
        <v>0</v>
      </c>
    </row>
    <row r="63" spans="2:17" x14ac:dyDescent="0.3">
      <c r="B63" s="103" t="s">
        <v>212</v>
      </c>
      <c r="C63" s="88">
        <v>11.493689522386425</v>
      </c>
      <c r="D63" s="88">
        <v>12.297903051709799</v>
      </c>
      <c r="E63" s="88">
        <v>12.816554070619315</v>
      </c>
      <c r="F63" s="88">
        <v>13.341818386169372</v>
      </c>
      <c r="G63" s="88">
        <v>13.897273972305815</v>
      </c>
      <c r="H63" s="88">
        <v>14.475645609071414</v>
      </c>
      <c r="I63" s="88">
        <v>15.061598306050106</v>
      </c>
      <c r="J63" s="88">
        <v>15.635928219630216</v>
      </c>
      <c r="K63" s="88">
        <v>16.24553605884439</v>
      </c>
      <c r="L63" s="88">
        <v>16.83612440917782</v>
      </c>
      <c r="M63" s="88">
        <v>17.438461623485765</v>
      </c>
      <c r="N63" s="88">
        <v>17.984429695234972</v>
      </c>
      <c r="O63" s="88">
        <v>18.430749725763903</v>
      </c>
    </row>
    <row r="64" spans="2:17" x14ac:dyDescent="0.3">
      <c r="B64" s="103" t="s">
        <v>220</v>
      </c>
      <c r="C64" s="88">
        <v>0</v>
      </c>
      <c r="D64" s="88">
        <v>0</v>
      </c>
      <c r="E64" s="88">
        <v>0</v>
      </c>
      <c r="F64" s="88">
        <v>0</v>
      </c>
      <c r="G64" s="88">
        <v>0</v>
      </c>
      <c r="H64" s="88">
        <v>0</v>
      </c>
      <c r="I64" s="88">
        <v>0</v>
      </c>
      <c r="J64" s="88">
        <v>0</v>
      </c>
      <c r="K64" s="88">
        <v>0</v>
      </c>
      <c r="L64" s="88">
        <v>0</v>
      </c>
      <c r="M64" s="88">
        <v>0</v>
      </c>
      <c r="N64" s="88">
        <v>0</v>
      </c>
      <c r="O64" s="88">
        <v>0</v>
      </c>
      <c r="Q64" s="7" t="s">
        <v>290</v>
      </c>
    </row>
    <row r="65" spans="2:17" x14ac:dyDescent="0.3">
      <c r="B65" s="103" t="s">
        <v>222</v>
      </c>
      <c r="C65" s="88">
        <v>0</v>
      </c>
      <c r="D65" s="88">
        <v>6.4971356586075613E-2</v>
      </c>
      <c r="E65" s="88">
        <v>6.511458379250061E-2</v>
      </c>
      <c r="F65" s="88">
        <v>6.5282247847235825E-2</v>
      </c>
      <c r="G65" s="88">
        <v>9.837840707354098E-2</v>
      </c>
      <c r="H65" s="88">
        <v>9.8968679491829914E-2</v>
      </c>
      <c r="I65" s="88">
        <v>9.9581631679431515E-2</v>
      </c>
      <c r="J65" s="88">
        <v>0.13345910781826986</v>
      </c>
      <c r="K65" s="88">
        <v>0.13440398094632225</v>
      </c>
      <c r="L65" s="88">
        <v>0.13514353274257532</v>
      </c>
      <c r="M65" s="88">
        <v>0.16993473951413596</v>
      </c>
      <c r="N65" s="88">
        <v>0.17094335188176085</v>
      </c>
      <c r="O65" s="88">
        <v>0.17197788292069544</v>
      </c>
    </row>
    <row r="66" spans="2:17" x14ac:dyDescent="0.3">
      <c r="B66" s="103" t="s">
        <v>181</v>
      </c>
      <c r="C66" s="88">
        <v>0.30673802739659789</v>
      </c>
      <c r="D66" s="88">
        <v>0.32389584086518031</v>
      </c>
      <c r="E66" s="88">
        <v>0.34051952235539806</v>
      </c>
      <c r="F66" s="88">
        <v>0.43164339440176547</v>
      </c>
      <c r="G66" s="88">
        <v>0.45249743107664608</v>
      </c>
      <c r="H66" s="88">
        <v>0.47623512057583456</v>
      </c>
      <c r="I66" s="88">
        <v>0.50126642054384007</v>
      </c>
      <c r="J66" s="88">
        <v>0.52754432227524017</v>
      </c>
      <c r="K66" s="88">
        <v>0.5686681177541022</v>
      </c>
      <c r="L66" s="88">
        <v>0.59795981346103888</v>
      </c>
      <c r="M66" s="88">
        <v>0.62890698072330797</v>
      </c>
      <c r="N66" s="88">
        <v>0.66141847488338901</v>
      </c>
      <c r="O66" s="88">
        <v>0.6956256010123486</v>
      </c>
    </row>
    <row r="67" spans="2:17" x14ac:dyDescent="0.3">
      <c r="B67" s="103" t="s">
        <v>221</v>
      </c>
      <c r="C67" s="88">
        <v>0</v>
      </c>
      <c r="D67" s="88">
        <v>7.5012764209311245E-2</v>
      </c>
      <c r="E67" s="88">
        <v>7.518730341781428E-2</v>
      </c>
      <c r="F67" s="88">
        <v>7.5362314768785355E-2</v>
      </c>
      <c r="G67" s="88">
        <v>0.18922685155937402</v>
      </c>
      <c r="H67" s="88">
        <v>0.19026261592723442</v>
      </c>
      <c r="I67" s="88">
        <v>0.19133497678719302</v>
      </c>
      <c r="J67" s="88">
        <v>0.19220458912811417</v>
      </c>
      <c r="K67" s="88">
        <v>0.19343238695128687</v>
      </c>
      <c r="L67" s="88">
        <v>0.19439819726605218</v>
      </c>
      <c r="M67" s="88">
        <v>0.19543712506449523</v>
      </c>
      <c r="N67" s="88">
        <v>0.196480826447191</v>
      </c>
      <c r="O67" s="88">
        <v>0.19755778879683666</v>
      </c>
    </row>
    <row r="68" spans="2:17" x14ac:dyDescent="0.3">
      <c r="B68" s="103" t="s">
        <v>226</v>
      </c>
      <c r="C68" s="88">
        <v>0</v>
      </c>
      <c r="D68" s="88">
        <v>0</v>
      </c>
      <c r="E68" s="88">
        <v>0.19970136967529414</v>
      </c>
      <c r="F68" s="88">
        <v>0.20953349508302482</v>
      </c>
      <c r="G68" s="88">
        <v>0.21986550651283837</v>
      </c>
      <c r="H68" s="88">
        <v>0.23037052384653636</v>
      </c>
      <c r="I68" s="88">
        <v>0.24141848905714441</v>
      </c>
      <c r="J68" s="88">
        <v>0.25295476753584506</v>
      </c>
      <c r="K68" s="88">
        <v>0.26471059578549144</v>
      </c>
      <c r="L68" s="88">
        <v>0.27732252593819989</v>
      </c>
      <c r="M68" s="88">
        <v>0.29035993742464045</v>
      </c>
      <c r="N68" s="88">
        <v>0.30399396400952888</v>
      </c>
      <c r="O68" s="88">
        <v>0.3182729466100786</v>
      </c>
    </row>
    <row r="69" spans="2:17" x14ac:dyDescent="0.3">
      <c r="B69" s="103" t="s">
        <v>273</v>
      </c>
      <c r="C69" s="88">
        <v>0</v>
      </c>
      <c r="D69" s="88">
        <v>0.13262946813380574</v>
      </c>
      <c r="E69" s="88">
        <v>0.4610059100776111</v>
      </c>
      <c r="F69" s="88">
        <v>0.95381232748849198</v>
      </c>
      <c r="G69" s="88">
        <v>1.3548662054424181</v>
      </c>
      <c r="H69" s="88">
        <v>1.7603376896218881</v>
      </c>
      <c r="I69" s="88">
        <v>2.1665645648090366</v>
      </c>
      <c r="J69" s="88">
        <v>2.7105275807069154</v>
      </c>
      <c r="K69" s="88">
        <v>3.1399372527437235</v>
      </c>
      <c r="L69" s="88">
        <v>3.5894513738053333</v>
      </c>
      <c r="M69" s="88">
        <v>4.0253512925027124</v>
      </c>
      <c r="N69" s="88">
        <v>4.4631622113197373</v>
      </c>
      <c r="O69" s="88">
        <v>4.9022183447117902</v>
      </c>
    </row>
    <row r="70" spans="2:17" x14ac:dyDescent="0.3">
      <c r="B70" s="103" t="s">
        <v>219</v>
      </c>
      <c r="C70" s="88">
        <v>0</v>
      </c>
      <c r="D70" s="88">
        <v>0.64076125439291465</v>
      </c>
      <c r="E70" s="88">
        <v>0.74000604898434463</v>
      </c>
      <c r="F70" s="88">
        <v>0.85442977593922875</v>
      </c>
      <c r="G70" s="88">
        <v>0.98841783155615104</v>
      </c>
      <c r="H70" s="88">
        <v>1.1447528475901159</v>
      </c>
      <c r="I70" s="88">
        <v>1.3261373113923645</v>
      </c>
      <c r="J70" s="88">
        <v>1.5348062751049221</v>
      </c>
      <c r="K70" s="88">
        <v>1.7793397492457008</v>
      </c>
      <c r="L70" s="88">
        <v>2.059818522996455</v>
      </c>
      <c r="M70" s="88">
        <v>2.3855261573125697</v>
      </c>
      <c r="N70" s="88">
        <v>2.7625968293636243</v>
      </c>
      <c r="O70" s="88">
        <v>3.1995384663985549</v>
      </c>
      <c r="Q70" s="7" t="s">
        <v>290</v>
      </c>
    </row>
    <row r="71" spans="2:17" x14ac:dyDescent="0.3">
      <c r="B71" s="86" t="s">
        <v>274</v>
      </c>
      <c r="C71" s="104">
        <f>SUM(C58:C70)</f>
        <v>13.007851766894744</v>
      </c>
      <c r="D71" s="104">
        <f t="shared" ref="D71:O71" si="5">SUM(D58:D70)</f>
        <v>15.365064448724022</v>
      </c>
      <c r="E71" s="104">
        <f t="shared" si="5"/>
        <v>17.105459735335039</v>
      </c>
      <c r="F71" s="104">
        <f t="shared" si="5"/>
        <v>18.642955896620393</v>
      </c>
      <c r="G71" s="104">
        <f t="shared" si="5"/>
        <v>20.281962667625475</v>
      </c>
      <c r="H71" s="104">
        <f t="shared" si="5"/>
        <v>21.906508086097929</v>
      </c>
      <c r="I71" s="104">
        <f t="shared" si="5"/>
        <v>24.114270483036591</v>
      </c>
      <c r="J71" s="104">
        <f t="shared" si="5"/>
        <v>26.530714471701071</v>
      </c>
      <c r="K71" s="104">
        <f t="shared" si="5"/>
        <v>28.695036543296077</v>
      </c>
      <c r="L71" s="104">
        <f t="shared" si="5"/>
        <v>31.076082337750616</v>
      </c>
      <c r="M71" s="104">
        <f t="shared" si="5"/>
        <v>33.763869884493324</v>
      </c>
      <c r="N71" s="104">
        <f t="shared" si="5"/>
        <v>36.699185454313429</v>
      </c>
      <c r="O71" s="104">
        <f t="shared" si="5"/>
        <v>39.946628972184286</v>
      </c>
    </row>
    <row r="72" spans="2:17" x14ac:dyDescent="0.3">
      <c r="B72" s="92" t="s">
        <v>292</v>
      </c>
      <c r="C72" s="93">
        <f>SUM(C58,C60,C61,C62,C63,C65,C66,C67,C68,C69)</f>
        <v>12.676981035853919</v>
      </c>
      <c r="D72" s="93">
        <f t="shared" ref="D72:O72" si="6">SUM(D58,D60,D61,D62,D63,D65,D66,D67,D68,D69)</f>
        <v>13.96890846336284</v>
      </c>
      <c r="E72" s="93">
        <f t="shared" si="6"/>
        <v>15.271944441598547</v>
      </c>
      <c r="F72" s="93">
        <f t="shared" si="6"/>
        <v>16.686727221855886</v>
      </c>
      <c r="G72" s="93">
        <f t="shared" si="6"/>
        <v>18.183440520370802</v>
      </c>
      <c r="H72" s="93">
        <f t="shared" si="6"/>
        <v>19.645270556552703</v>
      </c>
      <c r="I72" s="93">
        <f t="shared" si="6"/>
        <v>21.218246497480742</v>
      </c>
      <c r="J72" s="93">
        <f t="shared" si="6"/>
        <v>23.075729881567451</v>
      </c>
      <c r="K72" s="93">
        <f t="shared" si="6"/>
        <v>24.985383111039994</v>
      </c>
      <c r="L72" s="93">
        <f t="shared" si="6"/>
        <v>27.073705104268868</v>
      </c>
      <c r="M72" s="93">
        <f t="shared" si="6"/>
        <v>29.424481891235828</v>
      </c>
      <c r="N72" s="93">
        <f t="shared" si="6"/>
        <v>31.971493653694289</v>
      </c>
      <c r="O72" s="93">
        <f t="shared" si="6"/>
        <v>34.770702649848253</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BN43"/>
  <sheetViews>
    <sheetView zoomScaleNormal="100" workbookViewId="0">
      <selection activeCell="X1" sqref="X1"/>
    </sheetView>
  </sheetViews>
  <sheetFormatPr defaultRowHeight="14.4" x14ac:dyDescent="0.3"/>
  <cols>
    <col min="2" max="2" width="18.33203125" customWidth="1"/>
    <col min="3" max="3" width="37.88671875" customWidth="1"/>
    <col min="4" max="8" width="9.109375" hidden="1" customWidth="1"/>
    <col min="9" max="9" width="9" hidden="1" customWidth="1"/>
    <col min="10" max="10" width="31" hidden="1" customWidth="1"/>
    <col min="11" max="15" width="9.109375" hidden="1" customWidth="1"/>
    <col min="16" max="16" width="13" hidden="1" customWidth="1"/>
    <col min="17" max="17" width="12.109375" hidden="1" customWidth="1"/>
    <col min="18" max="18" width="9.109375" hidden="1" customWidth="1"/>
    <col min="19" max="19" width="7.6640625" hidden="1" customWidth="1"/>
    <col min="20" max="30" width="7.6640625" customWidth="1"/>
    <col min="31" max="31" width="9" customWidth="1"/>
    <col min="32" max="32" width="11" customWidth="1"/>
    <col min="33" max="33" width="8.5546875" customWidth="1"/>
    <col min="34" max="34" width="9" customWidth="1"/>
    <col min="35" max="35" width="9.44140625" customWidth="1"/>
    <col min="36" max="50" width="7.6640625" customWidth="1"/>
    <col min="51" max="82" width="10.6640625" customWidth="1"/>
  </cols>
  <sheetData>
    <row r="2" spans="2:66" x14ac:dyDescent="0.3">
      <c r="B2" t="s">
        <v>87</v>
      </c>
      <c r="C2" t="s">
        <v>88</v>
      </c>
    </row>
    <row r="3" spans="2:66" x14ac:dyDescent="0.3">
      <c r="B3" t="s">
        <v>129</v>
      </c>
      <c r="C3" s="58">
        <v>6296</v>
      </c>
      <c r="D3" s="59" t="s">
        <v>142</v>
      </c>
    </row>
    <row r="4" spans="2:66" x14ac:dyDescent="0.3">
      <c r="B4" t="s">
        <v>130</v>
      </c>
      <c r="C4" s="58">
        <v>354</v>
      </c>
      <c r="D4" s="59" t="s">
        <v>142</v>
      </c>
    </row>
    <row r="5" spans="2:66" x14ac:dyDescent="0.3">
      <c r="B5" t="s">
        <v>131</v>
      </c>
      <c r="C5" s="59">
        <v>13.63</v>
      </c>
      <c r="D5" s="59" t="s">
        <v>148</v>
      </c>
      <c r="S5" s="54"/>
    </row>
    <row r="6" spans="2:66" x14ac:dyDescent="0.3">
      <c r="B6" t="s">
        <v>132</v>
      </c>
      <c r="C6" s="59">
        <v>0.26</v>
      </c>
      <c r="D6" s="59" t="s">
        <v>148</v>
      </c>
      <c r="N6" s="80" t="s">
        <v>245</v>
      </c>
    </row>
    <row r="7" spans="2:66" x14ac:dyDescent="0.3">
      <c r="S7" t="s">
        <v>265</v>
      </c>
      <c r="AI7" t="s">
        <v>265</v>
      </c>
    </row>
    <row r="8" spans="2:66" x14ac:dyDescent="0.3">
      <c r="E8" s="40" t="s">
        <v>95</v>
      </c>
      <c r="F8" s="41"/>
      <c r="G8" s="40" t="s">
        <v>96</v>
      </c>
      <c r="H8" s="41"/>
      <c r="J8" t="s">
        <v>103</v>
      </c>
      <c r="L8" t="s">
        <v>100</v>
      </c>
      <c r="S8" t="s">
        <v>0</v>
      </c>
      <c r="AI8" t="s">
        <v>149</v>
      </c>
      <c r="AY8" t="s">
        <v>178</v>
      </c>
    </row>
    <row r="9" spans="2:66" ht="28.8" x14ac:dyDescent="0.3">
      <c r="B9" t="s">
        <v>91</v>
      </c>
      <c r="C9" t="s">
        <v>6</v>
      </c>
      <c r="D9" t="s">
        <v>92</v>
      </c>
      <c r="E9" s="42" t="s">
        <v>93</v>
      </c>
      <c r="F9" s="43" t="s">
        <v>94</v>
      </c>
      <c r="G9" s="42" t="s">
        <v>93</v>
      </c>
      <c r="H9" s="43" t="s">
        <v>94</v>
      </c>
      <c r="I9" s="4" t="s">
        <v>99</v>
      </c>
      <c r="L9" t="s">
        <v>102</v>
      </c>
      <c r="M9" s="45" t="s">
        <v>145</v>
      </c>
      <c r="N9" s="45" t="s">
        <v>233</v>
      </c>
      <c r="O9" s="45" t="s">
        <v>234</v>
      </c>
      <c r="P9" s="45" t="s">
        <v>143</v>
      </c>
      <c r="Q9" s="45" t="s">
        <v>144</v>
      </c>
      <c r="R9" s="45"/>
      <c r="S9">
        <v>2015</v>
      </c>
      <c r="T9">
        <v>2016</v>
      </c>
      <c r="U9">
        <v>2017</v>
      </c>
      <c r="V9">
        <v>2018</v>
      </c>
      <c r="W9">
        <v>2019</v>
      </c>
      <c r="X9">
        <v>2020</v>
      </c>
      <c r="Y9">
        <v>2021</v>
      </c>
      <c r="Z9">
        <v>2022</v>
      </c>
      <c r="AA9">
        <v>2023</v>
      </c>
      <c r="AB9">
        <v>2024</v>
      </c>
      <c r="AC9">
        <v>2025</v>
      </c>
      <c r="AD9">
        <v>2026</v>
      </c>
      <c r="AE9">
        <v>2027</v>
      </c>
      <c r="AF9">
        <v>2028</v>
      </c>
      <c r="AG9">
        <v>2029</v>
      </c>
      <c r="AH9">
        <v>2030</v>
      </c>
      <c r="AI9">
        <v>2015</v>
      </c>
      <c r="AJ9">
        <v>2016</v>
      </c>
      <c r="AK9">
        <v>2017</v>
      </c>
      <c r="AL9">
        <v>2018</v>
      </c>
      <c r="AM9">
        <v>2019</v>
      </c>
      <c r="AN9">
        <v>2020</v>
      </c>
      <c r="AO9">
        <v>2021</v>
      </c>
      <c r="AP9">
        <v>2022</v>
      </c>
      <c r="AQ9">
        <v>2023</v>
      </c>
      <c r="AR9">
        <v>2024</v>
      </c>
      <c r="AS9">
        <v>2025</v>
      </c>
      <c r="AT9">
        <v>2026</v>
      </c>
      <c r="AU9">
        <v>2027</v>
      </c>
      <c r="AV9">
        <v>2028</v>
      </c>
      <c r="AW9">
        <v>2029</v>
      </c>
      <c r="AX9">
        <v>2030</v>
      </c>
      <c r="AY9">
        <v>2015</v>
      </c>
      <c r="AZ9">
        <v>2016</v>
      </c>
      <c r="BA9">
        <v>2017</v>
      </c>
      <c r="BB9">
        <v>2018</v>
      </c>
      <c r="BC9">
        <v>2019</v>
      </c>
      <c r="BD9">
        <v>2020</v>
      </c>
      <c r="BE9">
        <v>2021</v>
      </c>
      <c r="BF9">
        <v>2022</v>
      </c>
      <c r="BG9">
        <v>2023</v>
      </c>
      <c r="BH9">
        <v>2024</v>
      </c>
      <c r="BI9">
        <v>2025</v>
      </c>
      <c r="BJ9">
        <v>2026</v>
      </c>
      <c r="BK9">
        <v>2027</v>
      </c>
      <c r="BL9">
        <v>2028</v>
      </c>
      <c r="BM9">
        <v>2029</v>
      </c>
      <c r="BN9">
        <v>2030</v>
      </c>
    </row>
    <row r="10" spans="2:66" x14ac:dyDescent="0.3">
      <c r="B10" t="s">
        <v>89</v>
      </c>
      <c r="C10" t="s">
        <v>90</v>
      </c>
      <c r="D10">
        <v>1</v>
      </c>
      <c r="E10" t="s">
        <v>97</v>
      </c>
      <c r="F10" t="s">
        <v>98</v>
      </c>
      <c r="G10" s="44">
        <v>0.09</v>
      </c>
      <c r="H10" s="44">
        <v>3.06</v>
      </c>
      <c r="I10">
        <v>1.9058000000000001E-4</v>
      </c>
      <c r="J10" t="s">
        <v>147</v>
      </c>
      <c r="L10" s="47" t="s">
        <v>127</v>
      </c>
      <c r="M10" s="35" t="s">
        <v>146</v>
      </c>
      <c r="N10" s="35">
        <v>1.4800000000000001E-2</v>
      </c>
      <c r="O10" s="35">
        <v>6.0000000000000001E-3</v>
      </c>
      <c r="P10" s="50">
        <f>N10*$C$3</f>
        <v>93.180800000000005</v>
      </c>
      <c r="Q10" s="50">
        <f>O10*$C$4</f>
        <v>2.1240000000000001</v>
      </c>
      <c r="R10" s="50"/>
      <c r="S10" s="50">
        <f>$P10*AY10/1000000</f>
        <v>147.23861613120002</v>
      </c>
      <c r="T10" s="50">
        <f t="shared" ref="T10:AH14" si="0">$P10*AZ10/1000000</f>
        <v>148.95211825010102</v>
      </c>
      <c r="U10" s="50">
        <f t="shared" si="0"/>
        <v>150.90422921941254</v>
      </c>
      <c r="V10" s="50">
        <f t="shared" si="0"/>
        <v>152.2888583183194</v>
      </c>
      <c r="W10" s="50">
        <f t="shared" si="0"/>
        <v>154.26042411697608</v>
      </c>
      <c r="X10" s="50">
        <f t="shared" si="0"/>
        <v>156.21972216225154</v>
      </c>
      <c r="Y10" s="50">
        <f t="shared" si="0"/>
        <v>157.99465489926229</v>
      </c>
      <c r="Z10" s="50">
        <f t="shared" si="0"/>
        <v>159.76245673761767</v>
      </c>
      <c r="AA10" s="50">
        <f t="shared" si="0"/>
        <v>161.52010769510889</v>
      </c>
      <c r="AB10" s="50">
        <f t="shared" si="0"/>
        <v>163.12987245721069</v>
      </c>
      <c r="AC10" s="50">
        <f t="shared" si="0"/>
        <v>164.80807968157814</v>
      </c>
      <c r="AD10" s="50">
        <f t="shared" si="0"/>
        <v>166.30993796088444</v>
      </c>
      <c r="AE10" s="50">
        <f t="shared" si="0"/>
        <v>167.78989225872971</v>
      </c>
      <c r="AF10" s="50">
        <f t="shared" si="0"/>
        <v>169.32582977089527</v>
      </c>
      <c r="AG10" s="50">
        <f t="shared" si="0"/>
        <v>170.85706570536888</v>
      </c>
      <c r="AH10" s="50">
        <f t="shared" si="0"/>
        <v>172.38896846697014</v>
      </c>
      <c r="AI10" s="54">
        <f>$O10*AY10/1000000</f>
        <v>9.4808340000000005E-3</v>
      </c>
      <c r="AJ10" s="54">
        <f t="shared" ref="AJ10:AX10" si="1">$O10*AZ10/1000000</f>
        <v>9.5911680249644374E-3</v>
      </c>
      <c r="AK10" s="54">
        <f t="shared" si="1"/>
        <v>9.7168662998866201E-3</v>
      </c>
      <c r="AL10" s="54">
        <f t="shared" si="1"/>
        <v>9.8060238794892996E-3</v>
      </c>
      <c r="AM10" s="54">
        <f t="shared" si="1"/>
        <v>9.9329748693063012E-3</v>
      </c>
      <c r="AN10" s="54">
        <f t="shared" si="1"/>
        <v>1.0059135926859494E-2</v>
      </c>
      <c r="AO10" s="54">
        <f t="shared" si="1"/>
        <v>1.0173425527528994E-2</v>
      </c>
      <c r="AP10" s="54">
        <f t="shared" si="1"/>
        <v>1.028725596287761E-2</v>
      </c>
      <c r="AQ10" s="54">
        <f t="shared" si="1"/>
        <v>1.040043277338951E-2</v>
      </c>
      <c r="AR10" s="54">
        <f t="shared" si="1"/>
        <v>1.0504087051659399E-2</v>
      </c>
      <c r="AS10" s="54">
        <f t="shared" si="1"/>
        <v>1.0612148404923211E-2</v>
      </c>
      <c r="AT10" s="54">
        <f t="shared" si="1"/>
        <v>1.0708854482525442E-2</v>
      </c>
      <c r="AU10" s="54">
        <f t="shared" si="1"/>
        <v>1.080415014200756E-2</v>
      </c>
      <c r="AV10" s="54">
        <f t="shared" si="1"/>
        <v>1.0903050613703377E-2</v>
      </c>
      <c r="AW10" s="54">
        <f t="shared" si="1"/>
        <v>1.1001648346356903E-2</v>
      </c>
      <c r="AX10" s="54">
        <f t="shared" si="1"/>
        <v>1.110028901664099E-2</v>
      </c>
      <c r="AY10" s="50">
        <f>SUM(J23:J25)</f>
        <v>1580139</v>
      </c>
      <c r="AZ10" s="50">
        <f t="shared" ref="AZ10:BN10" si="2">AY10*(AZ26/AY26)</f>
        <v>1598528.0041607395</v>
      </c>
      <c r="BA10" s="50">
        <f t="shared" si="2"/>
        <v>1619477.71664777</v>
      </c>
      <c r="BB10" s="50">
        <f t="shared" si="2"/>
        <v>1634337.3132482164</v>
      </c>
      <c r="BC10" s="50">
        <f t="shared" si="2"/>
        <v>1655495.8115510501</v>
      </c>
      <c r="BD10" s="50">
        <f t="shared" si="2"/>
        <v>1676522.6544765823</v>
      </c>
      <c r="BE10" s="50">
        <f t="shared" si="2"/>
        <v>1695570.9212548323</v>
      </c>
      <c r="BF10" s="50">
        <f t="shared" si="2"/>
        <v>1714542.6604796015</v>
      </c>
      <c r="BG10" s="50">
        <f t="shared" si="2"/>
        <v>1733405.4622315851</v>
      </c>
      <c r="BH10" s="50">
        <f t="shared" si="2"/>
        <v>1750681.1752765665</v>
      </c>
      <c r="BI10" s="50">
        <f t="shared" si="2"/>
        <v>1768691.4008205351</v>
      </c>
      <c r="BJ10" s="50">
        <f t="shared" si="2"/>
        <v>1784809.0804209069</v>
      </c>
      <c r="BK10" s="50">
        <f t="shared" si="2"/>
        <v>1800691.6903345934</v>
      </c>
      <c r="BL10" s="50">
        <f t="shared" si="2"/>
        <v>1817175.1022838962</v>
      </c>
      <c r="BM10" s="50">
        <f t="shared" si="2"/>
        <v>1833608.0577261504</v>
      </c>
      <c r="BN10" s="50">
        <f t="shared" si="2"/>
        <v>1850048.1694401652</v>
      </c>
    </row>
    <row r="11" spans="2:66" x14ac:dyDescent="0.3">
      <c r="B11" t="s">
        <v>89</v>
      </c>
      <c r="C11" t="s">
        <v>270</v>
      </c>
      <c r="D11">
        <v>1</v>
      </c>
      <c r="E11" s="51">
        <v>2.3E-2</v>
      </c>
      <c r="F11" s="51">
        <v>0</v>
      </c>
      <c r="G11">
        <v>0.26</v>
      </c>
      <c r="H11" s="44">
        <v>4.4000000000000004</v>
      </c>
      <c r="I11">
        <v>1.9058000000000001E-4</v>
      </c>
      <c r="J11" t="s">
        <v>119</v>
      </c>
      <c r="L11" s="47" t="s">
        <v>106</v>
      </c>
      <c r="M11" s="46" t="s">
        <v>177</v>
      </c>
      <c r="N11" s="51">
        <f t="shared" ref="N11:O15" si="3">E11</f>
        <v>2.3E-2</v>
      </c>
      <c r="O11" s="51">
        <f t="shared" si="3"/>
        <v>0</v>
      </c>
      <c r="P11" s="50">
        <f t="shared" ref="P11:P14" si="4">N11*$C$3</f>
        <v>144.80799999999999</v>
      </c>
      <c r="Q11" s="50">
        <f t="shared" ref="Q11:Q14" si="5">O11*$C$4</f>
        <v>0</v>
      </c>
      <c r="R11" s="50"/>
      <c r="S11" s="50">
        <f>$P11*AY11/1000000</f>
        <v>73.018631774523442</v>
      </c>
      <c r="T11" s="50">
        <f t="shared" si="0"/>
        <v>78.860122316485317</v>
      </c>
      <c r="U11" s="50">
        <f t="shared" si="0"/>
        <v>85.168932101804145</v>
      </c>
      <c r="V11" s="50">
        <f t="shared" si="0"/>
        <v>91.982446669948501</v>
      </c>
      <c r="W11" s="50">
        <f t="shared" si="0"/>
        <v>99.341042403544392</v>
      </c>
      <c r="X11" s="50">
        <f t="shared" si="0"/>
        <v>107.28832579582796</v>
      </c>
      <c r="Y11" s="50">
        <f t="shared" si="0"/>
        <v>115.8713918594942</v>
      </c>
      <c r="Z11" s="50">
        <f t="shared" si="0"/>
        <v>125.14110320825374</v>
      </c>
      <c r="AA11" s="50">
        <f t="shared" si="0"/>
        <v>135.15239146491405</v>
      </c>
      <c r="AB11" s="50">
        <f t="shared" si="0"/>
        <v>145.96458278210719</v>
      </c>
      <c r="AC11" s="50">
        <f t="shared" si="0"/>
        <v>157.64174940467578</v>
      </c>
      <c r="AD11" s="50">
        <f t="shared" si="0"/>
        <v>170.25308935704984</v>
      </c>
      <c r="AE11" s="50">
        <f t="shared" si="0"/>
        <v>183.87333650561385</v>
      </c>
      <c r="AF11" s="50">
        <f t="shared" si="0"/>
        <v>198.58320342606297</v>
      </c>
      <c r="AG11" s="50">
        <f t="shared" si="0"/>
        <v>214.46985970014802</v>
      </c>
      <c r="AH11" s="50">
        <f t="shared" si="0"/>
        <v>231.62744847615988</v>
      </c>
      <c r="AI11" s="54">
        <f t="shared" ref="AI11:AI14" si="6">$O11*AY11/1000000</f>
        <v>0</v>
      </c>
      <c r="AJ11" s="54">
        <f t="shared" ref="AJ11:AJ14" si="7">$O11*AZ11/1000000</f>
        <v>0</v>
      </c>
      <c r="AK11" s="54">
        <f t="shared" ref="AK11:AK14" si="8">$O11*BA11/1000000</f>
        <v>0</v>
      </c>
      <c r="AL11" s="54">
        <f t="shared" ref="AL11:AL14" si="9">$O11*BB11/1000000</f>
        <v>0</v>
      </c>
      <c r="AM11" s="54">
        <f t="shared" ref="AM11:AM14" si="10">$O11*BC11/1000000</f>
        <v>0</v>
      </c>
      <c r="AN11" s="54">
        <f t="shared" ref="AN11:AN14" si="11">$O11*BD11/1000000</f>
        <v>0</v>
      </c>
      <c r="AO11" s="54">
        <f t="shared" ref="AO11:AO14" si="12">$O11*BE11/1000000</f>
        <v>0</v>
      </c>
      <c r="AP11" s="54">
        <f t="shared" ref="AP11:AP14" si="13">$O11*BF11/1000000</f>
        <v>0</v>
      </c>
      <c r="AQ11" s="54">
        <f t="shared" ref="AQ11:AQ14" si="14">$O11*BG11/1000000</f>
        <v>0</v>
      </c>
      <c r="AR11" s="54">
        <f t="shared" ref="AR11:AR14" si="15">$O11*BH11/1000000</f>
        <v>0</v>
      </c>
      <c r="AS11" s="54">
        <f t="shared" ref="AS11:AS14" si="16">$O11*BI11/1000000</f>
        <v>0</v>
      </c>
      <c r="AT11" s="54">
        <f t="shared" ref="AT11:AT14" si="17">$O11*BJ11/1000000</f>
        <v>0</v>
      </c>
      <c r="AU11" s="54">
        <f t="shared" ref="AU11:AU14" si="18">$O11*BK11/1000000</f>
        <v>0</v>
      </c>
      <c r="AV11" s="54">
        <f t="shared" ref="AV11:AV14" si="19">$O11*BL11/1000000</f>
        <v>0</v>
      </c>
      <c r="AW11" s="54">
        <f t="shared" ref="AW11:AW14" si="20">$O11*BM11/1000000</f>
        <v>0</v>
      </c>
      <c r="AX11" s="54">
        <f t="shared" ref="AX11:AX14" si="21">$O11*BN11/1000000</f>
        <v>0</v>
      </c>
      <c r="AY11" s="55">
        <f>4%*AY26</f>
        <v>504244.4600748815</v>
      </c>
      <c r="AZ11" s="55">
        <f>AY11*1.08</f>
        <v>544584.01688087208</v>
      </c>
      <c r="BA11" s="55">
        <f t="shared" ref="BA11:BC11" si="22">AZ11*1.08</f>
        <v>588150.73823134194</v>
      </c>
      <c r="BB11" s="55">
        <f t="shared" si="22"/>
        <v>635202.79728984938</v>
      </c>
      <c r="BC11" s="55">
        <f t="shared" si="22"/>
        <v>686019.02107303741</v>
      </c>
      <c r="BD11" s="55">
        <f t="shared" ref="BD11:BN11" si="23">BC11*1.08</f>
        <v>740900.54275888042</v>
      </c>
      <c r="BE11" s="55">
        <f t="shared" si="23"/>
        <v>800172.5861795909</v>
      </c>
      <c r="BF11" s="55">
        <f t="shared" si="23"/>
        <v>864186.39307395823</v>
      </c>
      <c r="BG11" s="55">
        <f t="shared" si="23"/>
        <v>933321.30451987498</v>
      </c>
      <c r="BH11" s="55">
        <f t="shared" si="23"/>
        <v>1007987.0088814651</v>
      </c>
      <c r="BI11" s="55">
        <f t="shared" si="23"/>
        <v>1088625.9695919824</v>
      </c>
      <c r="BJ11" s="55">
        <f t="shared" si="23"/>
        <v>1175716.0471593412</v>
      </c>
      <c r="BK11" s="55">
        <f t="shared" si="23"/>
        <v>1269773.3309320884</v>
      </c>
      <c r="BL11" s="55">
        <f t="shared" si="23"/>
        <v>1371355.1974066556</v>
      </c>
      <c r="BM11" s="55">
        <f t="shared" si="23"/>
        <v>1481063.6131991881</v>
      </c>
      <c r="BN11" s="55">
        <f t="shared" si="23"/>
        <v>1599548.7022551233</v>
      </c>
    </row>
    <row r="12" spans="2:66" x14ac:dyDescent="0.3">
      <c r="B12" t="s">
        <v>89</v>
      </c>
      <c r="C12" t="s">
        <v>101</v>
      </c>
      <c r="D12">
        <v>1</v>
      </c>
      <c r="E12" s="51">
        <v>1.2999999999999999E-2</v>
      </c>
      <c r="F12" s="51">
        <v>1.2999999999999999E-2</v>
      </c>
      <c r="G12">
        <v>7.0000000000000007E-2</v>
      </c>
      <c r="H12" s="48">
        <v>0</v>
      </c>
      <c r="I12">
        <v>1.9058000000000001E-4</v>
      </c>
      <c r="J12" t="s">
        <v>118</v>
      </c>
      <c r="L12" s="47" t="s">
        <v>107</v>
      </c>
      <c r="M12" s="46" t="s">
        <v>177</v>
      </c>
      <c r="N12" s="51">
        <f t="shared" si="3"/>
        <v>1.2999999999999999E-2</v>
      </c>
      <c r="O12" s="51">
        <f t="shared" si="3"/>
        <v>1.2999999999999999E-2</v>
      </c>
      <c r="P12" s="50">
        <f t="shared" si="4"/>
        <v>81.847999999999999</v>
      </c>
      <c r="Q12" s="50">
        <f t="shared" si="5"/>
        <v>4.6019999999999994</v>
      </c>
      <c r="R12" s="50"/>
      <c r="S12" s="50">
        <f>$P12*AY12/1000000</f>
        <v>103.17850142052224</v>
      </c>
      <c r="T12" s="50">
        <f t="shared" si="0"/>
        <v>111.43278153416402</v>
      </c>
      <c r="U12" s="50">
        <f t="shared" si="0"/>
        <v>120.34740405689716</v>
      </c>
      <c r="V12" s="50">
        <f t="shared" si="0"/>
        <v>129.97519638144894</v>
      </c>
      <c r="W12" s="50">
        <f t="shared" si="0"/>
        <v>140.37321209196483</v>
      </c>
      <c r="X12" s="50">
        <f t="shared" si="0"/>
        <v>151.60306905932202</v>
      </c>
      <c r="Y12" s="50">
        <f t="shared" si="0"/>
        <v>163.73131458406783</v>
      </c>
      <c r="Z12" s="50">
        <f t="shared" si="0"/>
        <v>176.82981975079323</v>
      </c>
      <c r="AA12" s="50">
        <f t="shared" si="0"/>
        <v>190.97620533085671</v>
      </c>
      <c r="AB12" s="50">
        <f t="shared" si="0"/>
        <v>206.25430175732524</v>
      </c>
      <c r="AC12" s="50">
        <f t="shared" si="0"/>
        <v>222.7546458979113</v>
      </c>
      <c r="AD12" s="50">
        <f t="shared" si="0"/>
        <v>240.57501756974423</v>
      </c>
      <c r="AE12" s="50">
        <f t="shared" si="0"/>
        <v>259.8210189753238</v>
      </c>
      <c r="AF12" s="50">
        <f t="shared" si="0"/>
        <v>280.60670049334971</v>
      </c>
      <c r="AG12" s="50">
        <f t="shared" si="0"/>
        <v>303.05523653281773</v>
      </c>
      <c r="AH12" s="50">
        <f t="shared" si="0"/>
        <v>327.29965545544314</v>
      </c>
      <c r="AI12" s="54">
        <f t="shared" si="6"/>
        <v>1.6387944952433644E-2</v>
      </c>
      <c r="AJ12" s="54">
        <f t="shared" si="7"/>
        <v>1.769898054862834E-2</v>
      </c>
      <c r="AK12" s="54">
        <f t="shared" si="8"/>
        <v>1.9114898992518607E-2</v>
      </c>
      <c r="AL12" s="54">
        <f t="shared" si="9"/>
        <v>2.0644090911920099E-2</v>
      </c>
      <c r="AM12" s="54">
        <f t="shared" si="10"/>
        <v>2.2295618184873703E-2</v>
      </c>
      <c r="AN12" s="54">
        <f t="shared" si="11"/>
        <v>2.4079267639663601E-2</v>
      </c>
      <c r="AO12" s="54">
        <f t="shared" si="12"/>
        <v>2.6005609050836691E-2</v>
      </c>
      <c r="AP12" s="54">
        <f t="shared" si="13"/>
        <v>2.8086057774903628E-2</v>
      </c>
      <c r="AQ12" s="54">
        <f t="shared" si="14"/>
        <v>3.0332942396895917E-2</v>
      </c>
      <c r="AR12" s="54">
        <f t="shared" si="15"/>
        <v>3.275957778864759E-2</v>
      </c>
      <c r="AS12" s="54">
        <f t="shared" si="16"/>
        <v>3.5380344011739409E-2</v>
      </c>
      <c r="AT12" s="54">
        <f t="shared" si="17"/>
        <v>3.8210771532678559E-2</v>
      </c>
      <c r="AU12" s="54">
        <f t="shared" si="18"/>
        <v>4.1267633255292847E-2</v>
      </c>
      <c r="AV12" s="54">
        <f t="shared" si="19"/>
        <v>4.4569043915716283E-2</v>
      </c>
      <c r="AW12" s="54">
        <f t="shared" si="20"/>
        <v>4.8134567428973589E-2</v>
      </c>
      <c r="AX12" s="54">
        <f t="shared" si="21"/>
        <v>5.1985332823291479E-2</v>
      </c>
      <c r="AY12" s="50">
        <f>10%*AY26</f>
        <v>1260611.1501872037</v>
      </c>
      <c r="AZ12" s="55">
        <f>AY12*1.08</f>
        <v>1361460.04220218</v>
      </c>
      <c r="BA12" s="55">
        <f t="shared" ref="BA12:BE12" si="24">AZ12*1.08</f>
        <v>1470376.8455783546</v>
      </c>
      <c r="BB12" s="55">
        <f t="shared" si="24"/>
        <v>1588006.9932246229</v>
      </c>
      <c r="BC12" s="55">
        <f t="shared" si="24"/>
        <v>1715047.5526825928</v>
      </c>
      <c r="BD12" s="55">
        <f t="shared" si="24"/>
        <v>1852251.3568972002</v>
      </c>
      <c r="BE12" s="55">
        <f t="shared" si="24"/>
        <v>2000431.4654489763</v>
      </c>
      <c r="BF12" s="55">
        <f t="shared" ref="BF12:BN12" si="25">BE12*1.08</f>
        <v>2160465.9826848945</v>
      </c>
      <c r="BG12" s="55">
        <f t="shared" si="25"/>
        <v>2333303.261299686</v>
      </c>
      <c r="BH12" s="55">
        <f t="shared" si="25"/>
        <v>2519967.522203661</v>
      </c>
      <c r="BI12" s="55">
        <f t="shared" si="25"/>
        <v>2721564.9239799543</v>
      </c>
      <c r="BJ12" s="55">
        <f t="shared" si="25"/>
        <v>2939290.117898351</v>
      </c>
      <c r="BK12" s="55">
        <f t="shared" si="25"/>
        <v>3174433.3273302196</v>
      </c>
      <c r="BL12" s="55">
        <f t="shared" si="25"/>
        <v>3428387.9935166375</v>
      </c>
      <c r="BM12" s="55">
        <f t="shared" si="25"/>
        <v>3702659.0329979686</v>
      </c>
      <c r="BN12" s="55">
        <f t="shared" si="25"/>
        <v>3998871.7556378064</v>
      </c>
    </row>
    <row r="13" spans="2:66" x14ac:dyDescent="0.3">
      <c r="B13" t="s">
        <v>89</v>
      </c>
      <c r="C13" t="s">
        <v>104</v>
      </c>
      <c r="D13">
        <v>1</v>
      </c>
      <c r="E13" s="51">
        <v>8.1000000000000003E-2</v>
      </c>
      <c r="F13" s="51">
        <v>5.1999999999999998E-2</v>
      </c>
      <c r="G13" s="44">
        <v>2.1999999999999999E-2</v>
      </c>
      <c r="H13" s="44">
        <v>0.57899999999999996</v>
      </c>
      <c r="I13">
        <v>1.9058000000000001E-4</v>
      </c>
      <c r="J13" t="s">
        <v>109</v>
      </c>
      <c r="L13" s="46">
        <v>2.0000000000000001E-4</v>
      </c>
      <c r="M13" s="59"/>
      <c r="N13" s="51">
        <f t="shared" si="3"/>
        <v>8.1000000000000003E-2</v>
      </c>
      <c r="O13" s="51">
        <f t="shared" si="3"/>
        <v>5.1999999999999998E-2</v>
      </c>
      <c r="P13" s="50">
        <f t="shared" si="4"/>
        <v>509.976</v>
      </c>
      <c r="Q13" s="50">
        <f t="shared" si="5"/>
        <v>18.407999999999998</v>
      </c>
      <c r="R13" s="50"/>
      <c r="S13" s="50">
        <v>0</v>
      </c>
      <c r="T13" s="50">
        <v>0</v>
      </c>
      <c r="U13" s="50">
        <v>0</v>
      </c>
      <c r="V13" s="50">
        <v>0</v>
      </c>
      <c r="W13" s="49">
        <f>$L13*$N13*C3*AY26/1000000</f>
        <v>1.2857628638557388</v>
      </c>
      <c r="X13" s="50">
        <f t="shared" si="0"/>
        <v>0.71185595252944911</v>
      </c>
      <c r="Y13" s="50">
        <f t="shared" si="0"/>
        <v>0.7688044287318051</v>
      </c>
      <c r="Z13" s="50">
        <f t="shared" si="0"/>
        <v>0.80724465016839531</v>
      </c>
      <c r="AA13" s="50">
        <f t="shared" si="0"/>
        <v>0.84760688267681505</v>
      </c>
      <c r="AB13" s="50">
        <f t="shared" si="0"/>
        <v>0.8899872268106559</v>
      </c>
      <c r="AC13" s="50">
        <f t="shared" si="0"/>
        <v>0.93448658815118868</v>
      </c>
      <c r="AD13" s="50">
        <f t="shared" si="0"/>
        <v>0.98121091755874801</v>
      </c>
      <c r="AE13" s="50">
        <f t="shared" si="0"/>
        <v>1.0302714634366856</v>
      </c>
      <c r="AF13" s="50">
        <f t="shared" si="0"/>
        <v>1.08178503660852</v>
      </c>
      <c r="AG13" s="50">
        <f t="shared" si="0"/>
        <v>1.1358742884389461</v>
      </c>
      <c r="AH13" s="50">
        <f t="shared" si="0"/>
        <v>1.1926680028608934</v>
      </c>
      <c r="AI13" s="54">
        <f t="shared" si="6"/>
        <v>4.9400000000000001E-5</v>
      </c>
      <c r="AJ13" s="54">
        <f t="shared" si="7"/>
        <v>5.3352E-5</v>
      </c>
      <c r="AK13" s="54">
        <f t="shared" si="8"/>
        <v>5.7620160000000005E-5</v>
      </c>
      <c r="AL13" s="54">
        <f t="shared" si="9"/>
        <v>6.2229772800000008E-5</v>
      </c>
      <c r="AM13" s="54">
        <f t="shared" si="10"/>
        <v>6.7208154624000016E-5</v>
      </c>
      <c r="AN13" s="54">
        <f t="shared" si="11"/>
        <v>7.2584806993920007E-5</v>
      </c>
      <c r="AO13" s="54">
        <f t="shared" si="12"/>
        <v>7.8391591553433613E-5</v>
      </c>
      <c r="AP13" s="54">
        <f t="shared" si="13"/>
        <v>8.2311171131105291E-5</v>
      </c>
      <c r="AQ13" s="54">
        <f t="shared" si="14"/>
        <v>8.6426729687660557E-5</v>
      </c>
      <c r="AR13" s="54">
        <f t="shared" si="15"/>
        <v>9.0748066172043599E-5</v>
      </c>
      <c r="AS13" s="54">
        <f t="shared" si="16"/>
        <v>9.5285469480645772E-5</v>
      </c>
      <c r="AT13" s="54">
        <f t="shared" si="17"/>
        <v>1.0004974295467805E-4</v>
      </c>
      <c r="AU13" s="54">
        <f t="shared" si="18"/>
        <v>1.0505223010241197E-4</v>
      </c>
      <c r="AV13" s="54">
        <f t="shared" si="19"/>
        <v>1.1030484160753259E-4</v>
      </c>
      <c r="AW13" s="54">
        <f t="shared" si="20"/>
        <v>1.1582008368790921E-4</v>
      </c>
      <c r="AX13" s="54">
        <f t="shared" si="21"/>
        <v>1.2161108787230467E-4</v>
      </c>
      <c r="AY13">
        <v>950</v>
      </c>
      <c r="AZ13" s="57">
        <f>AY13*1.08</f>
        <v>1026</v>
      </c>
      <c r="BA13" s="57">
        <f t="shared" ref="BA13:BE13" si="26">AZ13*1.08</f>
        <v>1108.0800000000002</v>
      </c>
      <c r="BB13" s="57">
        <f t="shared" si="26"/>
        <v>1196.7264000000002</v>
      </c>
      <c r="BC13" s="57">
        <f t="shared" si="26"/>
        <v>1292.4645120000002</v>
      </c>
      <c r="BD13" s="57">
        <f t="shared" si="26"/>
        <v>1395.8616729600003</v>
      </c>
      <c r="BE13" s="57">
        <f t="shared" si="26"/>
        <v>1507.5306067968004</v>
      </c>
      <c r="BF13" s="57">
        <f t="shared" ref="BF13:BN13" si="27">BE13*1.05</f>
        <v>1582.9071371366404</v>
      </c>
      <c r="BG13" s="57">
        <f t="shared" si="27"/>
        <v>1662.0524939934724</v>
      </c>
      <c r="BH13" s="57">
        <f t="shared" si="27"/>
        <v>1745.1551186931461</v>
      </c>
      <c r="BI13" s="57">
        <f t="shared" si="27"/>
        <v>1832.4128746278034</v>
      </c>
      <c r="BJ13" s="57">
        <f t="shared" si="27"/>
        <v>1924.0335183591935</v>
      </c>
      <c r="BK13" s="57">
        <f t="shared" si="27"/>
        <v>2020.2351942771534</v>
      </c>
      <c r="BL13" s="57">
        <f t="shared" si="27"/>
        <v>2121.2469539910112</v>
      </c>
      <c r="BM13" s="57">
        <f t="shared" si="27"/>
        <v>2227.3093016905618</v>
      </c>
      <c r="BN13" s="57">
        <f t="shared" si="27"/>
        <v>2338.6747667750901</v>
      </c>
    </row>
    <row r="14" spans="2:66" x14ac:dyDescent="0.3">
      <c r="B14" t="s">
        <v>89</v>
      </c>
      <c r="C14" t="s">
        <v>105</v>
      </c>
      <c r="D14" s="59">
        <v>1</v>
      </c>
      <c r="E14" s="51">
        <v>4.1000000000000002E-2</v>
      </c>
      <c r="F14" s="51">
        <v>5.1999999999999998E-2</v>
      </c>
      <c r="G14" s="44">
        <v>4.0000000000000001E-3</v>
      </c>
      <c r="H14" s="44">
        <v>5.7000000000000002E-2</v>
      </c>
      <c r="I14">
        <v>1.9058000000000001E-4</v>
      </c>
      <c r="J14" s="46" t="s">
        <v>108</v>
      </c>
      <c r="L14" s="37">
        <v>67000</v>
      </c>
      <c r="M14" s="46" t="s">
        <v>134</v>
      </c>
      <c r="N14" s="51">
        <f t="shared" si="3"/>
        <v>4.1000000000000002E-2</v>
      </c>
      <c r="O14" s="51">
        <f t="shared" si="3"/>
        <v>5.1999999999999998E-2</v>
      </c>
      <c r="P14" s="50">
        <f t="shared" si="4"/>
        <v>258.13600000000002</v>
      </c>
      <c r="Q14" s="50">
        <f t="shared" si="5"/>
        <v>18.407999999999998</v>
      </c>
      <c r="R14" s="50"/>
      <c r="S14" s="50">
        <f>$P14*AY14/1000000</f>
        <v>29.686672544000004</v>
      </c>
      <c r="T14" s="50">
        <f t="shared" si="0"/>
        <v>31.171006171200005</v>
      </c>
      <c r="U14" s="50">
        <f t="shared" si="0"/>
        <v>32.729556479760006</v>
      </c>
      <c r="V14" s="50">
        <f t="shared" si="0"/>
        <v>34.366034303748009</v>
      </c>
      <c r="W14" s="50">
        <f t="shared" si="0"/>
        <v>36.08433601893541</v>
      </c>
      <c r="X14" s="50">
        <f t="shared" si="0"/>
        <v>37.888552819882186</v>
      </c>
      <c r="Y14" s="50">
        <f t="shared" si="0"/>
        <v>39.782980460876296</v>
      </c>
      <c r="Z14" s="50">
        <f t="shared" si="0"/>
        <v>41.772129483920104</v>
      </c>
      <c r="AA14" s="50">
        <f t="shared" si="0"/>
        <v>43.860735958116116</v>
      </c>
      <c r="AB14" s="50">
        <f t="shared" si="0"/>
        <v>46.053772756021921</v>
      </c>
      <c r="AC14" s="50">
        <f t="shared" si="0"/>
        <v>48.356461393823018</v>
      </c>
      <c r="AD14" s="50">
        <f t="shared" si="0"/>
        <v>50.774284463514171</v>
      </c>
      <c r="AE14" s="50">
        <f t="shared" si="0"/>
        <v>53.31299868668988</v>
      </c>
      <c r="AF14" s="50">
        <f t="shared" si="0"/>
        <v>55.978648621024384</v>
      </c>
      <c r="AG14" s="50">
        <f t="shared" si="0"/>
        <v>58.777581052075611</v>
      </c>
      <c r="AH14" s="50">
        <f t="shared" si="0"/>
        <v>61.716460104679392</v>
      </c>
      <c r="AI14" s="54">
        <f t="shared" si="6"/>
        <v>5.9802079999999999E-3</v>
      </c>
      <c r="AJ14" s="54">
        <f t="shared" si="7"/>
        <v>6.2792184000000006E-3</v>
      </c>
      <c r="AK14" s="54">
        <f t="shared" si="8"/>
        <v>6.5931793199999998E-3</v>
      </c>
      <c r="AL14" s="54">
        <f t="shared" si="9"/>
        <v>6.9228382860000012E-3</v>
      </c>
      <c r="AM14" s="54">
        <f t="shared" si="10"/>
        <v>7.268980200300001E-3</v>
      </c>
      <c r="AN14" s="54">
        <f t="shared" si="11"/>
        <v>7.632429210315002E-3</v>
      </c>
      <c r="AO14" s="54">
        <f t="shared" si="12"/>
        <v>8.0140506708307521E-3</v>
      </c>
      <c r="AP14" s="54">
        <f t="shared" si="13"/>
        <v>8.4147532043722887E-3</v>
      </c>
      <c r="AQ14" s="54">
        <f t="shared" si="14"/>
        <v>8.8354908645909037E-3</v>
      </c>
      <c r="AR14" s="54">
        <f t="shared" si="15"/>
        <v>9.2772654078204508E-3</v>
      </c>
      <c r="AS14" s="54">
        <f t="shared" si="16"/>
        <v>9.741128678211473E-3</v>
      </c>
      <c r="AT14" s="54">
        <f t="shared" si="17"/>
        <v>1.0228185112122047E-2</v>
      </c>
      <c r="AU14" s="54">
        <f t="shared" si="18"/>
        <v>1.073959436772815E-2</v>
      </c>
      <c r="AV14" s="54">
        <f t="shared" si="19"/>
        <v>1.1276574086114557E-2</v>
      </c>
      <c r="AW14" s="54">
        <f t="shared" si="20"/>
        <v>1.1840402790420286E-2</v>
      </c>
      <c r="AX14" s="54">
        <f t="shared" si="21"/>
        <v>1.2432422929941301E-2</v>
      </c>
      <c r="AY14" s="37">
        <f>J28</f>
        <v>115004</v>
      </c>
      <c r="AZ14" s="50">
        <f>AY14*1.05</f>
        <v>120754.20000000001</v>
      </c>
      <c r="BA14" s="50">
        <f t="shared" ref="BA14:BN14" si="28">AZ14*1.05</f>
        <v>126791.91000000002</v>
      </c>
      <c r="BB14" s="50">
        <f t="shared" si="28"/>
        <v>133131.50550000003</v>
      </c>
      <c r="BC14" s="50">
        <f t="shared" si="28"/>
        <v>139788.08077500004</v>
      </c>
      <c r="BD14" s="50">
        <f t="shared" si="28"/>
        <v>146777.48481375005</v>
      </c>
      <c r="BE14" s="50">
        <f t="shared" si="28"/>
        <v>154116.35905443755</v>
      </c>
      <c r="BF14" s="50">
        <f t="shared" si="28"/>
        <v>161822.17700715942</v>
      </c>
      <c r="BG14" s="50">
        <f t="shared" si="28"/>
        <v>169913.28585751739</v>
      </c>
      <c r="BH14" s="50">
        <f t="shared" si="28"/>
        <v>178408.95015039327</v>
      </c>
      <c r="BI14" s="50">
        <f t="shared" si="28"/>
        <v>187329.39765791295</v>
      </c>
      <c r="BJ14" s="50">
        <f t="shared" si="28"/>
        <v>196695.8675408086</v>
      </c>
      <c r="BK14" s="50">
        <f t="shared" si="28"/>
        <v>206530.66091784905</v>
      </c>
      <c r="BL14" s="50">
        <f t="shared" si="28"/>
        <v>216857.19396374151</v>
      </c>
      <c r="BM14" s="50">
        <f t="shared" si="28"/>
        <v>227700.0536619286</v>
      </c>
      <c r="BN14" s="50">
        <f t="shared" si="28"/>
        <v>239085.05634502505</v>
      </c>
    </row>
    <row r="15" spans="2:66" x14ac:dyDescent="0.3">
      <c r="B15" t="s">
        <v>110</v>
      </c>
      <c r="C15" t="s">
        <v>113</v>
      </c>
      <c r="D15" s="59">
        <v>5</v>
      </c>
      <c r="E15" s="51">
        <v>0.03</v>
      </c>
      <c r="F15" s="51">
        <v>3.5000000000000003E-2</v>
      </c>
      <c r="G15" s="44">
        <v>0.28999999999999998</v>
      </c>
      <c r="H15" s="44">
        <v>3.65</v>
      </c>
      <c r="I15">
        <v>1.1400000000000001E-4</v>
      </c>
      <c r="J15" s="47" t="s">
        <v>111</v>
      </c>
      <c r="L15" s="51">
        <v>0.01</v>
      </c>
      <c r="M15" t="s">
        <v>116</v>
      </c>
      <c r="N15" s="51">
        <f t="shared" si="3"/>
        <v>0.03</v>
      </c>
      <c r="O15" s="51">
        <f t="shared" si="3"/>
        <v>3.5000000000000003E-2</v>
      </c>
      <c r="S15" s="55">
        <v>0</v>
      </c>
      <c r="T15" s="55">
        <v>0</v>
      </c>
      <c r="U15" s="55">
        <v>0</v>
      </c>
      <c r="V15" s="55">
        <f>$L15*BB42*$N15</f>
        <v>31.110027377201515</v>
      </c>
      <c r="W15" s="55">
        <f t="shared" ref="W15:AH15" si="29">$L15*BC42*$N15*1.02</f>
        <v>32.210433822364003</v>
      </c>
      <c r="X15" s="55">
        <f t="shared" si="29"/>
        <v>32.638801547340435</v>
      </c>
      <c r="Y15" s="55">
        <f t="shared" si="29"/>
        <v>33.054990109761015</v>
      </c>
      <c r="Z15" s="55">
        <f t="shared" si="29"/>
        <v>33.458609796724858</v>
      </c>
      <c r="AA15" s="55">
        <f t="shared" si="29"/>
        <v>33.867746289940001</v>
      </c>
      <c r="AB15" s="55">
        <f t="shared" si="29"/>
        <v>34.286585570261352</v>
      </c>
      <c r="AC15" s="55">
        <f t="shared" si="29"/>
        <v>34.708377454223182</v>
      </c>
      <c r="AD15" s="55">
        <f t="shared" si="29"/>
        <v>35.125949569106552</v>
      </c>
      <c r="AE15" s="55">
        <f t="shared" si="29"/>
        <v>35.541479403795798</v>
      </c>
      <c r="AF15" s="55">
        <f t="shared" si="29"/>
        <v>35.95908815946148</v>
      </c>
      <c r="AG15" s="55">
        <f t="shared" si="29"/>
        <v>36.379930670003134</v>
      </c>
      <c r="AH15" s="55">
        <f t="shared" si="29"/>
        <v>36.804960425410243</v>
      </c>
      <c r="AI15">
        <v>0</v>
      </c>
      <c r="AJ15">
        <v>0</v>
      </c>
      <c r="AK15">
        <v>0</v>
      </c>
      <c r="AL15" s="49">
        <f t="shared" ref="AL15:AX15" si="30">$L15*$O15*AY43</f>
        <v>0.66012417152331404</v>
      </c>
      <c r="AM15" s="49">
        <f t="shared" si="30"/>
        <v>0.67066398037882968</v>
      </c>
      <c r="AN15" s="49">
        <f t="shared" si="30"/>
        <v>0.68163287666183259</v>
      </c>
      <c r="AO15" s="49">
        <f t="shared" si="30"/>
        <v>0.69234837156403473</v>
      </c>
      <c r="AP15" s="49">
        <f t="shared" si="30"/>
        <v>0.70278208820295607</v>
      </c>
      <c r="AQ15" s="49">
        <f t="shared" si="30"/>
        <v>0.71212841262497184</v>
      </c>
      <c r="AR15" s="49">
        <f t="shared" si="30"/>
        <v>0.72120900646599739</v>
      </c>
      <c r="AS15" s="49">
        <f t="shared" si="30"/>
        <v>0.7300153667903756</v>
      </c>
      <c r="AT15" s="49">
        <f t="shared" si="30"/>
        <v>0.73894209533577415</v>
      </c>
      <c r="AU15" s="49">
        <f t="shared" si="30"/>
        <v>0.74808052376145073</v>
      </c>
      <c r="AV15" s="49">
        <f t="shared" si="30"/>
        <v>0.75728337345396057</v>
      </c>
      <c r="AW15" s="49">
        <f t="shared" si="30"/>
        <v>0.76639415428018187</v>
      </c>
      <c r="AX15" s="49">
        <f t="shared" si="30"/>
        <v>0.77546037569601312</v>
      </c>
      <c r="AY15" s="57"/>
    </row>
    <row r="16" spans="2:66" x14ac:dyDescent="0.3">
      <c r="B16" t="s">
        <v>110</v>
      </c>
      <c r="C16" t="s">
        <v>112</v>
      </c>
      <c r="D16" s="59">
        <v>6.5</v>
      </c>
      <c r="E16" s="51" t="s">
        <v>115</v>
      </c>
      <c r="F16" s="51" t="s">
        <v>114</v>
      </c>
      <c r="G16" s="44">
        <v>0.28999999999999998</v>
      </c>
      <c r="H16" s="44">
        <v>3.65</v>
      </c>
      <c r="I16">
        <v>1.1400000000000001E-4</v>
      </c>
      <c r="J16" t="s">
        <v>183</v>
      </c>
      <c r="L16" s="46" t="s">
        <v>183</v>
      </c>
      <c r="M16" t="s">
        <v>133</v>
      </c>
      <c r="N16" s="78">
        <v>63.2</v>
      </c>
      <c r="O16" s="78">
        <v>6.34</v>
      </c>
      <c r="P16" s="50"/>
      <c r="Q16" s="49"/>
      <c r="S16" s="75">
        <f>1.18%*AY41*(N16/1000)</f>
        <v>5.4098263973101837</v>
      </c>
      <c r="T16" s="55">
        <f>S16*112.5%</f>
        <v>6.0860546969739566</v>
      </c>
      <c r="U16" s="55">
        <f t="shared" ref="U16:AH16" si="31">T16*112.5%</f>
        <v>6.8468115340957016</v>
      </c>
      <c r="V16" s="55">
        <f t="shared" si="31"/>
        <v>7.7026629758576641</v>
      </c>
      <c r="W16" s="55">
        <f t="shared" si="31"/>
        <v>8.6654958478398729</v>
      </c>
      <c r="X16" s="55">
        <f t="shared" si="31"/>
        <v>9.7486828288198577</v>
      </c>
      <c r="Y16" s="55">
        <f t="shared" si="31"/>
        <v>10.967268182422339</v>
      </c>
      <c r="Z16" s="55">
        <f t="shared" si="31"/>
        <v>12.338176705225132</v>
      </c>
      <c r="AA16" s="55">
        <f t="shared" si="31"/>
        <v>13.880448793378275</v>
      </c>
      <c r="AB16" s="55">
        <f t="shared" si="31"/>
        <v>15.615504892550559</v>
      </c>
      <c r="AC16" s="55">
        <f t="shared" si="31"/>
        <v>17.567443004119379</v>
      </c>
      <c r="AD16" s="55">
        <f t="shared" si="31"/>
        <v>19.763373379634302</v>
      </c>
      <c r="AE16" s="55">
        <f t="shared" si="31"/>
        <v>22.233795052088588</v>
      </c>
      <c r="AF16" s="55">
        <f t="shared" si="31"/>
        <v>25.013019433599663</v>
      </c>
      <c r="AG16" s="55">
        <f t="shared" si="31"/>
        <v>28.139646862799619</v>
      </c>
      <c r="AH16" s="55">
        <f t="shared" si="31"/>
        <v>31.657102720649572</v>
      </c>
      <c r="AI16" s="74">
        <f>1.18%*AY41*(O16/1000)</f>
        <v>0.54269461010991393</v>
      </c>
      <c r="AJ16" s="74">
        <f>AI16*112.5%</f>
        <v>0.61053143637365315</v>
      </c>
      <c r="AK16" s="74">
        <f t="shared" ref="AK16:AX16" si="32">AJ16*112.5%</f>
        <v>0.68684786592035985</v>
      </c>
      <c r="AL16" s="74">
        <f t="shared" si="32"/>
        <v>0.7727038491604048</v>
      </c>
      <c r="AM16" s="74">
        <f t="shared" si="32"/>
        <v>0.86929183030545543</v>
      </c>
      <c r="AN16" s="74">
        <f t="shared" si="32"/>
        <v>0.97795330909363731</v>
      </c>
      <c r="AO16" s="74">
        <f t="shared" si="32"/>
        <v>1.1001974727303421</v>
      </c>
      <c r="AP16" s="74">
        <f t="shared" si="32"/>
        <v>1.2377221568216348</v>
      </c>
      <c r="AQ16" s="74">
        <f t="shared" si="32"/>
        <v>1.3924374264243391</v>
      </c>
      <c r="AR16" s="74">
        <f t="shared" si="32"/>
        <v>1.5664921047273814</v>
      </c>
      <c r="AS16" s="74">
        <f t="shared" si="32"/>
        <v>1.762303617818304</v>
      </c>
      <c r="AT16" s="74">
        <f t="shared" si="32"/>
        <v>1.9825915700455921</v>
      </c>
      <c r="AU16" s="74">
        <f t="shared" si="32"/>
        <v>2.2304155163012909</v>
      </c>
      <c r="AV16" s="74">
        <f t="shared" si="32"/>
        <v>2.5092174558389524</v>
      </c>
      <c r="AW16" s="74">
        <f t="shared" si="32"/>
        <v>2.8228696378188216</v>
      </c>
      <c r="AX16" s="74">
        <f t="shared" si="32"/>
        <v>3.1757283425461744</v>
      </c>
    </row>
    <row r="17" spans="2:66" x14ac:dyDescent="0.3">
      <c r="B17" t="s">
        <v>110</v>
      </c>
      <c r="C17" t="s">
        <v>135</v>
      </c>
      <c r="D17" s="59">
        <v>5</v>
      </c>
      <c r="E17" t="s">
        <v>136</v>
      </c>
      <c r="F17" t="s">
        <v>137</v>
      </c>
      <c r="G17" t="s">
        <v>138</v>
      </c>
      <c r="H17" t="s">
        <v>139</v>
      </c>
      <c r="I17">
        <v>1.3799999999999999E-4</v>
      </c>
      <c r="J17" t="s">
        <v>140</v>
      </c>
      <c r="L17" s="46">
        <v>5.6000000000000001E-2</v>
      </c>
      <c r="M17" t="s">
        <v>141</v>
      </c>
      <c r="N17" s="79">
        <v>2.9899999999999999E-2</v>
      </c>
      <c r="O17" s="79">
        <v>3.5400000000000001E-2</v>
      </c>
      <c r="S17" s="55">
        <f t="shared" ref="S17:AH17" si="33">$L17*AY$42*$N17</f>
        <v>165.55386122467496</v>
      </c>
      <c r="T17" s="55">
        <f t="shared" si="33"/>
        <v>168.19716096716743</v>
      </c>
      <c r="U17" s="55">
        <f t="shared" si="33"/>
        <v>170.94807240377432</v>
      </c>
      <c r="V17" s="55">
        <f t="shared" si="33"/>
        <v>173.63543280128738</v>
      </c>
      <c r="W17" s="55">
        <f t="shared" si="33"/>
        <v>176.25212546459574</v>
      </c>
      <c r="X17" s="55">
        <f t="shared" si="33"/>
        <v>178.59610885904189</v>
      </c>
      <c r="Y17" s="55">
        <f t="shared" si="33"/>
        <v>180.8734491496204</v>
      </c>
      <c r="Z17" s="55">
        <f t="shared" si="33"/>
        <v>183.08201386809182</v>
      </c>
      <c r="AA17" s="55">
        <f t="shared" si="33"/>
        <v>185.32076597344945</v>
      </c>
      <c r="AB17" s="55">
        <f t="shared" si="33"/>
        <v>187.61261071518175</v>
      </c>
      <c r="AC17" s="55">
        <f t="shared" si="33"/>
        <v>189.92061179526567</v>
      </c>
      <c r="AD17" s="55">
        <f t="shared" si="33"/>
        <v>192.20552274023535</v>
      </c>
      <c r="AE17" s="55">
        <f t="shared" si="33"/>
        <v>194.47925854155451</v>
      </c>
      <c r="AF17" s="55">
        <f t="shared" si="33"/>
        <v>196.76436998105331</v>
      </c>
      <c r="AG17" s="55">
        <f t="shared" si="33"/>
        <v>199.06717618906288</v>
      </c>
      <c r="AH17" s="55">
        <f t="shared" si="33"/>
        <v>201.3928945630945</v>
      </c>
      <c r="AI17" s="73">
        <f t="shared" ref="AI17:AX17" si="34">$L17*$O17*AY43</f>
        <v>3.7389433075080505</v>
      </c>
      <c r="AJ17" s="73">
        <f t="shared" si="34"/>
        <v>3.7986407848656909</v>
      </c>
      <c r="AK17" s="73">
        <f t="shared" si="34"/>
        <v>3.8607686134126196</v>
      </c>
      <c r="AL17" s="73">
        <f t="shared" si="34"/>
        <v>3.9214611765386924</v>
      </c>
      <c r="AM17" s="73">
        <f t="shared" si="34"/>
        <v>3.9805577475815426</v>
      </c>
      <c r="AN17" s="73">
        <f t="shared" si="34"/>
        <v>4.0334953291078399</v>
      </c>
      <c r="AO17" s="73">
        <f t="shared" si="34"/>
        <v>4.084927812623409</v>
      </c>
      <c r="AP17" s="73">
        <f t="shared" si="34"/>
        <v>4.1348070375006865</v>
      </c>
      <c r="AQ17" s="73">
        <f t="shared" si="34"/>
        <v>4.1853680279818244</v>
      </c>
      <c r="AR17" s="73">
        <f t="shared" si="34"/>
        <v>4.237128086584856</v>
      </c>
      <c r="AS17" s="73">
        <f t="shared" si="34"/>
        <v>4.2892530272432321</v>
      </c>
      <c r="AT17" s="73">
        <f t="shared" si="34"/>
        <v>4.3408564898429498</v>
      </c>
      <c r="AU17" s="73">
        <f t="shared" si="34"/>
        <v>4.3922075679422177</v>
      </c>
      <c r="AV17" s="73">
        <f t="shared" si="34"/>
        <v>4.443815558601095</v>
      </c>
      <c r="AW17" s="73">
        <f t="shared" si="34"/>
        <v>4.4958231759181002</v>
      </c>
      <c r="AX17" s="73">
        <f t="shared" si="34"/>
        <v>4.5483482519592631</v>
      </c>
    </row>
    <row r="18" spans="2:66" x14ac:dyDescent="0.3">
      <c r="B18" t="s">
        <v>110</v>
      </c>
      <c r="C18" t="s">
        <v>150</v>
      </c>
      <c r="D18" s="59">
        <v>2</v>
      </c>
      <c r="E18" t="s">
        <v>151</v>
      </c>
      <c r="F18" t="s">
        <v>152</v>
      </c>
      <c r="G18" s="44">
        <v>0.2</v>
      </c>
      <c r="H18" s="44">
        <v>6.12</v>
      </c>
      <c r="I18">
        <v>1.261E-4</v>
      </c>
      <c r="J18" t="s">
        <v>153</v>
      </c>
      <c r="L18" t="s">
        <v>154</v>
      </c>
      <c r="N18" s="51">
        <v>1.8599999999999998E-2</v>
      </c>
      <c r="O18" s="51">
        <v>8.9999999999999993E-3</v>
      </c>
      <c r="S18" s="57">
        <f>P36</f>
        <v>6.2054597789931085</v>
      </c>
      <c r="T18" s="57">
        <f>S18*112%</f>
        <v>6.9501149524722825</v>
      </c>
      <c r="U18" s="57">
        <f t="shared" ref="U18:AH18" si="35">T18*112%</f>
        <v>7.7841287467689568</v>
      </c>
      <c r="V18" s="57">
        <f t="shared" si="35"/>
        <v>8.7182241963812324</v>
      </c>
      <c r="W18" s="57">
        <f t="shared" si="35"/>
        <v>9.7644110999469813</v>
      </c>
      <c r="X18" s="57">
        <f t="shared" si="35"/>
        <v>10.93614043194062</v>
      </c>
      <c r="Y18" s="57">
        <f t="shared" si="35"/>
        <v>12.248477283773497</v>
      </c>
      <c r="Z18" s="57">
        <f t="shared" si="35"/>
        <v>13.718294557826317</v>
      </c>
      <c r="AA18" s="57">
        <f t="shared" si="35"/>
        <v>15.364489904765476</v>
      </c>
      <c r="AB18" s="57">
        <f t="shared" si="35"/>
        <v>17.208228693337336</v>
      </c>
      <c r="AC18" s="57">
        <f t="shared" si="35"/>
        <v>19.273216136537819</v>
      </c>
      <c r="AD18" s="57">
        <f t="shared" si="35"/>
        <v>21.586002072922359</v>
      </c>
      <c r="AE18" s="57">
        <f t="shared" si="35"/>
        <v>24.176322321673045</v>
      </c>
      <c r="AF18" s="57">
        <f t="shared" si="35"/>
        <v>27.077481000273814</v>
      </c>
      <c r="AG18" s="57">
        <f t="shared" si="35"/>
        <v>30.326778720306674</v>
      </c>
      <c r="AH18" s="57">
        <f t="shared" si="35"/>
        <v>33.965992166743476</v>
      </c>
      <c r="AI18" s="72">
        <f>Q33</f>
        <v>1.6431708957842583E-2</v>
      </c>
      <c r="AJ18" s="72">
        <f>AI18*112%</f>
        <v>1.8403514032783695E-2</v>
      </c>
      <c r="AK18" s="72">
        <f t="shared" ref="AK18:AX18" si="36">AJ18*112%</f>
        <v>2.0611935716717742E-2</v>
      </c>
      <c r="AL18" s="72">
        <f t="shared" si="36"/>
        <v>2.3085368002723872E-2</v>
      </c>
      <c r="AM18" s="72">
        <f t="shared" si="36"/>
        <v>2.585561216305074E-2</v>
      </c>
      <c r="AN18" s="72">
        <f t="shared" si="36"/>
        <v>2.895828562261683E-2</v>
      </c>
      <c r="AO18" s="72">
        <f t="shared" si="36"/>
        <v>3.2433279897330851E-2</v>
      </c>
      <c r="AP18" s="72">
        <f t="shared" si="36"/>
        <v>3.6325273485010558E-2</v>
      </c>
      <c r="AQ18" s="72">
        <f t="shared" si="36"/>
        <v>4.0684306303211827E-2</v>
      </c>
      <c r="AR18" s="72">
        <f t="shared" si="36"/>
        <v>4.5566423059597252E-2</v>
      </c>
      <c r="AS18" s="72">
        <f t="shared" si="36"/>
        <v>5.1034393826748931E-2</v>
      </c>
      <c r="AT18" s="72">
        <f t="shared" si="36"/>
        <v>5.7158521085958806E-2</v>
      </c>
      <c r="AU18" s="72">
        <f t="shared" si="36"/>
        <v>6.4017543616273875E-2</v>
      </c>
      <c r="AV18" s="72">
        <f t="shared" si="36"/>
        <v>7.1699648850226741E-2</v>
      </c>
      <c r="AW18" s="72">
        <f t="shared" si="36"/>
        <v>8.0303606712253964E-2</v>
      </c>
      <c r="AX18" s="72">
        <f t="shared" si="36"/>
        <v>8.9940039517724446E-2</v>
      </c>
    </row>
    <row r="19" spans="2:66" x14ac:dyDescent="0.3">
      <c r="B19" t="s">
        <v>110</v>
      </c>
      <c r="C19" t="s">
        <v>181</v>
      </c>
      <c r="D19" s="59">
        <v>5</v>
      </c>
      <c r="E19" s="51" t="s">
        <v>235</v>
      </c>
      <c r="F19" s="51" t="s">
        <v>235</v>
      </c>
      <c r="G19" s="44">
        <v>0.39</v>
      </c>
      <c r="H19" s="44">
        <v>0.28999999999999998</v>
      </c>
      <c r="I19">
        <v>1.3799999999999999E-4</v>
      </c>
      <c r="J19" t="s">
        <v>236</v>
      </c>
      <c r="L19" s="46">
        <v>1.2800000000000001E-2</v>
      </c>
      <c r="N19" s="79">
        <v>4.7E-2</v>
      </c>
      <c r="O19" s="79">
        <v>4.7E-2</v>
      </c>
      <c r="S19" s="55">
        <f t="shared" ref="S19:AH19" si="37">$L19*AY42*$N19</f>
        <v>59.482323765387285</v>
      </c>
      <c r="T19" s="55">
        <f t="shared" si="37"/>
        <v>60.432042545298579</v>
      </c>
      <c r="U19" s="55">
        <f t="shared" si="37"/>
        <v>61.420425440820971</v>
      </c>
      <c r="V19" s="55">
        <f t="shared" si="37"/>
        <v>62.385974900414773</v>
      </c>
      <c r="W19" s="55">
        <f t="shared" si="37"/>
        <v>63.326133946190161</v>
      </c>
      <c r="X19" s="55">
        <f t="shared" si="37"/>
        <v>64.168310493071914</v>
      </c>
      <c r="Y19" s="55">
        <f t="shared" si="37"/>
        <v>64.986542647164143</v>
      </c>
      <c r="Z19" s="55">
        <f t="shared" si="37"/>
        <v>65.78006422780939</v>
      </c>
      <c r="AA19" s="55">
        <f t="shared" si="37"/>
        <v>66.584431921659828</v>
      </c>
      <c r="AB19" s="55">
        <f t="shared" si="37"/>
        <v>67.407875421794884</v>
      </c>
      <c r="AC19" s="55">
        <f t="shared" si="37"/>
        <v>68.237123779283223</v>
      </c>
      <c r="AD19" s="55">
        <f t="shared" si="37"/>
        <v>69.058076015602964</v>
      </c>
      <c r="AE19" s="55">
        <f t="shared" si="37"/>
        <v>69.875013102364548</v>
      </c>
      <c r="AF19" s="55">
        <f t="shared" si="37"/>
        <v>70.69603737494127</v>
      </c>
      <c r="AG19" s="55">
        <f t="shared" si="37"/>
        <v>71.523419251875424</v>
      </c>
      <c r="AH19" s="55">
        <f t="shared" si="37"/>
        <v>72.359033306950352</v>
      </c>
      <c r="AI19" s="74">
        <f t="shared" ref="AI19:AX19" si="38">$L19*$O19*AY43</f>
        <v>1.1346591473955019</v>
      </c>
      <c r="AJ19" s="74">
        <f t="shared" si="38"/>
        <v>1.152775573131154</v>
      </c>
      <c r="AK19" s="74">
        <f t="shared" si="38"/>
        <v>1.1716295388564526</v>
      </c>
      <c r="AL19" s="74">
        <f t="shared" si="38"/>
        <v>1.1900479438083522</v>
      </c>
      <c r="AM19" s="74">
        <f t="shared" si="38"/>
        <v>1.2079820121797094</v>
      </c>
      <c r="AN19" s="74">
        <f t="shared" si="38"/>
        <v>1.2240470086719513</v>
      </c>
      <c r="AO19" s="74">
        <f t="shared" si="38"/>
        <v>1.2396552522569828</v>
      </c>
      <c r="AP19" s="74">
        <f t="shared" si="38"/>
        <v>1.254792127603114</v>
      </c>
      <c r="AQ19" s="74">
        <f t="shared" si="38"/>
        <v>1.270135898725719</v>
      </c>
      <c r="AR19" s="74">
        <f t="shared" si="38"/>
        <v>1.285843551699682</v>
      </c>
      <c r="AS19" s="74">
        <f t="shared" si="38"/>
        <v>1.3016619356282932</v>
      </c>
      <c r="AT19" s="74">
        <f t="shared" si="38"/>
        <v>1.3173220663284495</v>
      </c>
      <c r="AU19" s="74">
        <f t="shared" si="38"/>
        <v>1.3329056057677755</v>
      </c>
      <c r="AV19" s="74">
        <f t="shared" si="38"/>
        <v>1.3485671106004937</v>
      </c>
      <c r="AW19" s="74">
        <f t="shared" si="38"/>
        <v>1.3643498903512554</v>
      </c>
      <c r="AX19" s="74">
        <f t="shared" si="38"/>
        <v>1.3802897035808577</v>
      </c>
    </row>
    <row r="20" spans="2:66" x14ac:dyDescent="0.3">
      <c r="B20" t="s">
        <v>246</v>
      </c>
      <c r="D20" s="59"/>
      <c r="S20" s="81">
        <f>SUM(S10:S19)</f>
        <v>589.7738930366113</v>
      </c>
      <c r="T20" s="81">
        <f t="shared" ref="T20:AX20" si="39">SUM(T10:T19)</f>
        <v>612.08140143386265</v>
      </c>
      <c r="U20" s="81">
        <f t="shared" si="39"/>
        <v>636.1495599833338</v>
      </c>
      <c r="V20" s="81">
        <f t="shared" si="39"/>
        <v>692.16485792460742</v>
      </c>
      <c r="W20" s="81">
        <f t="shared" si="39"/>
        <v>721.56337767621312</v>
      </c>
      <c r="X20" s="81">
        <f t="shared" si="39"/>
        <v>749.79956995002794</v>
      </c>
      <c r="Y20" s="81">
        <f t="shared" si="39"/>
        <v>780.27987360517386</v>
      </c>
      <c r="Z20" s="81">
        <f t="shared" si="39"/>
        <v>812.68991298643061</v>
      </c>
      <c r="AA20" s="81">
        <f t="shared" si="39"/>
        <v>847.37493021486569</v>
      </c>
      <c r="AB20" s="81">
        <f t="shared" si="39"/>
        <v>884.42332227260147</v>
      </c>
      <c r="AC20" s="81">
        <f t="shared" si="39"/>
        <v>924.20219513556879</v>
      </c>
      <c r="AD20" s="81">
        <f t="shared" si="39"/>
        <v>966.63246404625295</v>
      </c>
      <c r="AE20" s="81">
        <f t="shared" si="39"/>
        <v>1012.1333863112703</v>
      </c>
      <c r="AF20" s="81">
        <f t="shared" si="39"/>
        <v>1061.0861632972703</v>
      </c>
      <c r="AG20" s="81">
        <f t="shared" si="39"/>
        <v>1113.7325689728968</v>
      </c>
      <c r="AH20" s="81">
        <f t="shared" si="39"/>
        <v>1170.4051836889616</v>
      </c>
      <c r="AI20" s="83">
        <f t="shared" si="39"/>
        <v>5.4646271609237429</v>
      </c>
      <c r="AJ20" s="83">
        <f t="shared" si="39"/>
        <v>5.6139740273768748</v>
      </c>
      <c r="AK20" s="83">
        <f t="shared" si="39"/>
        <v>5.775340518678556</v>
      </c>
      <c r="AL20" s="83">
        <f t="shared" si="39"/>
        <v>6.6048576918836961</v>
      </c>
      <c r="AM20" s="83">
        <f t="shared" si="39"/>
        <v>6.7939159640176916</v>
      </c>
      <c r="AN20" s="83">
        <f t="shared" si="39"/>
        <v>6.9879302267417103</v>
      </c>
      <c r="AO20" s="83">
        <f t="shared" si="39"/>
        <v>7.1938336659128499</v>
      </c>
      <c r="AP20" s="83">
        <f t="shared" si="39"/>
        <v>7.4132990617266863</v>
      </c>
      <c r="AQ20" s="83">
        <f t="shared" si="39"/>
        <v>7.6504093648246307</v>
      </c>
      <c r="AR20" s="83">
        <f t="shared" si="39"/>
        <v>7.9088708508518133</v>
      </c>
      <c r="AS20" s="83">
        <f t="shared" si="39"/>
        <v>8.1900972478713072</v>
      </c>
      <c r="AT20" s="83">
        <f t="shared" si="39"/>
        <v>8.4961186035090055</v>
      </c>
      <c r="AU20" s="83">
        <f t="shared" si="39"/>
        <v>8.8305431873841389</v>
      </c>
      <c r="AV20" s="83">
        <f t="shared" si="39"/>
        <v>9.1974421208018704</v>
      </c>
      <c r="AW20" s="83">
        <f t="shared" si="39"/>
        <v>9.6008329037300513</v>
      </c>
      <c r="AX20" s="83">
        <f t="shared" si="39"/>
        <v>10.045406369157778</v>
      </c>
    </row>
    <row r="21" spans="2:66" x14ac:dyDescent="0.3">
      <c r="D21" s="59"/>
      <c r="S21" t="s">
        <v>266</v>
      </c>
    </row>
    <row r="22" spans="2:66" x14ac:dyDescent="0.3">
      <c r="D22" s="59"/>
      <c r="J22" t="s">
        <v>120</v>
      </c>
      <c r="S22" t="s">
        <v>0</v>
      </c>
      <c r="T22" s="56"/>
      <c r="U22" s="56"/>
      <c r="V22" s="56"/>
      <c r="W22" s="56"/>
      <c r="X22" s="56"/>
      <c r="Y22" s="56"/>
      <c r="Z22" s="56"/>
      <c r="AA22" s="56"/>
      <c r="AB22" s="56"/>
      <c r="AC22" s="56"/>
      <c r="AD22" s="56"/>
      <c r="AE22" s="56"/>
      <c r="AF22" s="52"/>
      <c r="AG22" s="52"/>
      <c r="AH22" s="52"/>
      <c r="AI22" t="s">
        <v>272</v>
      </c>
    </row>
    <row r="23" spans="2:66" x14ac:dyDescent="0.3">
      <c r="D23" s="59"/>
      <c r="I23" t="s">
        <v>121</v>
      </c>
      <c r="J23" s="50">
        <v>1396764</v>
      </c>
      <c r="K23" s="39" t="s">
        <v>126</v>
      </c>
      <c r="S23" s="53">
        <f>S20</f>
        <v>589.7738930366113</v>
      </c>
      <c r="T23" s="53">
        <f>T20+SUM(S15:S19)</f>
        <v>848.73287260022823</v>
      </c>
      <c r="U23" s="53">
        <f>U20+SUM(S15:T15,S16:T16,S17:T17,T18,S19:T19)</f>
        <v>1108.2609445326184</v>
      </c>
      <c r="V23" s="53">
        <f>V20+SUM(S15:U15,S16:U16,S17:U17,U18,S19:U19)</f>
        <v>1404.3255656468796</v>
      </c>
      <c r="W23" s="53">
        <f>W20+SUM(S15:V15,S16:V16,S17:V17,V18,S19:V19)</f>
        <v>1709.4922789028592</v>
      </c>
      <c r="X23" s="53">
        <f>X20+SUM(T15:W15,S16:W16,T17:W17,W18,T19:W19)</f>
        <v>1794.1926621711671</v>
      </c>
      <c r="Y23" s="53">
        <f t="shared" ref="Y23:AH23" si="40">Y20+SUM(U15:X15,T16:X16,U17:X17,X18,U19:X19)+0.5*S16</f>
        <v>1879.6624821754599</v>
      </c>
      <c r="Z23" s="53">
        <f t="shared" si="40"/>
        <v>1965.1506701057799</v>
      </c>
      <c r="AA23" s="53">
        <f t="shared" si="40"/>
        <v>2022.3665010116806</v>
      </c>
      <c r="AB23" s="53">
        <f t="shared" si="40"/>
        <v>2081.6510509066566</v>
      </c>
      <c r="AC23" s="53">
        <f t="shared" si="40"/>
        <v>2144.6089388466812</v>
      </c>
      <c r="AD23" s="53">
        <f t="shared" si="40"/>
        <v>2211.4156799885818</v>
      </c>
      <c r="AE23" s="53">
        <f t="shared" si="40"/>
        <v>2282.7036464963153</v>
      </c>
      <c r="AF23" s="53">
        <f t="shared" si="40"/>
        <v>2358.9506232019967</v>
      </c>
      <c r="AG23" s="53">
        <f t="shared" si="40"/>
        <v>2440.5143180487398</v>
      </c>
      <c r="AH23" s="53">
        <f t="shared" si="40"/>
        <v>2527.9323135868417</v>
      </c>
      <c r="AI23" s="53">
        <f>AI20</f>
        <v>5.4646271609237429</v>
      </c>
      <c r="AJ23" s="53">
        <f>AJ20+SUM(AI15:AI19)</f>
        <v>11.046702801348184</v>
      </c>
      <c r="AK23" s="53">
        <f>AK20+SUM(AI15:AJ15,AI16:AJ16,AI17:AJ17,AJ18,AI19:AJ19)</f>
        <v>16.771988892095301</v>
      </c>
      <c r="AL23" s="53">
        <f>AL20+SUM(AI15:AK15,AI16:AK16,AI17:AK17,AK18,AI19:AK19)</f>
        <v>23.32296050517381</v>
      </c>
      <c r="AM23" s="53">
        <f>AM20+SUM(AI15:AL15,AI16:AL16,AI17:AL17,AL18,AI19:AL19)</f>
        <v>30.058829350624581</v>
      </c>
      <c r="AN23" s="53">
        <f>AN20+SUM(AJ15:AM15,AI16:AM16,AJ17:AM17,AM18,AJ19:AM19)</f>
        <v>32.110506973050903</v>
      </c>
      <c r="AO23" s="53">
        <f t="shared" ref="AO23:AX23" si="41">AO20+SUM(AK15:AN15,AJ16:AN16,AK17:AN17,AN18,AK19:AN19)+0.5*AI16</f>
        <v>34.013877946165074</v>
      </c>
      <c r="AP23" s="53">
        <f t="shared" si="41"/>
        <v>35.744936069917536</v>
      </c>
      <c r="AQ23" s="53">
        <f t="shared" si="41"/>
        <v>36.895718833714184</v>
      </c>
      <c r="AR23" s="53">
        <f t="shared" si="41"/>
        <v>38.129629520635959</v>
      </c>
      <c r="AS23" s="53">
        <f t="shared" si="41"/>
        <v>39.466237729715203</v>
      </c>
      <c r="AT23" s="53">
        <f t="shared" si="41"/>
        <v>40.920406997456283</v>
      </c>
      <c r="AU23" s="53">
        <f t="shared" si="41"/>
        <v>42.509211285924643</v>
      </c>
      <c r="AV23" s="53">
        <f t="shared" si="41"/>
        <v>44.249986301536921</v>
      </c>
      <c r="AW23" s="53">
        <f t="shared" si="41"/>
        <v>46.160682251820035</v>
      </c>
      <c r="AX23" s="53">
        <f t="shared" si="41"/>
        <v>48.262901438240391</v>
      </c>
    </row>
    <row r="24" spans="2:66" x14ac:dyDescent="0.3">
      <c r="I24" t="s">
        <v>122</v>
      </c>
      <c r="J24" s="50">
        <v>68396</v>
      </c>
      <c r="K24" t="s">
        <v>128</v>
      </c>
      <c r="T24" s="53"/>
      <c r="U24" s="53"/>
      <c r="V24" s="53"/>
      <c r="W24" s="53"/>
      <c r="X24" s="53"/>
      <c r="Y24" s="53"/>
      <c r="Z24" s="53"/>
      <c r="AA24" s="53"/>
      <c r="AB24" s="53"/>
      <c r="AC24" s="53"/>
      <c r="AD24" s="53"/>
      <c r="AE24" s="53"/>
      <c r="AF24" s="53"/>
      <c r="AG24" s="53"/>
      <c r="AH24" s="53"/>
    </row>
    <row r="25" spans="2:66" x14ac:dyDescent="0.3">
      <c r="I25" t="s">
        <v>123</v>
      </c>
      <c r="J25" s="50">
        <f>19977+95002</f>
        <v>114979</v>
      </c>
      <c r="K25" t="s">
        <v>125</v>
      </c>
      <c r="T25" s="53"/>
      <c r="U25" s="53"/>
      <c r="V25" s="53"/>
      <c r="W25" s="53"/>
      <c r="X25" s="53"/>
      <c r="Y25" s="53"/>
      <c r="Z25" s="53"/>
      <c r="AA25" s="53"/>
      <c r="AB25" s="53"/>
      <c r="AC25" s="53"/>
      <c r="AD25" s="53"/>
      <c r="AE25" s="53"/>
      <c r="AF25" s="53"/>
      <c r="AG25" s="53"/>
      <c r="AH25" s="53"/>
      <c r="AY25">
        <v>2015</v>
      </c>
      <c r="AZ25">
        <v>2016</v>
      </c>
      <c r="BA25">
        <v>2017</v>
      </c>
      <c r="BB25">
        <v>2018</v>
      </c>
      <c r="BC25">
        <v>2019</v>
      </c>
      <c r="BD25">
        <v>2020</v>
      </c>
      <c r="BE25">
        <v>2021</v>
      </c>
      <c r="BF25">
        <v>2022</v>
      </c>
      <c r="BG25">
        <v>2023</v>
      </c>
      <c r="BH25">
        <v>2024</v>
      </c>
      <c r="BI25">
        <v>2025</v>
      </c>
      <c r="BJ25">
        <v>2026</v>
      </c>
      <c r="BK25">
        <v>2027</v>
      </c>
      <c r="BL25">
        <v>2028</v>
      </c>
      <c r="BM25">
        <v>2029</v>
      </c>
      <c r="BN25">
        <v>2030</v>
      </c>
    </row>
    <row r="26" spans="2:66" x14ac:dyDescent="0.3">
      <c r="T26" s="53"/>
      <c r="U26" s="53"/>
      <c r="V26" s="53"/>
      <c r="W26" s="53"/>
      <c r="X26" s="53"/>
      <c r="Y26" s="53"/>
      <c r="Z26" s="53"/>
      <c r="AA26" s="53"/>
      <c r="AB26" s="53"/>
      <c r="AC26" s="53"/>
      <c r="AD26" s="53"/>
      <c r="AE26" s="53"/>
      <c r="AF26" s="53"/>
      <c r="AG26" s="53"/>
      <c r="AH26" s="53"/>
      <c r="AX26" s="11" t="s">
        <v>117</v>
      </c>
      <c r="AY26" s="53">
        <v>12606111.501872037</v>
      </c>
      <c r="AZ26" s="53">
        <v>12752816.213836407</v>
      </c>
      <c r="BA26" s="53">
        <v>12919949.872042214</v>
      </c>
      <c r="BB26" s="53">
        <v>13038497.500838205</v>
      </c>
      <c r="BC26" s="53">
        <v>13207296.820909219</v>
      </c>
      <c r="BD26" s="53">
        <v>13375045.814163361</v>
      </c>
      <c r="BE26" s="53">
        <v>13527010.024225909</v>
      </c>
      <c r="BF26" s="53">
        <v>13678363.708966227</v>
      </c>
      <c r="BG26" s="53">
        <v>13828848.306918187</v>
      </c>
      <c r="BH26" s="53">
        <v>13966671.349650113</v>
      </c>
      <c r="BI26" s="53">
        <v>14110354.222727185</v>
      </c>
      <c r="BJ26" s="53">
        <v>14238938.648650307</v>
      </c>
      <c r="BK26" s="53">
        <v>14365647.72393588</v>
      </c>
      <c r="BL26" s="53">
        <v>14497149.907581875</v>
      </c>
      <c r="BM26" s="53">
        <v>14628249.556796504</v>
      </c>
      <c r="BN26" s="53">
        <v>14759406.297671897</v>
      </c>
    </row>
    <row r="27" spans="2:66" x14ac:dyDescent="0.3">
      <c r="T27" s="53"/>
      <c r="U27" s="53"/>
      <c r="V27" s="53"/>
      <c r="W27" s="53"/>
      <c r="X27" s="53"/>
      <c r="Y27" s="53"/>
      <c r="Z27" s="53"/>
      <c r="AA27" s="53"/>
      <c r="AB27" s="53"/>
      <c r="AC27" s="53"/>
      <c r="AD27" s="53"/>
      <c r="AE27" s="53"/>
      <c r="AF27" s="53"/>
      <c r="AG27" s="53"/>
      <c r="AH27" s="53"/>
      <c r="AX27" s="339" t="s">
        <v>176</v>
      </c>
      <c r="AY27" s="339"/>
      <c r="AZ27" s="339"/>
      <c r="BA27" s="339"/>
      <c r="BB27" s="339"/>
      <c r="BC27" s="339"/>
      <c r="BD27" s="339"/>
      <c r="BE27" s="339"/>
      <c r="BF27" s="339"/>
      <c r="BG27" s="339"/>
      <c r="BH27" s="339"/>
      <c r="BI27" s="339"/>
      <c r="BJ27" s="339"/>
      <c r="BK27" s="339"/>
      <c r="BL27" s="339"/>
    </row>
    <row r="28" spans="2:66" x14ac:dyDescent="0.3">
      <c r="I28" t="s">
        <v>124</v>
      </c>
      <c r="J28" s="37">
        <v>115004</v>
      </c>
      <c r="K28" t="s">
        <v>125</v>
      </c>
      <c r="T28" s="53"/>
      <c r="U28" s="53"/>
      <c r="V28" s="53"/>
      <c r="W28" s="53"/>
      <c r="X28" s="53"/>
      <c r="Y28" s="53"/>
      <c r="Z28" s="53"/>
      <c r="AA28" s="53"/>
      <c r="AB28" s="53"/>
      <c r="AC28" s="53"/>
      <c r="AD28" s="53"/>
      <c r="AE28" s="53"/>
      <c r="AF28" s="53"/>
      <c r="AG28" s="53"/>
      <c r="AH28" s="53"/>
      <c r="AY28">
        <v>2015</v>
      </c>
      <c r="AZ28">
        <v>2016</v>
      </c>
      <c r="BA28">
        <v>2017</v>
      </c>
      <c r="BB28">
        <v>2018</v>
      </c>
      <c r="BC28">
        <v>2019</v>
      </c>
      <c r="BD28">
        <v>2020</v>
      </c>
      <c r="BE28">
        <v>2021</v>
      </c>
      <c r="BF28">
        <v>2022</v>
      </c>
      <c r="BG28">
        <v>2023</v>
      </c>
      <c r="BH28">
        <v>2024</v>
      </c>
      <c r="BI28">
        <v>2025</v>
      </c>
      <c r="BJ28">
        <v>2026</v>
      </c>
      <c r="BK28">
        <v>2027</v>
      </c>
      <c r="BL28">
        <v>2028</v>
      </c>
      <c r="BM28">
        <v>2029</v>
      </c>
      <c r="BN28">
        <v>2030</v>
      </c>
    </row>
    <row r="29" spans="2:66" x14ac:dyDescent="0.3">
      <c r="T29" s="53"/>
      <c r="U29" s="53"/>
      <c r="V29" s="53"/>
      <c r="W29" s="53"/>
      <c r="X29" s="53"/>
      <c r="Y29" s="53"/>
      <c r="Z29" s="53"/>
      <c r="AA29" s="53"/>
      <c r="AB29" s="53"/>
      <c r="AC29" s="53"/>
      <c r="AD29" s="53"/>
      <c r="AE29" s="53"/>
      <c r="AF29" s="53"/>
      <c r="AG29" s="53"/>
      <c r="AH29" s="53"/>
      <c r="AX29" s="11" t="s">
        <v>163</v>
      </c>
      <c r="AY29" s="60">
        <v>373.45797926299878</v>
      </c>
      <c r="AZ29" s="60">
        <v>378.01685692601535</v>
      </c>
      <c r="BA29" s="60">
        <v>382.8646162911424</v>
      </c>
      <c r="BB29" s="60">
        <v>387.36120062059319</v>
      </c>
      <c r="BC29" s="60">
        <v>391.61070365872638</v>
      </c>
      <c r="BD29" s="60">
        <v>395.30220014550639</v>
      </c>
      <c r="BE29" s="60">
        <v>398.87505197576132</v>
      </c>
      <c r="BF29" s="60">
        <v>402.54365031235818</v>
      </c>
      <c r="BG29" s="60">
        <v>406.59714816382314</v>
      </c>
      <c r="BH29" s="60">
        <v>410.91097703853609</v>
      </c>
      <c r="BI29" s="60">
        <v>415.21456316891624</v>
      </c>
      <c r="BJ29" s="60">
        <v>419.36631112217441</v>
      </c>
      <c r="BK29" s="60">
        <v>423.46418786367451</v>
      </c>
      <c r="BL29" s="60">
        <v>427.59740043570679</v>
      </c>
      <c r="BM29" s="60">
        <v>431.75765802867926</v>
      </c>
      <c r="BN29" s="60">
        <v>435.95717662625276</v>
      </c>
    </row>
    <row r="30" spans="2:66" x14ac:dyDescent="0.3">
      <c r="I30" t="s">
        <v>162</v>
      </c>
      <c r="J30" t="s">
        <v>160</v>
      </c>
      <c r="K30" t="s">
        <v>161</v>
      </c>
      <c r="L30" t="s">
        <v>237</v>
      </c>
      <c r="M30" t="s">
        <v>238</v>
      </c>
      <c r="N30" t="s">
        <v>239</v>
      </c>
      <c r="O30" t="s">
        <v>240</v>
      </c>
      <c r="T30" s="53"/>
      <c r="U30" s="53"/>
      <c r="V30" s="53"/>
      <c r="W30" s="53"/>
      <c r="X30" s="53"/>
      <c r="Y30" s="53"/>
      <c r="Z30" s="53"/>
      <c r="AA30" s="53"/>
      <c r="AB30" s="53"/>
      <c r="AC30" s="53"/>
      <c r="AD30" s="53"/>
      <c r="AE30" s="53"/>
      <c r="AF30" s="53"/>
      <c r="AG30" s="53"/>
      <c r="AH30" s="53"/>
      <c r="AX30" s="11" t="s">
        <v>164</v>
      </c>
      <c r="AY30" s="60">
        <v>182.57454397602871</v>
      </c>
      <c r="AZ30" s="60">
        <v>185.33134920350949</v>
      </c>
      <c r="BA30" s="60">
        <v>188.27720318076283</v>
      </c>
      <c r="BB30" s="60">
        <v>190.87222623301108</v>
      </c>
      <c r="BC30" s="60">
        <v>193.43151021278123</v>
      </c>
      <c r="BD30" s="60">
        <v>195.74623082019309</v>
      </c>
      <c r="BE30" s="60">
        <v>197.9400906743802</v>
      </c>
      <c r="BF30" s="60">
        <v>200.00442300468544</v>
      </c>
      <c r="BG30" s="60">
        <v>202.02398108992875</v>
      </c>
      <c r="BH30" s="60">
        <v>204.09229879730702</v>
      </c>
      <c r="BI30" s="60">
        <v>206.19263275441577</v>
      </c>
      <c r="BJ30" s="60">
        <v>208.28031345307477</v>
      </c>
      <c r="BK30" s="60">
        <v>210.3584262761637</v>
      </c>
      <c r="BL30" s="60">
        <v>212.43738593724743</v>
      </c>
      <c r="BM30" s="60">
        <v>214.52673190073023</v>
      </c>
      <c r="BN30" s="60">
        <v>216.63416496025695</v>
      </c>
    </row>
    <row r="31" spans="2:66" x14ac:dyDescent="0.3">
      <c r="P31" t="s">
        <v>242</v>
      </c>
      <c r="Q31" t="s">
        <v>241</v>
      </c>
      <c r="T31" s="53"/>
      <c r="U31" s="53"/>
      <c r="V31" s="53"/>
      <c r="W31" s="53"/>
      <c r="X31" s="53"/>
      <c r="Y31" s="53"/>
      <c r="Z31" s="53"/>
      <c r="AA31" s="53"/>
      <c r="AB31" s="53"/>
      <c r="AC31" s="53"/>
      <c r="AD31" s="53"/>
      <c r="AE31" s="53"/>
      <c r="AF31" s="53"/>
      <c r="AG31" s="53"/>
      <c r="AH31" s="53"/>
      <c r="AX31" s="11" t="s">
        <v>165</v>
      </c>
      <c r="AY31" s="60">
        <v>1148.1181010096336</v>
      </c>
      <c r="AZ31" s="60">
        <v>1167.836615772813</v>
      </c>
      <c r="BA31" s="60">
        <v>1187.9178225536298</v>
      </c>
      <c r="BB31" s="60">
        <v>1208.1454838442141</v>
      </c>
      <c r="BC31" s="60">
        <v>1227.4741099909702</v>
      </c>
      <c r="BD31" s="60">
        <v>1244.5663016812932</v>
      </c>
      <c r="BE31" s="60">
        <v>1260.7674225803892</v>
      </c>
      <c r="BF31" s="60">
        <v>1275.7550558406447</v>
      </c>
      <c r="BG31" s="60">
        <v>1290.1099680258435</v>
      </c>
      <c r="BH31" s="60">
        <v>1304.7745219696744</v>
      </c>
      <c r="BI31" s="60">
        <v>1319.8010657358006</v>
      </c>
      <c r="BJ31" s="60">
        <v>1334.7977250233016</v>
      </c>
      <c r="BK31" s="60">
        <v>1349.6588150164146</v>
      </c>
      <c r="BL31" s="60">
        <v>1364.4872533560949</v>
      </c>
      <c r="BM31" s="60">
        <v>1379.3556238884767</v>
      </c>
      <c r="BN31" s="60">
        <v>1394.3263208662847</v>
      </c>
    </row>
    <row r="32" spans="2:66" x14ac:dyDescent="0.3">
      <c r="I32" t="s">
        <v>155</v>
      </c>
      <c r="J32">
        <v>14.06</v>
      </c>
      <c r="K32">
        <v>0.05</v>
      </c>
      <c r="L32" s="46">
        <v>1.6E-2</v>
      </c>
      <c r="N32" s="72">
        <f>L32*J32</f>
        <v>0.22496000000000002</v>
      </c>
      <c r="O32" s="72">
        <f>M32*K32</f>
        <v>0</v>
      </c>
      <c r="P32" s="72">
        <f>AY31*1%*N32</f>
        <v>2.5828064800312718</v>
      </c>
      <c r="T32" s="53"/>
      <c r="U32" s="53"/>
      <c r="V32" s="53"/>
      <c r="W32" s="53"/>
      <c r="X32" s="53"/>
      <c r="Y32" s="53"/>
      <c r="Z32" s="53"/>
      <c r="AA32" s="53"/>
      <c r="AB32" s="53"/>
      <c r="AC32" s="53"/>
      <c r="AD32" s="53"/>
      <c r="AE32" s="53"/>
      <c r="AF32" s="53"/>
      <c r="AG32" s="53"/>
      <c r="AH32" s="53"/>
      <c r="AX32" s="11" t="s">
        <v>166</v>
      </c>
      <c r="AY32" s="60">
        <v>304.94132506945738</v>
      </c>
      <c r="AZ32" s="60">
        <v>310.06199195526369</v>
      </c>
      <c r="BA32" s="60">
        <v>315.287420756627</v>
      </c>
      <c r="BB32" s="60">
        <v>320.59808253213117</v>
      </c>
      <c r="BC32" s="60">
        <v>325.62779338150455</v>
      </c>
      <c r="BD32" s="60">
        <v>330.08573520352479</v>
      </c>
      <c r="BE32" s="60">
        <v>334.29928126132398</v>
      </c>
      <c r="BF32" s="60">
        <v>338.19957248645687</v>
      </c>
      <c r="BG32" s="60">
        <v>341.94463957215373</v>
      </c>
      <c r="BH32" s="60">
        <v>345.77124639912705</v>
      </c>
      <c r="BI32" s="60">
        <v>349.68754622510085</v>
      </c>
      <c r="BJ32" s="60">
        <v>353.59263980589247</v>
      </c>
      <c r="BK32" s="60">
        <v>357.46215644234417</v>
      </c>
      <c r="BL32" s="60">
        <v>361.32507639930446</v>
      </c>
      <c r="BM32" s="60">
        <v>365.2015412708439</v>
      </c>
      <c r="BN32" s="60">
        <v>369.10812162001076</v>
      </c>
    </row>
    <row r="33" spans="8:66" x14ac:dyDescent="0.3">
      <c r="I33" t="s">
        <v>156</v>
      </c>
      <c r="J33">
        <v>40.200000000000003</v>
      </c>
      <c r="K33">
        <v>2.1</v>
      </c>
      <c r="L33" s="47">
        <v>0</v>
      </c>
      <c r="M33" s="46">
        <v>8.9999999999999993E-3</v>
      </c>
      <c r="N33" s="72">
        <f t="shared" ref="N33:N35" si="42">L33*J33</f>
        <v>0</v>
      </c>
      <c r="O33" s="72">
        <f t="shared" ref="O33:O35" si="43">M33*K33</f>
        <v>1.89E-2</v>
      </c>
      <c r="P33" s="72">
        <f>AY30*1%*N33</f>
        <v>0</v>
      </c>
      <c r="Q33" s="76">
        <f>M33*1%*AY30</f>
        <v>1.6431708957842583E-2</v>
      </c>
      <c r="T33" s="53"/>
      <c r="U33" s="53"/>
      <c r="V33" s="53"/>
      <c r="W33" s="53"/>
      <c r="X33" s="53"/>
      <c r="Y33" s="53"/>
      <c r="Z33" s="53"/>
      <c r="AA33" s="53"/>
      <c r="AB33" s="53"/>
      <c r="AC33" s="53"/>
      <c r="AD33" s="53"/>
      <c r="AE33" s="53"/>
      <c r="AF33" s="53"/>
      <c r="AG33" s="53"/>
      <c r="AH33" s="53"/>
      <c r="AX33" s="11" t="s">
        <v>167</v>
      </c>
      <c r="AY33" s="60">
        <v>1030.2423333502484</v>
      </c>
      <c r="AZ33" s="60">
        <v>1047.8291947919367</v>
      </c>
      <c r="BA33" s="60">
        <v>1066.3726458053252</v>
      </c>
      <c r="BB33" s="60">
        <v>1081.8677008398913</v>
      </c>
      <c r="BC33" s="60">
        <v>1098.116965592119</v>
      </c>
      <c r="BD33" s="60">
        <v>1111.7054927391994</v>
      </c>
      <c r="BE33" s="60">
        <v>1125.7263093858173</v>
      </c>
      <c r="BF33" s="60">
        <v>1139.6100387772719</v>
      </c>
      <c r="BG33" s="60">
        <v>1153.0626976253739</v>
      </c>
      <c r="BH33" s="60">
        <v>1166.3989455038491</v>
      </c>
      <c r="BI33" s="60">
        <v>1179.8702627703462</v>
      </c>
      <c r="BJ33" s="60">
        <v>1193.3692492498781</v>
      </c>
      <c r="BK33" s="60">
        <v>1206.834625835316</v>
      </c>
      <c r="BL33" s="60">
        <v>1220.3246784949724</v>
      </c>
      <c r="BM33" s="60">
        <v>1233.8897267334132</v>
      </c>
      <c r="BN33" s="60">
        <v>1247.5830686309916</v>
      </c>
    </row>
    <row r="34" spans="8:66" x14ac:dyDescent="0.3">
      <c r="I34" t="s">
        <v>157</v>
      </c>
      <c r="J34">
        <v>12.13</v>
      </c>
      <c r="K34">
        <v>0.42</v>
      </c>
      <c r="L34" s="46">
        <v>1.78E-2</v>
      </c>
      <c r="N34" s="72">
        <f t="shared" si="42"/>
        <v>0.21591400000000002</v>
      </c>
      <c r="O34" s="72">
        <f t="shared" si="43"/>
        <v>0</v>
      </c>
      <c r="P34" s="72">
        <f>AY38*1%*N34</f>
        <v>0.71659958660033962</v>
      </c>
      <c r="T34" s="53"/>
      <c r="U34" s="53"/>
      <c r="V34" s="53"/>
      <c r="W34" s="53"/>
      <c r="X34" s="53"/>
      <c r="Y34" s="53"/>
      <c r="Z34" s="53"/>
      <c r="AA34" s="53"/>
      <c r="AB34" s="53"/>
      <c r="AC34" s="53"/>
      <c r="AD34" s="53"/>
      <c r="AE34" s="53"/>
      <c r="AF34" s="53"/>
      <c r="AG34" s="53"/>
      <c r="AH34" s="53"/>
      <c r="AX34" s="11" t="s">
        <v>168</v>
      </c>
      <c r="AY34" s="60">
        <v>54.734508153408754</v>
      </c>
      <c r="AZ34" s="60">
        <v>55.430815328057605</v>
      </c>
      <c r="BA34" s="60">
        <v>56.240650938630367</v>
      </c>
      <c r="BB34" s="60">
        <v>56.972655208575951</v>
      </c>
      <c r="BC34" s="60">
        <v>57.799134481540605</v>
      </c>
      <c r="BD34" s="60">
        <v>58.54164537856969</v>
      </c>
      <c r="BE34" s="60">
        <v>59.290930052397457</v>
      </c>
      <c r="BF34" s="60">
        <v>60.045424476377022</v>
      </c>
      <c r="BG34" s="60">
        <v>60.804130604841305</v>
      </c>
      <c r="BH34" s="60">
        <v>61.566087956949687</v>
      </c>
      <c r="BI34" s="60">
        <v>62.331504349789455</v>
      </c>
      <c r="BJ34" s="60">
        <v>63.096832553800581</v>
      </c>
      <c r="BK34" s="60">
        <v>63.862396206474784</v>
      </c>
      <c r="BL34" s="60">
        <v>64.629783796028519</v>
      </c>
      <c r="BM34" s="60">
        <v>65.396415430561731</v>
      </c>
      <c r="BN34" s="60">
        <v>66.167175954061562</v>
      </c>
    </row>
    <row r="35" spans="8:66" x14ac:dyDescent="0.3">
      <c r="H35" s="11" t="s">
        <v>159</v>
      </c>
      <c r="I35" t="s">
        <v>158</v>
      </c>
      <c r="J35">
        <v>9.84</v>
      </c>
      <c r="K35">
        <v>0.23</v>
      </c>
      <c r="L35" s="46">
        <v>2.1999999999999999E-2</v>
      </c>
      <c r="N35" s="72">
        <f t="shared" si="42"/>
        <v>0.21647999999999998</v>
      </c>
      <c r="O35" s="72">
        <f t="shared" si="43"/>
        <v>0</v>
      </c>
      <c r="P35" s="72">
        <f>AY39*1%*N35</f>
        <v>2.9060537123614969</v>
      </c>
      <c r="T35" s="53"/>
      <c r="U35" s="53"/>
      <c r="V35" s="53"/>
      <c r="W35" s="53"/>
      <c r="X35" s="53"/>
      <c r="Y35" s="53"/>
      <c r="Z35" s="53"/>
      <c r="AA35" s="53"/>
      <c r="AB35" s="53"/>
      <c r="AC35" s="53"/>
      <c r="AD35" s="53"/>
      <c r="AE35" s="53"/>
      <c r="AF35" s="53"/>
      <c r="AG35" s="53"/>
      <c r="AH35" s="53"/>
      <c r="AX35" s="11" t="s">
        <v>169</v>
      </c>
      <c r="AY35" s="60">
        <v>563.42369337654827</v>
      </c>
      <c r="AZ35" s="60">
        <v>571.14532179757055</v>
      </c>
      <c r="BA35" s="60">
        <v>579.05227344275545</v>
      </c>
      <c r="BB35" s="60">
        <v>587.52346405439209</v>
      </c>
      <c r="BC35" s="60">
        <v>595.65059909444233</v>
      </c>
      <c r="BD35" s="60">
        <v>603.80065341162901</v>
      </c>
      <c r="BE35" s="60">
        <v>612.14956137369995</v>
      </c>
      <c r="BF35" s="60">
        <v>620.69689144675829</v>
      </c>
      <c r="BG35" s="60">
        <v>629.33710636427338</v>
      </c>
      <c r="BH35" s="60">
        <v>638.005110148021</v>
      </c>
      <c r="BI35" s="60">
        <v>646.77919070621613</v>
      </c>
      <c r="BJ35" s="60">
        <v>655.63958690904599</v>
      </c>
      <c r="BK35" s="60">
        <v>664.60815934667414</v>
      </c>
      <c r="BL35" s="60">
        <v>673.69845867574907</v>
      </c>
      <c r="BM35" s="60">
        <v>682.9267863981845</v>
      </c>
      <c r="BN35" s="60">
        <v>692.28762457739344</v>
      </c>
    </row>
    <row r="36" spans="8:66" x14ac:dyDescent="0.3">
      <c r="I36" t="s">
        <v>244</v>
      </c>
      <c r="P36" s="72">
        <f>SUM(P32:P35)</f>
        <v>6.2054597789931085</v>
      </c>
      <c r="Q36" s="72">
        <f>SUM(Q32:Q35)</f>
        <v>1.6431708957842583E-2</v>
      </c>
      <c r="T36" s="53"/>
      <c r="U36" s="53"/>
      <c r="V36" s="53"/>
      <c r="W36" s="53"/>
      <c r="X36" s="53"/>
      <c r="Y36" s="53"/>
      <c r="Z36" s="53"/>
      <c r="AA36" s="53"/>
      <c r="AB36" s="53"/>
      <c r="AC36" s="53"/>
      <c r="AD36" s="53"/>
      <c r="AE36" s="53"/>
      <c r="AF36" s="53"/>
      <c r="AG36" s="53"/>
      <c r="AH36" s="53"/>
      <c r="AX36" s="11" t="s">
        <v>170</v>
      </c>
      <c r="AY36" s="60">
        <v>296.57146490445081</v>
      </c>
      <c r="AZ36" s="60">
        <v>299.41180723638803</v>
      </c>
      <c r="BA36" s="60">
        <v>302.18675235744519</v>
      </c>
      <c r="BB36" s="60">
        <v>305.08391722655591</v>
      </c>
      <c r="BC36" s="60">
        <v>307.97271863423754</v>
      </c>
      <c r="BD36" s="60">
        <v>310.88995676884929</v>
      </c>
      <c r="BE36" s="60">
        <v>313.8994093460131</v>
      </c>
      <c r="BF36" s="60">
        <v>316.94193495681276</v>
      </c>
      <c r="BG36" s="60">
        <v>320.01331115410522</v>
      </c>
      <c r="BH36" s="60">
        <v>323.11952701583783</v>
      </c>
      <c r="BI36" s="60">
        <v>326.24791337214612</v>
      </c>
      <c r="BJ36" s="60">
        <v>329.38311608099991</v>
      </c>
      <c r="BK36" s="60">
        <v>332.51942921928833</v>
      </c>
      <c r="BL36" s="60">
        <v>335.65986063342302</v>
      </c>
      <c r="BM36" s="60">
        <v>338.80421125055983</v>
      </c>
      <c r="BN36" s="60">
        <v>341.94634061227327</v>
      </c>
    </row>
    <row r="37" spans="8:66" x14ac:dyDescent="0.3">
      <c r="I37" t="s">
        <v>243</v>
      </c>
      <c r="AX37" s="11" t="s">
        <v>171</v>
      </c>
      <c r="AY37" s="60">
        <v>364.60261135205121</v>
      </c>
      <c r="AZ37" s="60">
        <v>370.50253369067144</v>
      </c>
      <c r="BA37" s="60">
        <v>376.04575705555163</v>
      </c>
      <c r="BB37" s="60">
        <v>381.59683427268635</v>
      </c>
      <c r="BC37" s="60">
        <v>387.14890179232725</v>
      </c>
      <c r="BD37" s="60">
        <v>392.69715891028034</v>
      </c>
      <c r="BE37" s="60">
        <v>398.2448313761563</v>
      </c>
      <c r="BF37" s="60">
        <v>403.79154830373619</v>
      </c>
      <c r="BG37" s="60">
        <v>409.33314646906291</v>
      </c>
      <c r="BH37" s="60">
        <v>414.87184549274173</v>
      </c>
      <c r="BI37" s="60">
        <v>420.39877482962993</v>
      </c>
      <c r="BJ37" s="60">
        <v>425.9197327889882</v>
      </c>
      <c r="BK37" s="60">
        <v>431.44272796493493</v>
      </c>
      <c r="BL37" s="60">
        <v>436.97074960296055</v>
      </c>
      <c r="BM37" s="60">
        <v>442.50085005225168</v>
      </c>
      <c r="BN37" s="60">
        <v>448.03325330919461</v>
      </c>
    </row>
    <row r="38" spans="8:66" x14ac:dyDescent="0.3">
      <c r="AX38" s="11" t="s">
        <v>172</v>
      </c>
      <c r="AY38" s="60">
        <v>331.8912097410726</v>
      </c>
      <c r="AZ38" s="60">
        <v>338.28318425750786</v>
      </c>
      <c r="BA38" s="60">
        <v>344.49751208129555</v>
      </c>
      <c r="BB38" s="60">
        <v>350.52079281258716</v>
      </c>
      <c r="BC38" s="60">
        <v>357.20514699844233</v>
      </c>
      <c r="BD38" s="60">
        <v>362.56066367195245</v>
      </c>
      <c r="BE38" s="60">
        <v>367.23870136096463</v>
      </c>
      <c r="BF38" s="60">
        <v>371.78020724594313</v>
      </c>
      <c r="BG38" s="60">
        <v>376.45821727774609</v>
      </c>
      <c r="BH38" s="60">
        <v>381.12706124017978</v>
      </c>
      <c r="BI38" s="60">
        <v>385.73754367708869</v>
      </c>
      <c r="BJ38" s="60">
        <v>390.37686350010767</v>
      </c>
      <c r="BK38" s="60">
        <v>395.04306404503973</v>
      </c>
      <c r="BL38" s="60">
        <v>399.7594899642026</v>
      </c>
      <c r="BM38" s="60">
        <v>404.5343266216845</v>
      </c>
      <c r="BN38" s="60">
        <v>409.37293325101865</v>
      </c>
    </row>
    <row r="39" spans="8:66" x14ac:dyDescent="0.3">
      <c r="AX39" s="11" t="s">
        <v>173</v>
      </c>
      <c r="AY39" s="60">
        <v>1342.412099206161</v>
      </c>
      <c r="AZ39" s="60">
        <v>1362.1051360897477</v>
      </c>
      <c r="BA39" s="60">
        <v>1382.6682435939349</v>
      </c>
      <c r="BB39" s="60">
        <v>1405.4335623172315</v>
      </c>
      <c r="BC39" s="60">
        <v>1427.2243952751567</v>
      </c>
      <c r="BD39" s="60">
        <v>1448.4044040175863</v>
      </c>
      <c r="BE39" s="60">
        <v>1469.4399162372326</v>
      </c>
      <c r="BF39" s="60">
        <v>1489.4614242587161</v>
      </c>
      <c r="BG39" s="60">
        <v>1509.1282141209686</v>
      </c>
      <c r="BH39" s="60">
        <v>1529.0872317115522</v>
      </c>
      <c r="BI39" s="60">
        <v>1549.1186759798663</v>
      </c>
      <c r="BJ39" s="60">
        <v>1569.1152321181464</v>
      </c>
      <c r="BK39" s="60">
        <v>1589.2028777455766</v>
      </c>
      <c r="BL39" s="60">
        <v>1609.4087628774487</v>
      </c>
      <c r="BM39" s="60">
        <v>1629.7562721375373</v>
      </c>
      <c r="BN39" s="60">
        <v>1650.3121084481693</v>
      </c>
    </row>
    <row r="40" spans="8:66" x14ac:dyDescent="0.3">
      <c r="AX40" s="11" t="s">
        <v>174</v>
      </c>
      <c r="AY40" s="60">
        <v>1261.1419055794122</v>
      </c>
      <c r="AZ40" s="60">
        <v>1283.9790432673269</v>
      </c>
      <c r="BA40" s="60">
        <v>1309.0602740509491</v>
      </c>
      <c r="BB40" s="60">
        <v>1332.2479433791709</v>
      </c>
      <c r="BC40" s="60">
        <v>1353.6181110301243</v>
      </c>
      <c r="BD40" s="60">
        <v>1371.2865091741835</v>
      </c>
      <c r="BE40" s="60">
        <v>1387.5021918044063</v>
      </c>
      <c r="BF40" s="60">
        <v>1403.316716696562</v>
      </c>
      <c r="BG40" s="60">
        <v>1421.4302454195063</v>
      </c>
      <c r="BH40" s="60">
        <v>1440.9402430059015</v>
      </c>
      <c r="BI40" s="60">
        <v>1460.415639111568</v>
      </c>
      <c r="BJ40" s="60">
        <v>1478.97618069329</v>
      </c>
      <c r="BK40" s="60">
        <v>1497.0857241041763</v>
      </c>
      <c r="BL40" s="60">
        <v>1515.3709456258439</v>
      </c>
      <c r="BM40" s="60">
        <v>1533.922293577735</v>
      </c>
      <c r="BN40" s="60">
        <v>1552.7506875969973</v>
      </c>
    </row>
    <row r="41" spans="8:66" x14ac:dyDescent="0.3">
      <c r="AX41" s="11" t="s">
        <v>175</v>
      </c>
      <c r="AY41" s="57">
        <v>7254.1117749814721</v>
      </c>
      <c r="AZ41" s="57">
        <v>7369.9338503168092</v>
      </c>
      <c r="BA41" s="57">
        <v>7490.4711721080494</v>
      </c>
      <c r="BB41" s="57">
        <v>7608.2238633410398</v>
      </c>
      <c r="BC41" s="57">
        <v>7722.8800901423729</v>
      </c>
      <c r="BD41" s="57">
        <v>7825.5869519227663</v>
      </c>
      <c r="BE41" s="57">
        <v>7925.3736974285421</v>
      </c>
      <c r="BF41" s="57">
        <v>8022.1468878063233</v>
      </c>
      <c r="BG41" s="57">
        <v>8120.2428058876267</v>
      </c>
      <c r="BH41" s="57">
        <v>8220.6650962796775</v>
      </c>
      <c r="BI41" s="57">
        <v>8321.7953126808843</v>
      </c>
      <c r="BJ41" s="57">
        <v>8421.9137832986999</v>
      </c>
      <c r="BK41" s="57">
        <v>8521.5425900660775</v>
      </c>
      <c r="BL41" s="57">
        <v>8621.6698457989824</v>
      </c>
      <c r="BM41" s="57">
        <v>8722.572437290657</v>
      </c>
      <c r="BN41" s="57">
        <v>8824.478976452905</v>
      </c>
    </row>
    <row r="42" spans="8:66" x14ac:dyDescent="0.3">
      <c r="AX42" s="11" t="s">
        <v>179</v>
      </c>
      <c r="AY42" s="50">
        <f>AY41*$C$5</f>
        <v>98873.543492997473</v>
      </c>
      <c r="AZ42" s="50">
        <f t="shared" ref="AZ42:BN42" si="44">AZ41*$C$5</f>
        <v>100452.19837981812</v>
      </c>
      <c r="BA42" s="50">
        <f t="shared" si="44"/>
        <v>102095.12207583273</v>
      </c>
      <c r="BB42" s="50">
        <f t="shared" si="44"/>
        <v>103700.09125733838</v>
      </c>
      <c r="BC42" s="50">
        <f t="shared" si="44"/>
        <v>105262.85562864055</v>
      </c>
      <c r="BD42" s="50">
        <f t="shared" si="44"/>
        <v>106662.7501547073</v>
      </c>
      <c r="BE42" s="50">
        <f t="shared" si="44"/>
        <v>108022.84349595103</v>
      </c>
      <c r="BF42" s="50">
        <f t="shared" si="44"/>
        <v>109341.86208080019</v>
      </c>
      <c r="BG42" s="50">
        <f t="shared" si="44"/>
        <v>110678.90944424836</v>
      </c>
      <c r="BH42" s="50">
        <f t="shared" si="44"/>
        <v>112047.66526229201</v>
      </c>
      <c r="BI42" s="50">
        <f t="shared" si="44"/>
        <v>113426.07011184045</v>
      </c>
      <c r="BJ42" s="50">
        <f t="shared" si="44"/>
        <v>114790.68486636129</v>
      </c>
      <c r="BK42" s="50">
        <f t="shared" si="44"/>
        <v>116148.62550260064</v>
      </c>
      <c r="BL42" s="50">
        <f t="shared" si="44"/>
        <v>117513.35999824014</v>
      </c>
      <c r="BM42" s="50">
        <f t="shared" si="44"/>
        <v>118888.66232027166</v>
      </c>
      <c r="BN42" s="50">
        <f t="shared" si="44"/>
        <v>120277.6484490531</v>
      </c>
    </row>
    <row r="43" spans="8:66" x14ac:dyDescent="0.3">
      <c r="AX43" s="11" t="s">
        <v>180</v>
      </c>
      <c r="AY43" s="50">
        <f>AY41*$C$6</f>
        <v>1886.0690614951827</v>
      </c>
      <c r="AZ43" s="50">
        <f t="shared" ref="AZ43:BN43" si="45">AZ41*$C$6</f>
        <v>1916.1828010823704</v>
      </c>
      <c r="BA43" s="50">
        <f t="shared" si="45"/>
        <v>1947.5225047480928</v>
      </c>
      <c r="BB43" s="50">
        <f t="shared" si="45"/>
        <v>1978.1382044686704</v>
      </c>
      <c r="BC43" s="50">
        <f t="shared" si="45"/>
        <v>2007.9488234370169</v>
      </c>
      <c r="BD43" s="50">
        <f t="shared" si="45"/>
        <v>2034.6526074999192</v>
      </c>
      <c r="BE43" s="50">
        <f t="shared" si="45"/>
        <v>2060.5971613314209</v>
      </c>
      <c r="BF43" s="50">
        <f t="shared" si="45"/>
        <v>2085.7581908296443</v>
      </c>
      <c r="BG43" s="50">
        <f t="shared" si="45"/>
        <v>2111.2631295307829</v>
      </c>
      <c r="BH43" s="50">
        <f t="shared" si="45"/>
        <v>2137.372925032716</v>
      </c>
      <c r="BI43" s="50">
        <f t="shared" si="45"/>
        <v>2163.66678129703</v>
      </c>
      <c r="BJ43" s="50">
        <f t="shared" si="45"/>
        <v>2189.6975836576621</v>
      </c>
      <c r="BK43" s="50">
        <f t="shared" si="45"/>
        <v>2215.60107341718</v>
      </c>
      <c r="BL43" s="50">
        <f t="shared" si="45"/>
        <v>2241.6341599077355</v>
      </c>
      <c r="BM43" s="50">
        <f t="shared" si="45"/>
        <v>2267.8688336955711</v>
      </c>
      <c r="BN43" s="50">
        <f t="shared" si="45"/>
        <v>2294.3645338777555</v>
      </c>
    </row>
  </sheetData>
  <mergeCells count="1">
    <mergeCell ref="AX27:BL27"/>
  </mergeCells>
  <hyperlinks>
    <hyperlink ref="K2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E31"/>
  <sheetViews>
    <sheetView tabSelected="1" zoomScale="70" zoomScaleNormal="70" workbookViewId="0">
      <selection activeCell="D10" sqref="D10"/>
    </sheetView>
  </sheetViews>
  <sheetFormatPr defaultColWidth="8.88671875" defaultRowHeight="14.4" x14ac:dyDescent="0.3"/>
  <cols>
    <col min="1" max="1" width="8.88671875" style="161"/>
    <col min="2" max="2" width="27.33203125" style="165" customWidth="1"/>
    <col min="3" max="3" width="111.109375" style="166" customWidth="1"/>
    <col min="4" max="4" width="56.6640625" style="205" bestFit="1" customWidth="1"/>
    <col min="5" max="5" width="13.6640625" style="161" customWidth="1"/>
    <col min="6" max="16384" width="8.88671875" style="161"/>
  </cols>
  <sheetData>
    <row r="2" spans="2:5" ht="13.95" customHeight="1" x14ac:dyDescent="0.3">
      <c r="B2" s="318" t="s">
        <v>458</v>
      </c>
      <c r="C2" s="319"/>
    </row>
    <row r="3" spans="2:5" x14ac:dyDescent="0.3">
      <c r="B3" s="162" t="s">
        <v>58</v>
      </c>
      <c r="C3" s="162" t="s">
        <v>475</v>
      </c>
    </row>
    <row r="4" spans="2:5" x14ac:dyDescent="0.3">
      <c r="B4" s="162" t="s">
        <v>460</v>
      </c>
      <c r="C4" s="162" t="str">
        <f>VLOOKUP($C$3, 'Look-up'!$A$4:$D$20, 2, FALSE)</f>
        <v>Benchmarking &amp; Market Transformation</v>
      </c>
    </row>
    <row r="5" spans="2:5" x14ac:dyDescent="0.3">
      <c r="B5" s="162" t="s">
        <v>55</v>
      </c>
      <c r="C5" s="162" t="str">
        <f>VLOOKUP($C$3, 'Look-up'!$A$4:$D$20, 3, FALSE)</f>
        <v>RES, NR</v>
      </c>
    </row>
    <row r="8" spans="2:5" ht="13.95" customHeight="1" x14ac:dyDescent="0.3">
      <c r="B8" s="316" t="s">
        <v>461</v>
      </c>
      <c r="C8" s="317"/>
    </row>
    <row r="9" spans="2:5" ht="28.8" x14ac:dyDescent="0.3">
      <c r="B9" s="163" t="s">
        <v>506</v>
      </c>
      <c r="C9" s="163" t="s">
        <v>500</v>
      </c>
    </row>
    <row r="10" spans="2:5" ht="43.2" x14ac:dyDescent="0.3">
      <c r="B10" s="163" t="s">
        <v>505</v>
      </c>
      <c r="C10" s="163" t="s">
        <v>504</v>
      </c>
    </row>
    <row r="11" spans="2:5" x14ac:dyDescent="0.3">
      <c r="B11" s="163" t="s">
        <v>507</v>
      </c>
      <c r="C11" s="163" t="s">
        <v>501</v>
      </c>
    </row>
    <row r="12" spans="2:5" x14ac:dyDescent="0.3">
      <c r="B12" s="163" t="s">
        <v>508</v>
      </c>
      <c r="C12" s="163" t="s">
        <v>503</v>
      </c>
    </row>
    <row r="13" spans="2:5" x14ac:dyDescent="0.3">
      <c r="B13" s="163" t="s">
        <v>509</v>
      </c>
      <c r="C13" s="163" t="s">
        <v>502</v>
      </c>
    </row>
    <row r="14" spans="2:5" x14ac:dyDescent="0.3">
      <c r="E14" s="236"/>
    </row>
    <row r="16" spans="2:5" x14ac:dyDescent="0.3">
      <c r="B16" s="316" t="s">
        <v>462</v>
      </c>
      <c r="C16" s="317"/>
    </row>
    <row r="17" spans="2:3" x14ac:dyDescent="0.3">
      <c r="B17" s="162" t="s">
        <v>52</v>
      </c>
      <c r="C17" s="163" t="s">
        <v>463</v>
      </c>
    </row>
    <row r="18" spans="2:3" x14ac:dyDescent="0.3">
      <c r="B18" s="162" t="s">
        <v>456</v>
      </c>
      <c r="C18" s="163" t="s">
        <v>463</v>
      </c>
    </row>
    <row r="21" spans="2:3" x14ac:dyDescent="0.3">
      <c r="B21" s="316" t="s">
        <v>464</v>
      </c>
      <c r="C21" s="317"/>
    </row>
    <row r="22" spans="2:3" x14ac:dyDescent="0.3">
      <c r="B22" s="164" t="s">
        <v>465</v>
      </c>
      <c r="C22" s="163" t="s">
        <v>514</v>
      </c>
    </row>
    <row r="23" spans="2:3" x14ac:dyDescent="0.3">
      <c r="B23" s="164" t="s">
        <v>466</v>
      </c>
      <c r="C23" s="163" t="s">
        <v>513</v>
      </c>
    </row>
    <row r="24" spans="2:3" x14ac:dyDescent="0.3">
      <c r="B24" s="164" t="s">
        <v>467</v>
      </c>
      <c r="C24" s="163" t="s">
        <v>514</v>
      </c>
    </row>
    <row r="25" spans="2:3" x14ac:dyDescent="0.3">
      <c r="B25" s="164" t="s">
        <v>498</v>
      </c>
      <c r="C25" s="163" t="s">
        <v>31</v>
      </c>
    </row>
    <row r="28" spans="2:3" x14ac:dyDescent="0.3">
      <c r="B28" s="316" t="s">
        <v>468</v>
      </c>
      <c r="C28" s="317"/>
    </row>
    <row r="29" spans="2:3" ht="72" x14ac:dyDescent="0.3">
      <c r="B29" s="164" t="s">
        <v>288</v>
      </c>
      <c r="C29" s="163" t="s">
        <v>510</v>
      </c>
    </row>
    <row r="30" spans="2:3" ht="144" x14ac:dyDescent="0.3">
      <c r="B30" s="164" t="s">
        <v>417</v>
      </c>
      <c r="C30" s="163" t="s">
        <v>512</v>
      </c>
    </row>
    <row r="31" spans="2:3" ht="129.6" x14ac:dyDescent="0.3">
      <c r="B31" s="164" t="s">
        <v>289</v>
      </c>
      <c r="C31" s="163" t="s">
        <v>511</v>
      </c>
    </row>
  </sheetData>
  <mergeCells count="5">
    <mergeCell ref="B28:C28"/>
    <mergeCell ref="B2:C2"/>
    <mergeCell ref="B8:C8"/>
    <mergeCell ref="B16:C16"/>
    <mergeCell ref="B21:C21"/>
  </mergeCells>
  <dataValidations count="1">
    <dataValidation type="list" allowBlank="1" showInputMessage="1" showErrorMessage="1" sqref="C3">
      <formula1>Programs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zoomScale="55" zoomScaleNormal="55" workbookViewId="0">
      <selection activeCell="F49" sqref="F49"/>
    </sheetView>
  </sheetViews>
  <sheetFormatPr defaultColWidth="8.88671875" defaultRowHeight="14.4" x14ac:dyDescent="0.3"/>
  <cols>
    <col min="2" max="2" width="18.44140625" customWidth="1"/>
    <col min="3" max="3" width="26.5546875" customWidth="1"/>
    <col min="4" max="4" width="31" customWidth="1"/>
    <col min="5" max="5" width="19.5546875" customWidth="1"/>
    <col min="6" max="6" width="22.33203125" bestFit="1" customWidth="1"/>
    <col min="7" max="11" width="13.44140625" bestFit="1" customWidth="1"/>
    <col min="12" max="21" width="14.6640625" customWidth="1"/>
    <col min="23" max="23" width="14" customWidth="1"/>
    <col min="24" max="24" width="39.109375" customWidth="1"/>
    <col min="25" max="25" width="12.33203125" customWidth="1"/>
  </cols>
  <sheetData>
    <row r="1" spans="2:28" ht="23.4" x14ac:dyDescent="0.45">
      <c r="B1" s="167" t="s">
        <v>28</v>
      </c>
      <c r="C1" s="167" t="str">
        <f>'Program Analysis'!C3</f>
        <v>Behavorial, Retrocommissioning, Operational Savings</v>
      </c>
      <c r="D1" s="3"/>
    </row>
    <row r="2" spans="2:28" ht="23.4" x14ac:dyDescent="0.45">
      <c r="B2" s="167" t="s">
        <v>469</v>
      </c>
      <c r="C2" s="167" t="s">
        <v>470</v>
      </c>
      <c r="D2" s="3"/>
    </row>
    <row r="4" spans="2:28" s="2" customFormat="1" ht="15.6" x14ac:dyDescent="0.3">
      <c r="B4" s="24"/>
      <c r="G4" s="10"/>
      <c r="H4" s="10"/>
      <c r="I4" s="10"/>
      <c r="J4" s="10"/>
      <c r="K4" s="10"/>
      <c r="L4" s="10"/>
      <c r="M4" s="10"/>
      <c r="N4" s="10"/>
      <c r="O4" s="10"/>
      <c r="P4" s="10"/>
      <c r="Q4" s="10"/>
      <c r="R4" s="10"/>
      <c r="S4" s="10"/>
      <c r="T4" s="10"/>
      <c r="U4" s="10"/>
    </row>
    <row r="5" spans="2:28" s="2" customFormat="1" ht="15" thickBot="1" x14ac:dyDescent="0.35">
      <c r="G5" s="10"/>
      <c r="H5" s="10"/>
      <c r="I5" s="10"/>
      <c r="J5" s="10"/>
      <c r="K5" s="10"/>
      <c r="L5" s="10"/>
      <c r="M5" s="10"/>
      <c r="N5" s="10"/>
      <c r="O5" s="10"/>
      <c r="P5" s="10"/>
      <c r="Q5" s="10"/>
      <c r="R5" s="10"/>
      <c r="S5" s="10"/>
      <c r="T5" s="10"/>
      <c r="U5" s="10"/>
    </row>
    <row r="6" spans="2:28" ht="24" thickBot="1" x14ac:dyDescent="0.5">
      <c r="B6" s="327" t="s">
        <v>456</v>
      </c>
      <c r="C6" s="328"/>
      <c r="D6" s="328"/>
      <c r="E6" s="328"/>
      <c r="F6" s="328"/>
      <c r="G6" s="328"/>
      <c r="H6" s="328"/>
      <c r="I6" s="328"/>
      <c r="J6" s="328"/>
      <c r="K6" s="328"/>
      <c r="L6" s="328"/>
      <c r="M6" s="328"/>
      <c r="N6" s="328"/>
      <c r="O6" s="328"/>
      <c r="P6" s="328"/>
      <c r="Q6" s="328"/>
      <c r="R6" s="328"/>
      <c r="S6" s="328"/>
      <c r="T6" s="328"/>
      <c r="U6" s="329"/>
      <c r="V6" s="3"/>
      <c r="W6" s="3"/>
    </row>
    <row r="7" spans="2:28" s="9" customFormat="1" ht="18.600000000000001" thickBot="1" x14ac:dyDescent="0.4">
      <c r="B7" s="168" t="s">
        <v>1</v>
      </c>
      <c r="C7" s="169" t="s">
        <v>14</v>
      </c>
      <c r="D7" s="169" t="s">
        <v>3</v>
      </c>
      <c r="E7" s="169" t="s">
        <v>230</v>
      </c>
      <c r="F7" s="170" t="s">
        <v>37</v>
      </c>
      <c r="G7" s="169">
        <v>2015</v>
      </c>
      <c r="H7" s="169">
        <v>2016</v>
      </c>
      <c r="I7" s="169">
        <v>2017</v>
      </c>
      <c r="J7" s="169">
        <v>2018</v>
      </c>
      <c r="K7" s="169">
        <v>2019</v>
      </c>
      <c r="L7" s="169">
        <v>2020</v>
      </c>
      <c r="M7" s="169">
        <v>2021</v>
      </c>
      <c r="N7" s="169">
        <v>2022</v>
      </c>
      <c r="O7" s="169">
        <v>2023</v>
      </c>
      <c r="P7" s="169">
        <v>2024</v>
      </c>
      <c r="Q7" s="169">
        <v>2025</v>
      </c>
      <c r="R7" s="169">
        <v>2026</v>
      </c>
      <c r="S7" s="169">
        <v>2027</v>
      </c>
      <c r="T7" s="169">
        <v>2028</v>
      </c>
      <c r="U7" s="171">
        <v>2029</v>
      </c>
      <c r="V7" s="20"/>
      <c r="W7" s="20"/>
      <c r="Y7"/>
      <c r="AA7" s="14"/>
      <c r="AB7" s="14"/>
    </row>
    <row r="8" spans="2:28" s="9" customFormat="1" ht="18" x14ac:dyDescent="0.35">
      <c r="B8" s="172" t="s">
        <v>38</v>
      </c>
      <c r="C8" s="173"/>
      <c r="D8" s="173"/>
      <c r="E8" s="173"/>
      <c r="F8" s="173"/>
      <c r="G8" s="323" t="s">
        <v>471</v>
      </c>
      <c r="H8" s="323"/>
      <c r="I8" s="323"/>
      <c r="J8" s="323"/>
      <c r="K8" s="323"/>
      <c r="L8" s="323"/>
      <c r="M8" s="323"/>
      <c r="N8" s="323"/>
      <c r="O8" s="323"/>
      <c r="P8" s="323"/>
      <c r="Q8" s="323"/>
      <c r="R8" s="323"/>
      <c r="S8" s="323"/>
      <c r="T8" s="323"/>
      <c r="U8" s="324"/>
      <c r="V8" s="20"/>
      <c r="W8" s="20"/>
      <c r="AA8" s="14"/>
      <c r="AB8" s="14"/>
    </row>
    <row r="9" spans="2:28" ht="14.4" customHeight="1" x14ac:dyDescent="0.3">
      <c r="B9" s="21" t="str">
        <f>VLOOKUP($C$1, 'Look-up'!$A$4:$D$20, 4, FALSE)</f>
        <v>State of CA</v>
      </c>
      <c r="C9" s="8" t="str">
        <f>VLOOKUP($C$1, 'Look-up'!$A$4:$D$20, 2, FALSE)</f>
        <v>Benchmarking &amp; Market Transformation</v>
      </c>
      <c r="D9" s="8" t="str">
        <f>VLOOKUP($C$1, 'Look-up'!$A$4:$D$20, 1, FALSE)</f>
        <v>Behavorial, Retrocommissioning, Operational Savings</v>
      </c>
      <c r="E9" s="8" t="s">
        <v>374</v>
      </c>
      <c r="F9" s="12" t="s">
        <v>0</v>
      </c>
      <c r="G9" s="146">
        <f>Conservative!E64</f>
        <v>4.7513925308843969</v>
      </c>
      <c r="H9" s="146">
        <f>Conservative!F64</f>
        <v>9.7198843706789688</v>
      </c>
      <c r="I9" s="146">
        <f>Conservative!G64</f>
        <v>14.915395160756832</v>
      </c>
      <c r="J9" s="146">
        <f>Conservative!H64</f>
        <v>20.348297787991815</v>
      </c>
      <c r="K9" s="146">
        <f>Conservative!I64</f>
        <v>26.018592252383918</v>
      </c>
      <c r="L9" s="146">
        <f>Conservative!J64</f>
        <v>33.350445312343048</v>
      </c>
      <c r="M9" s="146">
        <f>Conservative!K64</f>
        <v>47.683536569253782</v>
      </c>
      <c r="N9" s="146">
        <f>Conservative!L64</f>
        <v>61.436155397168612</v>
      </c>
      <c r="O9" s="146">
        <f>Conservative!M64</f>
        <v>75.581976356960936</v>
      </c>
      <c r="P9" s="146">
        <f>Conservative!N64</f>
        <v>89.911485258485129</v>
      </c>
      <c r="Q9" s="146">
        <f>Conservative!O64</f>
        <v>101.00368058487675</v>
      </c>
      <c r="R9" s="146">
        <f>Conservative!P64</f>
        <v>107.51597427375523</v>
      </c>
      <c r="S9" s="146">
        <f>Conservative!Q64</f>
        <v>113.40721104671412</v>
      </c>
      <c r="T9" s="146">
        <f>Conservative!R64</f>
        <v>119.17973908983305</v>
      </c>
      <c r="U9" s="174">
        <f>Conservative!S64</f>
        <v>125.06961713853826</v>
      </c>
      <c r="V9" s="22"/>
      <c r="W9" s="3"/>
      <c r="AA9" s="6"/>
      <c r="AB9" s="6"/>
    </row>
    <row r="10" spans="2:28" x14ac:dyDescent="0.3">
      <c r="B10" s="175" t="str">
        <f t="shared" ref="B10:D11" si="0">B$9</f>
        <v>State of CA</v>
      </c>
      <c r="C10" s="45" t="str">
        <f t="shared" si="0"/>
        <v>Benchmarking &amp; Market Transformation</v>
      </c>
      <c r="D10" s="45" t="str">
        <f t="shared" si="0"/>
        <v>Behavorial, Retrocommissioning, Operational Savings</v>
      </c>
      <c r="E10" s="45" t="s">
        <v>231</v>
      </c>
      <c r="F10" s="12" t="str">
        <f>F9</f>
        <v>GWh</v>
      </c>
      <c r="G10" s="146">
        <f>Reference!E36</f>
        <v>4.7513925308843969</v>
      </c>
      <c r="H10" s="146">
        <f>Reference!F36</f>
        <v>9.7198843706789688</v>
      </c>
      <c r="I10" s="146">
        <f>Reference!G36</f>
        <v>14.915395160756832</v>
      </c>
      <c r="J10" s="146">
        <f>Reference!H36</f>
        <v>20.348297787991815</v>
      </c>
      <c r="K10" s="146">
        <f>Reference!I36</f>
        <v>26.018592252383918</v>
      </c>
      <c r="L10" s="146">
        <f>Reference!J36</f>
        <v>33.350445312343048</v>
      </c>
      <c r="M10" s="146">
        <f>Reference!K36</f>
        <v>51.323061870790092</v>
      </c>
      <c r="N10" s="146">
        <f>Reference!L36</f>
        <v>70.000472403213806</v>
      </c>
      <c r="O10" s="146">
        <f>Reference!M36</f>
        <v>90.797909705216185</v>
      </c>
      <c r="P10" s="146">
        <f>Reference!N36</f>
        <v>114.01187698362429</v>
      </c>
      <c r="Q10" s="146">
        <f>Reference!O36</f>
        <v>137.8475084778442</v>
      </c>
      <c r="R10" s="146">
        <f>Reference!P36</f>
        <v>156.69768859882387</v>
      </c>
      <c r="S10" s="146">
        <f>Reference!Q36</f>
        <v>176.40590880575385</v>
      </c>
      <c r="T10" s="146">
        <f>Reference!R36</f>
        <v>197.54752928775352</v>
      </c>
      <c r="U10" s="174">
        <f>Reference!S36</f>
        <v>220.76384659090468</v>
      </c>
      <c r="V10" s="3"/>
      <c r="W10" s="3"/>
    </row>
    <row r="11" spans="2:28" x14ac:dyDescent="0.3">
      <c r="B11" s="175" t="str">
        <f t="shared" si="0"/>
        <v>State of CA</v>
      </c>
      <c r="C11" s="45" t="str">
        <f t="shared" si="0"/>
        <v>Benchmarking &amp; Market Transformation</v>
      </c>
      <c r="D11" s="45" t="str">
        <f t="shared" si="0"/>
        <v>Behavorial, Retrocommissioning, Operational Savings</v>
      </c>
      <c r="E11" s="45" t="s">
        <v>232</v>
      </c>
      <c r="F11" s="12" t="str">
        <f>F10</f>
        <v>GWh</v>
      </c>
      <c r="G11" s="146">
        <f>Aggressive!E67</f>
        <v>4.7513925308843969</v>
      </c>
      <c r="H11" s="146">
        <f>Aggressive!F67</f>
        <v>9.7198843706789688</v>
      </c>
      <c r="I11" s="146">
        <f>Aggressive!G67</f>
        <v>14.915395160756832</v>
      </c>
      <c r="J11" s="146">
        <f>Aggressive!H67</f>
        <v>22.725714141427886</v>
      </c>
      <c r="K11" s="146">
        <f>Aggressive!I67</f>
        <v>29.554761920252957</v>
      </c>
      <c r="L11" s="146">
        <f>Aggressive!J67</f>
        <v>38.52527672985839</v>
      </c>
      <c r="M11" s="146">
        <f>Aggressive!K67</f>
        <v>60.372441104454417</v>
      </c>
      <c r="N11" s="146">
        <f>Aggressive!L67</f>
        <v>85.6500876659357</v>
      </c>
      <c r="O11" s="146">
        <f>Aggressive!M67</f>
        <v>115.23926672508547</v>
      </c>
      <c r="P11" s="146">
        <f>Aggressive!N67</f>
        <v>150.98031614786487</v>
      </c>
      <c r="Q11" s="146">
        <f>Aggressive!O67</f>
        <v>191.90389934282237</v>
      </c>
      <c r="R11" s="146">
        <f>Aggressive!P67</f>
        <v>229.62627982831182</v>
      </c>
      <c r="S11" s="146">
        <f>Aggressive!Q67</f>
        <v>272.61484265170117</v>
      </c>
      <c r="T11" s="146">
        <f>Aggressive!R67</f>
        <v>322.97585142714752</v>
      </c>
      <c r="U11" s="174">
        <f>Aggressive!S67</f>
        <v>382.91091934560058</v>
      </c>
      <c r="V11" s="3"/>
      <c r="W11" s="3"/>
    </row>
    <row r="12" spans="2:28" x14ac:dyDescent="0.3">
      <c r="B12" s="176"/>
      <c r="C12" s="146"/>
      <c r="D12" s="146"/>
      <c r="E12" s="146"/>
      <c r="F12" s="177"/>
      <c r="G12" s="146"/>
      <c r="H12" s="146"/>
      <c r="I12" s="146"/>
      <c r="J12" s="146"/>
      <c r="K12" s="146"/>
      <c r="L12" s="146"/>
      <c r="M12" s="146"/>
      <c r="N12" s="146"/>
      <c r="O12" s="146"/>
      <c r="P12" s="146"/>
      <c r="Q12" s="146"/>
      <c r="R12" s="146"/>
      <c r="S12" s="146"/>
      <c r="T12" s="146"/>
      <c r="U12" s="174"/>
      <c r="V12" s="3"/>
      <c r="W12" s="3"/>
    </row>
    <row r="13" spans="2:28" s="9" customFormat="1" ht="18" x14ac:dyDescent="0.35">
      <c r="B13" s="178" t="s">
        <v>39</v>
      </c>
      <c r="C13" s="179"/>
      <c r="D13" s="179"/>
      <c r="E13" s="179"/>
      <c r="F13" s="180"/>
      <c r="G13" s="325" t="s">
        <v>472</v>
      </c>
      <c r="H13" s="325"/>
      <c r="I13" s="325"/>
      <c r="J13" s="325"/>
      <c r="K13" s="325"/>
      <c r="L13" s="325"/>
      <c r="M13" s="325"/>
      <c r="N13" s="325"/>
      <c r="O13" s="325"/>
      <c r="P13" s="325"/>
      <c r="Q13" s="325"/>
      <c r="R13" s="325"/>
      <c r="S13" s="325"/>
      <c r="T13" s="325"/>
      <c r="U13" s="326"/>
      <c r="V13" s="20"/>
      <c r="W13" s="20"/>
      <c r="AA13" s="14"/>
      <c r="AB13" s="14"/>
    </row>
    <row r="14" spans="2:28" ht="14.4" customHeight="1" x14ac:dyDescent="0.3">
      <c r="B14" s="175" t="str">
        <f>'SB 350 Potential'!B$9</f>
        <v>State of CA</v>
      </c>
      <c r="C14" s="45" t="str">
        <f>'SB 350 Potential'!C$9</f>
        <v>Benchmarking &amp; Market Transformation</v>
      </c>
      <c r="D14" s="45" t="str">
        <f>'SB 350 Potential'!D$9</f>
        <v>Behavorial, Retrocommissioning, Operational Savings</v>
      </c>
      <c r="E14" s="8" t="s">
        <v>374</v>
      </c>
      <c r="F14" s="177" t="s">
        <v>4</v>
      </c>
      <c r="G14" s="146">
        <f>Conservative!E65</f>
        <v>0</v>
      </c>
      <c r="H14" s="146">
        <f>Conservative!F65</f>
        <v>0</v>
      </c>
      <c r="I14" s="146">
        <f>Conservative!G65</f>
        <v>0</v>
      </c>
      <c r="J14" s="146">
        <f>Conservative!H65</f>
        <v>0</v>
      </c>
      <c r="K14" s="146">
        <f>Conservative!I65</f>
        <v>0</v>
      </c>
      <c r="L14" s="146">
        <f>Conservative!J65</f>
        <v>0</v>
      </c>
      <c r="M14" s="146">
        <f>Conservative!K65</f>
        <v>0</v>
      </c>
      <c r="N14" s="146">
        <f>Conservative!L65</f>
        <v>0</v>
      </c>
      <c r="O14" s="146">
        <f>Conservative!M65</f>
        <v>0</v>
      </c>
      <c r="P14" s="146">
        <f>Conservative!N65</f>
        <v>0</v>
      </c>
      <c r="Q14" s="146">
        <f>Conservative!O65</f>
        <v>0</v>
      </c>
      <c r="R14" s="146">
        <f>Conservative!P65</f>
        <v>0</v>
      </c>
      <c r="S14" s="146">
        <f>Conservative!Q65</f>
        <v>0</v>
      </c>
      <c r="T14" s="146">
        <f>Conservative!R65</f>
        <v>0</v>
      </c>
      <c r="U14" s="174">
        <f>Conservative!S65</f>
        <v>0</v>
      </c>
      <c r="V14" s="22"/>
      <c r="W14" s="3"/>
      <c r="AA14" s="6"/>
      <c r="AB14" s="6"/>
    </row>
    <row r="15" spans="2:28" x14ac:dyDescent="0.3">
      <c r="B15" s="175" t="str">
        <f>'SB 350 Potential'!B$9</f>
        <v>State of CA</v>
      </c>
      <c r="C15" s="45" t="str">
        <f>'SB 350 Potential'!C$9</f>
        <v>Benchmarking &amp; Market Transformation</v>
      </c>
      <c r="D15" s="45" t="str">
        <f>'SB 350 Potential'!D$9</f>
        <v>Behavorial, Retrocommissioning, Operational Savings</v>
      </c>
      <c r="E15" s="45" t="s">
        <v>231</v>
      </c>
      <c r="F15" s="177" t="str">
        <f t="shared" ref="F15:F16" si="1">F14</f>
        <v>MM Therms</v>
      </c>
      <c r="G15" s="146">
        <f>Reference!E37</f>
        <v>0</v>
      </c>
      <c r="H15" s="146">
        <f>Reference!F37</f>
        <v>0</v>
      </c>
      <c r="I15" s="146">
        <f>Reference!G37</f>
        <v>0</v>
      </c>
      <c r="J15" s="146">
        <f>Reference!H37</f>
        <v>0</v>
      </c>
      <c r="K15" s="146">
        <f>Reference!I37</f>
        <v>0</v>
      </c>
      <c r="L15" s="146">
        <f>Reference!J37</f>
        <v>0</v>
      </c>
      <c r="M15" s="146">
        <f>Reference!K37</f>
        <v>0</v>
      </c>
      <c r="N15" s="146">
        <f>Reference!L37</f>
        <v>0</v>
      </c>
      <c r="O15" s="146">
        <f>Reference!M37</f>
        <v>0</v>
      </c>
      <c r="P15" s="146">
        <f>Reference!N37</f>
        <v>0</v>
      </c>
      <c r="Q15" s="146">
        <f>Reference!O37</f>
        <v>0</v>
      </c>
      <c r="R15" s="146">
        <f>Reference!P37</f>
        <v>0</v>
      </c>
      <c r="S15" s="146">
        <f>Reference!Q37</f>
        <v>0</v>
      </c>
      <c r="T15" s="146">
        <f>Reference!R37</f>
        <v>0</v>
      </c>
      <c r="U15" s="174">
        <f>Reference!S37</f>
        <v>0</v>
      </c>
      <c r="V15" s="3"/>
      <c r="W15" s="3"/>
    </row>
    <row r="16" spans="2:28" ht="15" thickBot="1" x14ac:dyDescent="0.35">
      <c r="B16" s="181" t="str">
        <f>'SB 350 Potential'!B$9</f>
        <v>State of CA</v>
      </c>
      <c r="C16" s="182" t="str">
        <f>'SB 350 Potential'!C$9</f>
        <v>Benchmarking &amp; Market Transformation</v>
      </c>
      <c r="D16" s="182" t="str">
        <f>'SB 350 Potential'!D$9</f>
        <v>Behavorial, Retrocommissioning, Operational Savings</v>
      </c>
      <c r="E16" s="182" t="s">
        <v>232</v>
      </c>
      <c r="F16" s="183" t="str">
        <f t="shared" si="1"/>
        <v>MM Therms</v>
      </c>
      <c r="G16" s="184">
        <f>Aggressive!E68</f>
        <v>0</v>
      </c>
      <c r="H16" s="184">
        <f>Aggressive!F68</f>
        <v>0</v>
      </c>
      <c r="I16" s="184">
        <f>Aggressive!G68</f>
        <v>0</v>
      </c>
      <c r="J16" s="184">
        <f>Aggressive!H68</f>
        <v>0</v>
      </c>
      <c r="K16" s="184">
        <f>Aggressive!I68</f>
        <v>0</v>
      </c>
      <c r="L16" s="184">
        <f>Aggressive!J68</f>
        <v>0</v>
      </c>
      <c r="M16" s="184">
        <f>Aggressive!K68</f>
        <v>0</v>
      </c>
      <c r="N16" s="184">
        <f>Aggressive!L68</f>
        <v>0</v>
      </c>
      <c r="O16" s="184">
        <f>Aggressive!M68</f>
        <v>0</v>
      </c>
      <c r="P16" s="184">
        <f>Aggressive!N68</f>
        <v>0</v>
      </c>
      <c r="Q16" s="184">
        <f>Aggressive!O68</f>
        <v>0</v>
      </c>
      <c r="R16" s="184">
        <f>Aggressive!P68</f>
        <v>0</v>
      </c>
      <c r="S16" s="184">
        <f>Aggressive!Q68</f>
        <v>0</v>
      </c>
      <c r="T16" s="184">
        <f>Aggressive!R68</f>
        <v>0</v>
      </c>
      <c r="U16" s="185">
        <f>Aggressive!S68</f>
        <v>0</v>
      </c>
      <c r="V16" s="3"/>
      <c r="W16" s="3"/>
    </row>
    <row r="17" spans="2:28" x14ac:dyDescent="0.3">
      <c r="B17" s="135"/>
      <c r="C17" s="135"/>
      <c r="D17" s="135"/>
      <c r="E17" s="135"/>
      <c r="F17" s="135"/>
      <c r="G17" s="135"/>
      <c r="H17" s="135"/>
      <c r="I17" s="135"/>
      <c r="J17" s="135"/>
      <c r="K17" s="135"/>
      <c r="L17" s="135"/>
      <c r="M17" s="135"/>
      <c r="N17" s="135"/>
      <c r="O17" s="135"/>
      <c r="P17" s="135"/>
      <c r="Q17" s="135"/>
      <c r="R17" s="135"/>
      <c r="S17" s="135"/>
      <c r="T17" s="135"/>
      <c r="U17" s="135"/>
      <c r="V17" s="3"/>
      <c r="W17" s="3"/>
    </row>
    <row r="18" spans="2:28" x14ac:dyDescent="0.3">
      <c r="B18" s="135"/>
      <c r="C18" s="135"/>
      <c r="D18" s="135"/>
      <c r="E18" s="135"/>
      <c r="F18" s="135"/>
      <c r="G18" s="135"/>
      <c r="H18" s="135"/>
      <c r="I18" s="135"/>
      <c r="J18" s="135"/>
      <c r="K18" s="135"/>
      <c r="L18" s="135"/>
      <c r="M18" s="135"/>
      <c r="N18" s="135"/>
      <c r="O18" s="135"/>
      <c r="P18" s="135"/>
      <c r="Q18" s="135"/>
      <c r="R18" s="135"/>
      <c r="S18" s="135"/>
      <c r="T18" s="135"/>
      <c r="U18" s="135"/>
      <c r="V18" s="3"/>
      <c r="W18" s="3"/>
    </row>
    <row r="19" spans="2:28" ht="15" thickBot="1" x14ac:dyDescent="0.35">
      <c r="B19" s="135"/>
      <c r="C19" s="135"/>
      <c r="D19" s="135"/>
      <c r="E19" s="135"/>
      <c r="F19" s="135"/>
      <c r="G19" s="135"/>
      <c r="H19" s="135"/>
      <c r="I19" s="135"/>
      <c r="J19" s="135"/>
      <c r="K19" s="135"/>
      <c r="L19" s="135"/>
      <c r="M19" s="135"/>
      <c r="N19" s="135"/>
      <c r="O19" s="135"/>
      <c r="P19" s="135"/>
      <c r="Q19" s="135"/>
      <c r="R19" s="135"/>
      <c r="S19" s="135"/>
      <c r="T19" s="135"/>
      <c r="U19" s="135"/>
      <c r="V19" s="3"/>
      <c r="W19" s="3"/>
    </row>
    <row r="20" spans="2:28" ht="24" thickBot="1" x14ac:dyDescent="0.5">
      <c r="B20" s="330" t="s">
        <v>473</v>
      </c>
      <c r="C20" s="331"/>
      <c r="D20" s="331"/>
      <c r="E20" s="331"/>
      <c r="F20" s="331"/>
      <c r="G20" s="331"/>
      <c r="H20" s="331"/>
      <c r="I20" s="331"/>
      <c r="J20" s="331"/>
      <c r="K20" s="331"/>
      <c r="L20" s="331"/>
      <c r="M20" s="331"/>
      <c r="N20" s="331"/>
      <c r="O20" s="331"/>
      <c r="P20" s="331"/>
      <c r="Q20" s="331"/>
      <c r="R20" s="331"/>
      <c r="S20" s="331"/>
      <c r="T20" s="331"/>
      <c r="U20" s="332"/>
      <c r="V20" s="3"/>
      <c r="W20" s="3"/>
    </row>
    <row r="21" spans="2:28" s="9" customFormat="1" ht="18.600000000000001" thickBot="1" x14ac:dyDescent="0.4">
      <c r="B21" s="186" t="s">
        <v>1</v>
      </c>
      <c r="C21" s="187" t="s">
        <v>14</v>
      </c>
      <c r="D21" s="187" t="s">
        <v>3</v>
      </c>
      <c r="E21" s="187" t="s">
        <v>230</v>
      </c>
      <c r="F21" s="188" t="s">
        <v>37</v>
      </c>
      <c r="G21" s="189">
        <v>2015</v>
      </c>
      <c r="H21" s="189">
        <v>2016</v>
      </c>
      <c r="I21" s="189">
        <v>2017</v>
      </c>
      <c r="J21" s="189">
        <v>2018</v>
      </c>
      <c r="K21" s="189">
        <v>2019</v>
      </c>
      <c r="L21" s="189">
        <v>2020</v>
      </c>
      <c r="M21" s="189">
        <v>2021</v>
      </c>
      <c r="N21" s="189">
        <v>2022</v>
      </c>
      <c r="O21" s="189">
        <v>2023</v>
      </c>
      <c r="P21" s="189">
        <v>2024</v>
      </c>
      <c r="Q21" s="189">
        <v>2025</v>
      </c>
      <c r="R21" s="189">
        <v>2026</v>
      </c>
      <c r="S21" s="189">
        <v>2027</v>
      </c>
      <c r="T21" s="189">
        <v>2028</v>
      </c>
      <c r="U21" s="190">
        <v>2029</v>
      </c>
      <c r="V21" s="20"/>
      <c r="W21" s="20"/>
      <c r="Y21"/>
      <c r="AA21" s="14"/>
      <c r="AB21" s="14"/>
    </row>
    <row r="22" spans="2:28" s="9" customFormat="1" ht="18" x14ac:dyDescent="0.35">
      <c r="B22" s="191" t="s">
        <v>38</v>
      </c>
      <c r="C22" s="192"/>
      <c r="D22" s="192"/>
      <c r="E22" s="192"/>
      <c r="F22" s="192"/>
      <c r="G22" s="323" t="s">
        <v>471</v>
      </c>
      <c r="H22" s="323"/>
      <c r="I22" s="323"/>
      <c r="J22" s="323"/>
      <c r="K22" s="323"/>
      <c r="L22" s="323"/>
      <c r="M22" s="323"/>
      <c r="N22" s="323"/>
      <c r="O22" s="323"/>
      <c r="P22" s="323"/>
      <c r="Q22" s="323"/>
      <c r="R22" s="323"/>
      <c r="S22" s="323"/>
      <c r="T22" s="323"/>
      <c r="U22" s="324"/>
      <c r="V22" s="20"/>
      <c r="W22" s="20"/>
      <c r="AA22" s="14"/>
      <c r="AB22" s="14"/>
    </row>
    <row r="23" spans="2:28" ht="14.4" customHeight="1" x14ac:dyDescent="0.3">
      <c r="B23" s="175" t="str">
        <f>'SB 350 Potential'!B$9</f>
        <v>State of CA</v>
      </c>
      <c r="C23" s="45" t="str">
        <f>'SB 350 Potential'!C$9</f>
        <v>Benchmarking &amp; Market Transformation</v>
      </c>
      <c r="D23" s="45" t="str">
        <f>'SB 350 Potential'!D$9</f>
        <v>Behavorial, Retrocommissioning, Operational Savings</v>
      </c>
      <c r="E23" s="8" t="s">
        <v>374</v>
      </c>
      <c r="F23" s="12" t="s">
        <v>0</v>
      </c>
      <c r="G23" s="146">
        <f>Conservative!E67</f>
        <v>26.809907499999998</v>
      </c>
      <c r="H23" s="146">
        <f>Conservative!F67</f>
        <v>29.195458599999998</v>
      </c>
      <c r="I23" s="146">
        <f>Conservative!G67</f>
        <v>31.818620410000001</v>
      </c>
      <c r="J23" s="146">
        <f>Conservative!H67</f>
        <v>34.703106781000002</v>
      </c>
      <c r="K23" s="146">
        <f>Conservative!I67</f>
        <v>40.579148579395493</v>
      </c>
      <c r="L23" s="146">
        <f>Conservative!J67</f>
        <v>50.457568679536436</v>
      </c>
      <c r="M23" s="146">
        <f>Conservative!K67</f>
        <v>71.988076609071157</v>
      </c>
      <c r="N23" s="146">
        <f>Conservative!L67</f>
        <v>72.392421568108631</v>
      </c>
      <c r="O23" s="146">
        <f>Conservative!M67</f>
        <v>72.28843674406383</v>
      </c>
      <c r="P23" s="146">
        <f>Conservative!N67</f>
        <v>71.977423811520865</v>
      </c>
      <c r="Q23" s="146">
        <f>Conservative!O67</f>
        <v>70.431823689042574</v>
      </c>
      <c r="R23" s="146">
        <f>Conservative!P67</f>
        <v>69.19435694401605</v>
      </c>
      <c r="S23" s="146">
        <f>Conservative!Q67</f>
        <v>67.973688857956205</v>
      </c>
      <c r="T23" s="146">
        <f>Conservative!R67</f>
        <v>66.587262076962674</v>
      </c>
      <c r="U23" s="174">
        <f>Conservative!S67</f>
        <v>65.072669426128158</v>
      </c>
      <c r="V23" s="22"/>
      <c r="W23" s="3"/>
      <c r="AA23" s="6"/>
      <c r="AB23" s="6"/>
    </row>
    <row r="24" spans="2:28" x14ac:dyDescent="0.3">
      <c r="B24" s="175" t="str">
        <f>'SB 350 Potential'!B$9</f>
        <v>State of CA</v>
      </c>
      <c r="C24" s="45" t="str">
        <f>'SB 350 Potential'!C$9</f>
        <v>Benchmarking &amp; Market Transformation</v>
      </c>
      <c r="D24" s="45" t="str">
        <f>'SB 350 Potential'!D$9</f>
        <v>Behavorial, Retrocommissioning, Operational Savings</v>
      </c>
      <c r="E24" s="45" t="s">
        <v>231</v>
      </c>
      <c r="F24" s="12" t="str">
        <f t="shared" ref="F24:F25" si="2">F23</f>
        <v>GWh</v>
      </c>
      <c r="G24" s="146">
        <f>Reference!E39</f>
        <v>26.809907499999998</v>
      </c>
      <c r="H24" s="146">
        <f>Reference!F39</f>
        <v>29.195458599999998</v>
      </c>
      <c r="I24" s="146">
        <f>Reference!G39</f>
        <v>31.818620410000001</v>
      </c>
      <c r="J24" s="146">
        <f>Reference!H39</f>
        <v>34.703106781000002</v>
      </c>
      <c r="K24" s="146">
        <f>Reference!I39</f>
        <v>40.579148579395493</v>
      </c>
      <c r="L24" s="146">
        <f>Reference!J39</f>
        <v>50.457568679536436</v>
      </c>
      <c r="M24" s="146">
        <f>Reference!K39</f>
        <v>77.481634963628963</v>
      </c>
      <c r="N24" s="146">
        <f>Reference!L39</f>
        <v>82.490918720796728</v>
      </c>
      <c r="O24" s="146">
        <f>Reference!M39</f>
        <v>86.859239448606687</v>
      </c>
      <c r="P24" s="146">
        <f>Reference!N39</f>
        <v>91.300195811782601</v>
      </c>
      <c r="Q24" s="146">
        <f>Reference!O39</f>
        <v>96.154878866284946</v>
      </c>
      <c r="R24" s="146">
        <f>Reference!P39</f>
        <v>100.88437804301964</v>
      </c>
      <c r="S24" s="146">
        <f>Reference!Q39</f>
        <v>105.77988498734916</v>
      </c>
      <c r="T24" s="146">
        <f>Reference!R39</f>
        <v>110.42895052683612</v>
      </c>
      <c r="U24" s="174">
        <f>Reference!S39</f>
        <v>114.94940688111379</v>
      </c>
      <c r="V24" s="3"/>
      <c r="W24" s="3"/>
    </row>
    <row r="25" spans="2:28" x14ac:dyDescent="0.3">
      <c r="B25" s="175" t="str">
        <f>'SB 350 Potential'!B$9</f>
        <v>State of CA</v>
      </c>
      <c r="C25" s="45" t="str">
        <f>'SB 350 Potential'!C$9</f>
        <v>Benchmarking &amp; Market Transformation</v>
      </c>
      <c r="D25" s="45" t="str">
        <f>'SB 350 Potential'!D$9</f>
        <v>Behavorial, Retrocommissioning, Operational Savings</v>
      </c>
      <c r="E25" s="45" t="s">
        <v>232</v>
      </c>
      <c r="F25" s="12" t="str">
        <f t="shared" si="2"/>
        <v>GWh</v>
      </c>
      <c r="G25" s="146">
        <f>Aggressive!E70</f>
        <v>26.809907499999998</v>
      </c>
      <c r="H25" s="146">
        <f>Aggressive!F70</f>
        <v>29.195458599999998</v>
      </c>
      <c r="I25" s="146">
        <f>Aggressive!G70</f>
        <v>31.818620410000001</v>
      </c>
      <c r="J25" s="146">
        <f>Aggressive!H70</f>
        <v>38.383478256005986</v>
      </c>
      <c r="K25" s="146">
        <f>Aggressive!I70</f>
        <v>60.904827227855023</v>
      </c>
      <c r="L25" s="146">
        <f>Aggressive!J70</f>
        <v>91.838154534593855</v>
      </c>
      <c r="M25" s="146">
        <f>Aggressive!K70</f>
        <v>130.36029129016629</v>
      </c>
      <c r="N25" s="146">
        <f>Aggressive!L70</f>
        <v>142.55789003322712</v>
      </c>
      <c r="O25" s="146">
        <f>Aggressive!M70</f>
        <v>154.05658148206771</v>
      </c>
      <c r="P25" s="146">
        <f>Aggressive!N70</f>
        <v>166.94237493847345</v>
      </c>
      <c r="Q25" s="146">
        <f>Aggressive!O70</f>
        <v>182.20537804398398</v>
      </c>
      <c r="R25" s="146">
        <f>Aggressive!P70</f>
        <v>198.52960649516592</v>
      </c>
      <c r="S25" s="146">
        <f>Aggressive!Q70</f>
        <v>216.58781037189172</v>
      </c>
      <c r="T25" s="146">
        <f>Aggressive!R70</f>
        <v>235.83531866314851</v>
      </c>
      <c r="U25" s="174">
        <f>Aggressive!S70</f>
        <v>256.8869061197704</v>
      </c>
      <c r="V25" s="3"/>
      <c r="W25" s="3"/>
    </row>
    <row r="26" spans="2:28" x14ac:dyDescent="0.3">
      <c r="B26" s="175"/>
      <c r="C26" s="45"/>
      <c r="D26" s="45"/>
      <c r="E26" s="45"/>
      <c r="F26" s="193"/>
      <c r="G26" s="146"/>
      <c r="H26" s="146"/>
      <c r="I26" s="146"/>
      <c r="J26" s="146"/>
      <c r="K26" s="146"/>
      <c r="L26" s="146"/>
      <c r="M26" s="146"/>
      <c r="N26" s="146"/>
      <c r="O26" s="146"/>
      <c r="P26" s="146"/>
      <c r="Q26" s="146"/>
      <c r="R26" s="146"/>
      <c r="S26" s="146"/>
      <c r="T26" s="146"/>
      <c r="U26" s="174"/>
      <c r="V26" s="3"/>
      <c r="W26" s="3"/>
    </row>
    <row r="27" spans="2:28" s="9" customFormat="1" ht="18" x14ac:dyDescent="0.35">
      <c r="B27" s="194" t="s">
        <v>39</v>
      </c>
      <c r="C27" s="19"/>
      <c r="D27" s="19"/>
      <c r="E27" s="19"/>
      <c r="F27" s="195"/>
      <c r="G27" s="325" t="s">
        <v>472</v>
      </c>
      <c r="H27" s="325"/>
      <c r="I27" s="325"/>
      <c r="J27" s="325"/>
      <c r="K27" s="325"/>
      <c r="L27" s="325"/>
      <c r="M27" s="325"/>
      <c r="N27" s="325"/>
      <c r="O27" s="325"/>
      <c r="P27" s="325"/>
      <c r="Q27" s="325"/>
      <c r="R27" s="325"/>
      <c r="S27" s="325"/>
      <c r="T27" s="325"/>
      <c r="U27" s="326"/>
      <c r="V27" s="20"/>
      <c r="W27" s="20"/>
      <c r="AA27" s="14"/>
      <c r="AB27" s="14"/>
    </row>
    <row r="28" spans="2:28" ht="14.4" customHeight="1" x14ac:dyDescent="0.3">
      <c r="B28" s="175" t="str">
        <f>'SB 350 Potential'!B$9</f>
        <v>State of CA</v>
      </c>
      <c r="C28" s="45" t="str">
        <f>'SB 350 Potential'!C$9</f>
        <v>Benchmarking &amp; Market Transformation</v>
      </c>
      <c r="D28" s="45" t="str">
        <f>'SB 350 Potential'!D$9</f>
        <v>Behavorial, Retrocommissioning, Operational Savings</v>
      </c>
      <c r="E28" s="8" t="str">
        <f t="shared" ref="E28:E30" si="3">E23</f>
        <v>Conservative</v>
      </c>
      <c r="F28" s="12" t="s">
        <v>4</v>
      </c>
      <c r="G28" s="146">
        <f>Conservative!E68</f>
        <v>0.32803900000000003</v>
      </c>
      <c r="H28" s="146">
        <f>Conservative!F68</f>
        <v>0.33087100000000003</v>
      </c>
      <c r="I28" s="146">
        <f>Conservative!G68</f>
        <v>0.33384459999999999</v>
      </c>
      <c r="J28" s="146">
        <f>Conservative!H68</f>
        <v>0.33696688000000002</v>
      </c>
      <c r="K28" s="146">
        <f>Conservative!I68</f>
        <v>6.8846274000000013E-2</v>
      </c>
      <c r="L28" s="146">
        <f>Conservative!J68</f>
        <v>7.2288587700000018E-2</v>
      </c>
      <c r="M28" s="146">
        <f>Conservative!K68</f>
        <v>7.0666895219612391E-2</v>
      </c>
      <c r="N28" s="146">
        <f>Conservative!L68</f>
        <v>6.9045202739224765E-2</v>
      </c>
      <c r="O28" s="146">
        <f>Conservative!M68</f>
        <v>6.7423510258837138E-2</v>
      </c>
      <c r="P28" s="146">
        <f>Conservative!N68</f>
        <v>6.5801817778449512E-2</v>
      </c>
      <c r="Q28" s="146">
        <f>Conservative!O68</f>
        <v>6.4180125298061885E-2</v>
      </c>
      <c r="R28" s="146">
        <f>Conservative!P68</f>
        <v>6.2558432817674259E-2</v>
      </c>
      <c r="S28" s="146">
        <f>Conservative!Q68</f>
        <v>6.0936740337286632E-2</v>
      </c>
      <c r="T28" s="146">
        <f>Conservative!R68</f>
        <v>5.9315047856899006E-2</v>
      </c>
      <c r="U28" s="174">
        <f>Conservative!S68</f>
        <v>5.6071662896123767E-2</v>
      </c>
      <c r="V28" s="22"/>
      <c r="W28" s="3"/>
      <c r="AA28" s="6"/>
      <c r="AB28" s="6"/>
    </row>
    <row r="29" spans="2:28" x14ac:dyDescent="0.3">
      <c r="B29" s="175" t="str">
        <f>'SB 350 Potential'!B$9</f>
        <v>State of CA</v>
      </c>
      <c r="C29" s="45" t="str">
        <f>'SB 350 Potential'!C$9</f>
        <v>Benchmarking &amp; Market Transformation</v>
      </c>
      <c r="D29" s="45" t="str">
        <f>'SB 350 Potential'!D$9</f>
        <v>Behavorial, Retrocommissioning, Operational Savings</v>
      </c>
      <c r="E29" s="45" t="str">
        <f t="shared" si="3"/>
        <v>Reference</v>
      </c>
      <c r="F29" s="193" t="str">
        <f t="shared" ref="F29:F30" si="4">F28</f>
        <v>MM Therms</v>
      </c>
      <c r="G29" s="146">
        <f>Reference!E40</f>
        <v>0.32803900000000003</v>
      </c>
      <c r="H29" s="146">
        <f>Reference!F40</f>
        <v>0.33087100000000003</v>
      </c>
      <c r="I29" s="146">
        <f>Reference!G40</f>
        <v>0.33384459999999999</v>
      </c>
      <c r="J29" s="146">
        <f>Reference!H40</f>
        <v>0.33696688000000002</v>
      </c>
      <c r="K29" s="146">
        <f>Reference!I40</f>
        <v>6.8846274000000013E-2</v>
      </c>
      <c r="L29" s="146">
        <f>Reference!J40</f>
        <v>7.2288587700000018E-2</v>
      </c>
      <c r="M29" s="146">
        <f>Reference!K40</f>
        <v>7.5903017085000024E-2</v>
      </c>
      <c r="N29" s="146">
        <f>Reference!L40</f>
        <v>7.9698167939250025E-2</v>
      </c>
      <c r="O29" s="146">
        <f>Reference!M40</f>
        <v>8.3683076336212525E-2</v>
      </c>
      <c r="P29" s="146">
        <f>Reference!N40</f>
        <v>8.7867230153023154E-2</v>
      </c>
      <c r="Q29" s="146">
        <f>Reference!O40</f>
        <v>9.226059166067431E-2</v>
      </c>
      <c r="R29" s="146">
        <f>Reference!P40</f>
        <v>9.6873621243708033E-2</v>
      </c>
      <c r="S29" s="146">
        <f>Reference!Q40</f>
        <v>0.10171730230589345</v>
      </c>
      <c r="T29" s="146">
        <f>Reference!R40</f>
        <v>0.10680316742118812</v>
      </c>
      <c r="U29" s="174">
        <f>Reference!S40</f>
        <v>0.11214332579224753</v>
      </c>
      <c r="V29" s="3"/>
      <c r="W29" s="3"/>
    </row>
    <row r="30" spans="2:28" ht="15" thickBot="1" x14ac:dyDescent="0.35">
      <c r="B30" s="181" t="str">
        <f>'SB 350 Potential'!B$9</f>
        <v>State of CA</v>
      </c>
      <c r="C30" s="182" t="str">
        <f>'SB 350 Potential'!C$9</f>
        <v>Benchmarking &amp; Market Transformation</v>
      </c>
      <c r="D30" s="182" t="str">
        <f>'SB 350 Potential'!D$9</f>
        <v>Behavorial, Retrocommissioning, Operational Savings</v>
      </c>
      <c r="E30" s="182" t="str">
        <f t="shared" si="3"/>
        <v>Aggressive</v>
      </c>
      <c r="F30" s="196" t="str">
        <f t="shared" si="4"/>
        <v>MM Therms</v>
      </c>
      <c r="G30" s="184">
        <f>Aggressive!E71</f>
        <v>0.32803900000000003</v>
      </c>
      <c r="H30" s="184">
        <f>Aggressive!F71</f>
        <v>0.33087100000000003</v>
      </c>
      <c r="I30" s="184">
        <f>Aggressive!G71</f>
        <v>0.33384459999999999</v>
      </c>
      <c r="J30" s="184">
        <f>Aggressive!H71</f>
        <v>0.33696688000000002</v>
      </c>
      <c r="K30" s="184">
        <f>Aggressive!I71</f>
        <v>1.1719825911760167</v>
      </c>
      <c r="L30" s="184">
        <f>Aggressive!J71</f>
        <v>2.4213575064609376</v>
      </c>
      <c r="M30" s="184">
        <f>Aggressive!K71</f>
        <v>2.4995029413225023</v>
      </c>
      <c r="N30" s="184">
        <f>Aggressive!L71</f>
        <v>2.5602778272645992</v>
      </c>
      <c r="O30" s="184">
        <f>Aggressive!M71</f>
        <v>2.6151579917897632</v>
      </c>
      <c r="P30" s="184">
        <f>Aggressive!N71</f>
        <v>2.6706041646048027</v>
      </c>
      <c r="Q30" s="184">
        <f>Aggressive!O71</f>
        <v>2.7255877599442533</v>
      </c>
      <c r="R30" s="184">
        <f>Aggressive!P71</f>
        <v>2.7840032183331349</v>
      </c>
      <c r="S30" s="184">
        <f>Aggressive!Q71</f>
        <v>2.8407827359257793</v>
      </c>
      <c r="T30" s="184">
        <f>Aggressive!R71</f>
        <v>2.8996410132708683</v>
      </c>
      <c r="U30" s="185">
        <f>Aggressive!S71</f>
        <v>2.9595776267141289</v>
      </c>
      <c r="V30" s="3"/>
      <c r="W30" s="3"/>
    </row>
    <row r="31" spans="2:28" x14ac:dyDescent="0.3">
      <c r="B31" s="135"/>
      <c r="C31" s="135"/>
      <c r="D31" s="135"/>
      <c r="E31" s="135"/>
      <c r="F31" s="135"/>
      <c r="G31" s="135"/>
      <c r="H31" s="135"/>
      <c r="I31" s="135"/>
      <c r="J31" s="135"/>
      <c r="K31" s="135"/>
      <c r="L31" s="135"/>
      <c r="M31" s="135"/>
      <c r="N31" s="135"/>
      <c r="O31" s="135"/>
      <c r="P31" s="135"/>
      <c r="Q31" s="135"/>
      <c r="R31" s="135"/>
      <c r="S31" s="135"/>
      <c r="T31" s="135"/>
      <c r="U31" s="135"/>
      <c r="V31" s="3"/>
      <c r="W31" s="3"/>
    </row>
    <row r="32" spans="2:28" x14ac:dyDescent="0.3">
      <c r="B32" s="135"/>
      <c r="C32" s="135"/>
      <c r="D32" s="135"/>
      <c r="E32" s="135"/>
      <c r="F32" s="135"/>
      <c r="G32" s="135"/>
      <c r="H32" s="135"/>
      <c r="I32" s="135"/>
      <c r="J32" s="135"/>
      <c r="K32" s="135"/>
      <c r="L32" s="135"/>
      <c r="M32" s="135"/>
      <c r="N32" s="135"/>
      <c r="O32" s="135"/>
      <c r="P32" s="135"/>
      <c r="Q32" s="135"/>
      <c r="R32" s="135"/>
      <c r="S32" s="135"/>
      <c r="T32" s="135"/>
      <c r="U32" s="135"/>
      <c r="V32" s="3"/>
      <c r="W32" s="3"/>
    </row>
    <row r="33" spans="2:28" ht="15" thickBot="1" x14ac:dyDescent="0.35">
      <c r="B33" s="135"/>
      <c r="C33" s="135"/>
      <c r="D33" s="135"/>
      <c r="E33" s="135"/>
      <c r="F33" s="135"/>
      <c r="G33" s="135"/>
      <c r="H33" s="135"/>
      <c r="I33" s="135"/>
      <c r="J33" s="135"/>
      <c r="K33" s="135"/>
      <c r="L33" s="135"/>
      <c r="M33" s="135"/>
      <c r="N33" s="135"/>
      <c r="O33" s="135"/>
      <c r="P33" s="135"/>
      <c r="Q33" s="135"/>
      <c r="R33" s="135"/>
      <c r="S33" s="135"/>
      <c r="T33" s="135"/>
      <c r="U33" s="135"/>
      <c r="V33" s="3"/>
      <c r="W33" s="3"/>
    </row>
    <row r="34" spans="2:28" ht="24" thickBot="1" x14ac:dyDescent="0.5">
      <c r="B34" s="320" t="s">
        <v>474</v>
      </c>
      <c r="C34" s="321"/>
      <c r="D34" s="321"/>
      <c r="E34" s="321"/>
      <c r="F34" s="321"/>
      <c r="G34" s="321"/>
      <c r="H34" s="321"/>
      <c r="I34" s="321"/>
      <c r="J34" s="321"/>
      <c r="K34" s="321"/>
      <c r="L34" s="321"/>
      <c r="M34" s="321"/>
      <c r="N34" s="321"/>
      <c r="O34" s="321"/>
      <c r="P34" s="321"/>
      <c r="Q34" s="321"/>
      <c r="R34" s="321"/>
      <c r="S34" s="321"/>
      <c r="T34" s="321"/>
      <c r="U34" s="322"/>
      <c r="V34" s="3"/>
      <c r="W34" s="3"/>
    </row>
    <row r="35" spans="2:28" s="9" customFormat="1" ht="18.600000000000001" thickBot="1" x14ac:dyDescent="0.4">
      <c r="B35" s="197" t="s">
        <v>1</v>
      </c>
      <c r="C35" s="198" t="s">
        <v>14</v>
      </c>
      <c r="D35" s="198" t="s">
        <v>3</v>
      </c>
      <c r="E35" s="198" t="s">
        <v>230</v>
      </c>
      <c r="F35" s="199" t="s">
        <v>37</v>
      </c>
      <c r="G35" s="200">
        <v>2015</v>
      </c>
      <c r="H35" s="200">
        <v>2016</v>
      </c>
      <c r="I35" s="200">
        <v>2017</v>
      </c>
      <c r="J35" s="200">
        <v>2018</v>
      </c>
      <c r="K35" s="200">
        <v>2019</v>
      </c>
      <c r="L35" s="200">
        <v>2020</v>
      </c>
      <c r="M35" s="200">
        <v>2021</v>
      </c>
      <c r="N35" s="200">
        <v>2022</v>
      </c>
      <c r="O35" s="200">
        <v>2023</v>
      </c>
      <c r="P35" s="200">
        <v>2024</v>
      </c>
      <c r="Q35" s="200">
        <v>2025</v>
      </c>
      <c r="R35" s="200">
        <v>2026</v>
      </c>
      <c r="S35" s="200">
        <v>2027</v>
      </c>
      <c r="T35" s="200">
        <v>2028</v>
      </c>
      <c r="U35" s="201">
        <v>2029</v>
      </c>
      <c r="V35" s="20"/>
      <c r="W35" s="20"/>
      <c r="Y35"/>
      <c r="AA35" s="14"/>
      <c r="AB35" s="14"/>
    </row>
    <row r="36" spans="2:28" s="9" customFormat="1" ht="18" x14ac:dyDescent="0.35">
      <c r="B36" s="191" t="s">
        <v>38</v>
      </c>
      <c r="C36" s="192"/>
      <c r="D36" s="192"/>
      <c r="E36" s="192"/>
      <c r="F36" s="192"/>
      <c r="G36" s="323" t="s">
        <v>471</v>
      </c>
      <c r="H36" s="323"/>
      <c r="I36" s="323"/>
      <c r="J36" s="323"/>
      <c r="K36" s="323"/>
      <c r="L36" s="323"/>
      <c r="M36" s="323"/>
      <c r="N36" s="323"/>
      <c r="O36" s="323"/>
      <c r="P36" s="323"/>
      <c r="Q36" s="323"/>
      <c r="R36" s="323"/>
      <c r="S36" s="323"/>
      <c r="T36" s="323"/>
      <c r="U36" s="324"/>
      <c r="V36" s="20"/>
      <c r="W36" s="20"/>
      <c r="AA36" s="14"/>
      <c r="AB36" s="14"/>
    </row>
    <row r="37" spans="2:28" ht="14.4" customHeight="1" x14ac:dyDescent="0.3">
      <c r="B37" s="175" t="str">
        <f>'SB 350 Potential'!B$9</f>
        <v>State of CA</v>
      </c>
      <c r="C37" s="45" t="str">
        <f>'SB 350 Potential'!C$9</f>
        <v>Benchmarking &amp; Market Transformation</v>
      </c>
      <c r="D37" s="45" t="str">
        <f>'SB 350 Potential'!D$9</f>
        <v>Behavorial, Retrocommissioning, Operational Savings</v>
      </c>
      <c r="E37" s="8" t="s">
        <v>374</v>
      </c>
      <c r="F37" s="12" t="s">
        <v>0</v>
      </c>
      <c r="G37" s="146">
        <f>SUM(G9,G23)</f>
        <v>31.561300030884397</v>
      </c>
      <c r="H37" s="146">
        <f t="shared" ref="H37:U38" si="5">SUM(H9,H23)</f>
        <v>38.915342970678964</v>
      </c>
      <c r="I37" s="146">
        <f t="shared" si="5"/>
        <v>46.734015570756831</v>
      </c>
      <c r="J37" s="146">
        <f t="shared" si="5"/>
        <v>55.051404568991813</v>
      </c>
      <c r="K37" s="146">
        <f t="shared" si="5"/>
        <v>66.597740831779419</v>
      </c>
      <c r="L37" s="146">
        <f t="shared" si="5"/>
        <v>83.808013991879477</v>
      </c>
      <c r="M37" s="146">
        <f t="shared" si="5"/>
        <v>119.67161317832495</v>
      </c>
      <c r="N37" s="146">
        <f t="shared" si="5"/>
        <v>133.82857696527725</v>
      </c>
      <c r="O37" s="146">
        <f t="shared" si="5"/>
        <v>147.87041310102478</v>
      </c>
      <c r="P37" s="146">
        <f t="shared" si="5"/>
        <v>161.88890907000598</v>
      </c>
      <c r="Q37" s="146">
        <f t="shared" si="5"/>
        <v>171.43550427391932</v>
      </c>
      <c r="R37" s="146">
        <f t="shared" si="5"/>
        <v>176.71033121777128</v>
      </c>
      <c r="S37" s="146">
        <f t="shared" si="5"/>
        <v>181.38089990467034</v>
      </c>
      <c r="T37" s="146">
        <f t="shared" si="5"/>
        <v>185.76700116679572</v>
      </c>
      <c r="U37" s="174">
        <f>SUM(U9,U23)</f>
        <v>190.14228656466642</v>
      </c>
      <c r="V37" s="22"/>
      <c r="W37" s="3"/>
      <c r="AA37" s="6"/>
      <c r="AB37" s="6"/>
    </row>
    <row r="38" spans="2:28" x14ac:dyDescent="0.3">
      <c r="B38" s="175" t="str">
        <f>'SB 350 Potential'!B$9</f>
        <v>State of CA</v>
      </c>
      <c r="C38" s="45" t="str">
        <f>'SB 350 Potential'!C$9</f>
        <v>Benchmarking &amp; Market Transformation</v>
      </c>
      <c r="D38" s="45" t="str">
        <f>'SB 350 Potential'!D$9</f>
        <v>Behavorial, Retrocommissioning, Operational Savings</v>
      </c>
      <c r="E38" s="45" t="s">
        <v>231</v>
      </c>
      <c r="F38" s="12" t="str">
        <f t="shared" ref="F38:F39" si="6">F37</f>
        <v>GWh</v>
      </c>
      <c r="G38" s="146">
        <f>SUM(G10,G24)</f>
        <v>31.561300030884397</v>
      </c>
      <c r="H38" s="146">
        <f t="shared" si="5"/>
        <v>38.915342970678964</v>
      </c>
      <c r="I38" s="146">
        <f t="shared" si="5"/>
        <v>46.734015570756831</v>
      </c>
      <c r="J38" s="146">
        <f t="shared" si="5"/>
        <v>55.051404568991813</v>
      </c>
      <c r="K38" s="146">
        <f t="shared" si="5"/>
        <v>66.597740831779419</v>
      </c>
      <c r="L38" s="146">
        <f t="shared" si="5"/>
        <v>83.808013991879477</v>
      </c>
      <c r="M38" s="146">
        <f t="shared" si="5"/>
        <v>128.80469683441905</v>
      </c>
      <c r="N38" s="146">
        <f t="shared" si="5"/>
        <v>152.49139112401053</v>
      </c>
      <c r="O38" s="146">
        <f t="shared" si="5"/>
        <v>177.65714915382287</v>
      </c>
      <c r="P38" s="146">
        <f t="shared" si="5"/>
        <v>205.31207279540689</v>
      </c>
      <c r="Q38" s="146">
        <f t="shared" si="5"/>
        <v>234.00238734412915</v>
      </c>
      <c r="R38" s="146">
        <f t="shared" si="5"/>
        <v>257.58206664184354</v>
      </c>
      <c r="S38" s="146">
        <f t="shared" si="5"/>
        <v>282.18579379310302</v>
      </c>
      <c r="T38" s="146">
        <f t="shared" si="5"/>
        <v>307.97647981458965</v>
      </c>
      <c r="U38" s="174">
        <f t="shared" si="5"/>
        <v>335.71325347201844</v>
      </c>
      <c r="V38" s="3"/>
      <c r="W38" s="3"/>
    </row>
    <row r="39" spans="2:28" x14ac:dyDescent="0.3">
      <c r="B39" s="175" t="str">
        <f>'SB 350 Potential'!B$9</f>
        <v>State of CA</v>
      </c>
      <c r="C39" s="45" t="str">
        <f>'SB 350 Potential'!C$9</f>
        <v>Benchmarking &amp; Market Transformation</v>
      </c>
      <c r="D39" s="45" t="str">
        <f>'SB 350 Potential'!D$9</f>
        <v>Behavorial, Retrocommissioning, Operational Savings</v>
      </c>
      <c r="E39" s="45" t="s">
        <v>232</v>
      </c>
      <c r="F39" s="12" t="str">
        <f t="shared" si="6"/>
        <v>GWh</v>
      </c>
      <c r="G39" s="146">
        <f t="shared" ref="G39:U39" si="7">SUM(G11,G25)</f>
        <v>31.561300030884397</v>
      </c>
      <c r="H39" s="146">
        <f t="shared" si="7"/>
        <v>38.915342970678964</v>
      </c>
      <c r="I39" s="146">
        <f t="shared" si="7"/>
        <v>46.734015570756831</v>
      </c>
      <c r="J39" s="146">
        <f t="shared" si="7"/>
        <v>61.109192397433873</v>
      </c>
      <c r="K39" s="146">
        <f t="shared" si="7"/>
        <v>90.45958914810798</v>
      </c>
      <c r="L39" s="146">
        <f t="shared" si="7"/>
        <v>130.36343126445223</v>
      </c>
      <c r="M39" s="146">
        <f t="shared" si="7"/>
        <v>190.73273239462071</v>
      </c>
      <c r="N39" s="146">
        <f t="shared" si="7"/>
        <v>228.20797769916283</v>
      </c>
      <c r="O39" s="146">
        <f t="shared" si="7"/>
        <v>269.2958482071532</v>
      </c>
      <c r="P39" s="146">
        <f t="shared" si="7"/>
        <v>317.92269108633832</v>
      </c>
      <c r="Q39" s="146">
        <f t="shared" si="7"/>
        <v>374.10927738680635</v>
      </c>
      <c r="R39" s="146">
        <f t="shared" si="7"/>
        <v>428.15588632347772</v>
      </c>
      <c r="S39" s="146">
        <f t="shared" si="7"/>
        <v>489.20265302359292</v>
      </c>
      <c r="T39" s="146">
        <f t="shared" si="7"/>
        <v>558.81117009029606</v>
      </c>
      <c r="U39" s="174">
        <f t="shared" si="7"/>
        <v>639.79782546537103</v>
      </c>
      <c r="V39" s="3"/>
      <c r="W39" s="3"/>
    </row>
    <row r="40" spans="2:28" x14ac:dyDescent="0.3">
      <c r="B40" s="175"/>
      <c r="C40" s="45"/>
      <c r="D40" s="45"/>
      <c r="E40" s="45"/>
      <c r="F40" s="193"/>
      <c r="G40" s="146"/>
      <c r="H40" s="146"/>
      <c r="I40" s="146"/>
      <c r="J40" s="146"/>
      <c r="K40" s="146"/>
      <c r="L40" s="146"/>
      <c r="M40" s="146"/>
      <c r="N40" s="146"/>
      <c r="O40" s="146"/>
      <c r="P40" s="146"/>
      <c r="Q40" s="146"/>
      <c r="R40" s="146"/>
      <c r="S40" s="146"/>
      <c r="T40" s="146"/>
      <c r="U40" s="174"/>
      <c r="V40" s="3"/>
      <c r="W40" s="3"/>
    </row>
    <row r="41" spans="2:28" s="9" customFormat="1" ht="18" x14ac:dyDescent="0.35">
      <c r="B41" s="194" t="s">
        <v>39</v>
      </c>
      <c r="C41" s="19"/>
      <c r="D41" s="19"/>
      <c r="E41" s="19"/>
      <c r="F41" s="195"/>
      <c r="G41" s="325" t="s">
        <v>472</v>
      </c>
      <c r="H41" s="325"/>
      <c r="I41" s="325"/>
      <c r="J41" s="325"/>
      <c r="K41" s="325"/>
      <c r="L41" s="325"/>
      <c r="M41" s="325"/>
      <c r="N41" s="325"/>
      <c r="O41" s="325"/>
      <c r="P41" s="325"/>
      <c r="Q41" s="325"/>
      <c r="R41" s="325"/>
      <c r="S41" s="325"/>
      <c r="T41" s="325"/>
      <c r="U41" s="326"/>
      <c r="V41" s="20"/>
      <c r="W41" s="20"/>
      <c r="AA41" s="14"/>
      <c r="AB41" s="14"/>
    </row>
    <row r="42" spans="2:28" ht="14.4" customHeight="1" x14ac:dyDescent="0.3">
      <c r="B42" s="175" t="str">
        <f>'SB 350 Potential'!B$9</f>
        <v>State of CA</v>
      </c>
      <c r="C42" s="45" t="str">
        <f>'SB 350 Potential'!C$9</f>
        <v>Benchmarking &amp; Market Transformation</v>
      </c>
      <c r="D42" s="45" t="str">
        <f>'SB 350 Potential'!D$9</f>
        <v>Behavorial, Retrocommissioning, Operational Savings</v>
      </c>
      <c r="E42" s="8" t="str">
        <f t="shared" ref="E42:E44" si="8">E37</f>
        <v>Conservative</v>
      </c>
      <c r="F42" s="12" t="s">
        <v>4</v>
      </c>
      <c r="G42" s="146">
        <f>SUM(G14,G28)</f>
        <v>0.32803900000000003</v>
      </c>
      <c r="H42" s="146">
        <f t="shared" ref="H42:U42" si="9">SUM(H14,H28)</f>
        <v>0.33087100000000003</v>
      </c>
      <c r="I42" s="146">
        <f t="shared" si="9"/>
        <v>0.33384459999999999</v>
      </c>
      <c r="J42" s="146">
        <f t="shared" si="9"/>
        <v>0.33696688000000002</v>
      </c>
      <c r="K42" s="146">
        <f t="shared" si="9"/>
        <v>6.8846274000000013E-2</v>
      </c>
      <c r="L42" s="146">
        <f t="shared" si="9"/>
        <v>7.2288587700000018E-2</v>
      </c>
      <c r="M42" s="146">
        <f t="shared" si="9"/>
        <v>7.0666895219612391E-2</v>
      </c>
      <c r="N42" s="146">
        <f t="shared" si="9"/>
        <v>6.9045202739224765E-2</v>
      </c>
      <c r="O42" s="146">
        <f t="shared" si="9"/>
        <v>6.7423510258837138E-2</v>
      </c>
      <c r="P42" s="146">
        <f t="shared" si="9"/>
        <v>6.5801817778449512E-2</v>
      </c>
      <c r="Q42" s="146">
        <f t="shared" si="9"/>
        <v>6.4180125298061885E-2</v>
      </c>
      <c r="R42" s="146">
        <f t="shared" si="9"/>
        <v>6.2558432817674259E-2</v>
      </c>
      <c r="S42" s="146">
        <f t="shared" si="9"/>
        <v>6.0936740337286632E-2</v>
      </c>
      <c r="T42" s="146">
        <f t="shared" si="9"/>
        <v>5.9315047856899006E-2</v>
      </c>
      <c r="U42" s="174">
        <f t="shared" si="9"/>
        <v>5.6071662896123767E-2</v>
      </c>
      <c r="V42" s="22"/>
      <c r="W42" s="3"/>
      <c r="AA42" s="6"/>
      <c r="AB42" s="6"/>
    </row>
    <row r="43" spans="2:28" x14ac:dyDescent="0.3">
      <c r="B43" s="175" t="str">
        <f>'SB 350 Potential'!B$9</f>
        <v>State of CA</v>
      </c>
      <c r="C43" s="45" t="str">
        <f>'SB 350 Potential'!C$9</f>
        <v>Benchmarking &amp; Market Transformation</v>
      </c>
      <c r="D43" s="45" t="str">
        <f>'SB 350 Potential'!D$9</f>
        <v>Behavorial, Retrocommissioning, Operational Savings</v>
      </c>
      <c r="E43" s="45" t="str">
        <f t="shared" si="8"/>
        <v>Reference</v>
      </c>
      <c r="F43" s="193" t="str">
        <f t="shared" ref="F43:F44" si="10">F42</f>
        <v>MM Therms</v>
      </c>
      <c r="G43" s="146">
        <f t="shared" ref="G43:U44" si="11">SUM(G15,G29)</f>
        <v>0.32803900000000003</v>
      </c>
      <c r="H43" s="146">
        <f t="shared" si="11"/>
        <v>0.33087100000000003</v>
      </c>
      <c r="I43" s="146">
        <f t="shared" si="11"/>
        <v>0.33384459999999999</v>
      </c>
      <c r="J43" s="146">
        <f t="shared" si="11"/>
        <v>0.33696688000000002</v>
      </c>
      <c r="K43" s="146">
        <f t="shared" si="11"/>
        <v>6.8846274000000013E-2</v>
      </c>
      <c r="L43" s="146">
        <f t="shared" si="11"/>
        <v>7.2288587700000018E-2</v>
      </c>
      <c r="M43" s="146">
        <f t="shared" si="11"/>
        <v>7.5903017085000024E-2</v>
      </c>
      <c r="N43" s="146">
        <f t="shared" si="11"/>
        <v>7.9698167939250025E-2</v>
      </c>
      <c r="O43" s="146">
        <f t="shared" si="11"/>
        <v>8.3683076336212525E-2</v>
      </c>
      <c r="P43" s="146">
        <f t="shared" si="11"/>
        <v>8.7867230153023154E-2</v>
      </c>
      <c r="Q43" s="146">
        <f t="shared" si="11"/>
        <v>9.226059166067431E-2</v>
      </c>
      <c r="R43" s="146">
        <f t="shared" si="11"/>
        <v>9.6873621243708033E-2</v>
      </c>
      <c r="S43" s="146">
        <f t="shared" si="11"/>
        <v>0.10171730230589345</v>
      </c>
      <c r="T43" s="146">
        <f t="shared" si="11"/>
        <v>0.10680316742118812</v>
      </c>
      <c r="U43" s="174">
        <f t="shared" si="11"/>
        <v>0.11214332579224753</v>
      </c>
      <c r="V43" s="3"/>
      <c r="W43" s="3"/>
    </row>
    <row r="44" spans="2:28" ht="15" thickBot="1" x14ac:dyDescent="0.35">
      <c r="B44" s="181" t="str">
        <f>'SB 350 Potential'!B$9</f>
        <v>State of CA</v>
      </c>
      <c r="C44" s="182" t="str">
        <f>'SB 350 Potential'!C$9</f>
        <v>Benchmarking &amp; Market Transformation</v>
      </c>
      <c r="D44" s="182" t="str">
        <f>'SB 350 Potential'!D$9</f>
        <v>Behavorial, Retrocommissioning, Operational Savings</v>
      </c>
      <c r="E44" s="182" t="str">
        <f t="shared" si="8"/>
        <v>Aggressive</v>
      </c>
      <c r="F44" s="196" t="str">
        <f t="shared" si="10"/>
        <v>MM Therms</v>
      </c>
      <c r="G44" s="184">
        <f t="shared" si="11"/>
        <v>0.32803900000000003</v>
      </c>
      <c r="H44" s="184">
        <f t="shared" si="11"/>
        <v>0.33087100000000003</v>
      </c>
      <c r="I44" s="184">
        <f t="shared" si="11"/>
        <v>0.33384459999999999</v>
      </c>
      <c r="J44" s="184">
        <f t="shared" si="11"/>
        <v>0.33696688000000002</v>
      </c>
      <c r="K44" s="184">
        <f t="shared" si="11"/>
        <v>1.1719825911760167</v>
      </c>
      <c r="L44" s="184">
        <f t="shared" si="11"/>
        <v>2.4213575064609376</v>
      </c>
      <c r="M44" s="184">
        <f t="shared" si="11"/>
        <v>2.4995029413225023</v>
      </c>
      <c r="N44" s="184">
        <f t="shared" si="11"/>
        <v>2.5602778272645992</v>
      </c>
      <c r="O44" s="184">
        <f t="shared" si="11"/>
        <v>2.6151579917897632</v>
      </c>
      <c r="P44" s="184">
        <f t="shared" si="11"/>
        <v>2.6706041646048027</v>
      </c>
      <c r="Q44" s="184">
        <f t="shared" si="11"/>
        <v>2.7255877599442533</v>
      </c>
      <c r="R44" s="184">
        <f t="shared" si="11"/>
        <v>2.7840032183331349</v>
      </c>
      <c r="S44" s="184">
        <f t="shared" si="11"/>
        <v>2.8407827359257793</v>
      </c>
      <c r="T44" s="184">
        <f t="shared" si="11"/>
        <v>2.8996410132708683</v>
      </c>
      <c r="U44" s="185">
        <f t="shared" si="11"/>
        <v>2.9595776267141289</v>
      </c>
      <c r="V44" s="3"/>
      <c r="W44" s="3"/>
    </row>
    <row r="45" spans="2:28" x14ac:dyDescent="0.3">
      <c r="B45" s="3"/>
      <c r="C45" s="3"/>
      <c r="D45" s="3"/>
      <c r="E45" s="3"/>
      <c r="F45" s="3"/>
      <c r="G45" s="3"/>
      <c r="H45" s="3"/>
      <c r="I45" s="3"/>
      <c r="J45" s="3"/>
      <c r="K45" s="3"/>
      <c r="L45" s="3"/>
      <c r="M45" s="3"/>
      <c r="N45" s="3"/>
      <c r="O45" s="3"/>
      <c r="P45" s="3"/>
      <c r="Q45" s="3"/>
      <c r="R45" s="3"/>
      <c r="S45" s="3"/>
      <c r="T45" s="3"/>
      <c r="U45" s="3"/>
      <c r="V45" s="3"/>
      <c r="W45" s="3"/>
    </row>
    <row r="46" spans="2:28" x14ac:dyDescent="0.3">
      <c r="B46" s="3"/>
      <c r="C46" s="3"/>
      <c r="D46" s="3"/>
      <c r="E46" s="3"/>
      <c r="F46" s="3"/>
      <c r="G46" s="3"/>
      <c r="H46" s="3"/>
      <c r="I46" s="3"/>
      <c r="J46" s="3"/>
      <c r="K46" s="3"/>
      <c r="L46" s="3"/>
      <c r="M46" s="3"/>
      <c r="N46" s="3"/>
      <c r="O46" s="3"/>
      <c r="P46" s="3"/>
      <c r="Q46" s="3"/>
      <c r="R46" s="3"/>
      <c r="S46" s="3"/>
      <c r="T46" s="3"/>
      <c r="U46" s="3"/>
      <c r="V46" s="3"/>
      <c r="W46" s="3"/>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40"/>
  <sheetViews>
    <sheetView topLeftCell="C1" zoomScale="55" zoomScaleNormal="55" workbookViewId="0">
      <selection activeCell="L62" sqref="L62"/>
    </sheetView>
  </sheetViews>
  <sheetFormatPr defaultColWidth="8.88671875" defaultRowHeight="14.4" x14ac:dyDescent="0.3"/>
  <cols>
    <col min="2" max="2" width="29.21875" customWidth="1"/>
    <col min="3" max="3" width="56.33203125" customWidth="1"/>
    <col min="4" max="4" width="75.88671875" style="82" bestFit="1" customWidth="1"/>
    <col min="5" max="16" width="16" customWidth="1"/>
    <col min="17" max="17" width="8.88671875" customWidth="1"/>
  </cols>
  <sheetData>
    <row r="1" spans="2:22" ht="23.4" x14ac:dyDescent="0.45">
      <c r="B1" s="167" t="s">
        <v>28</v>
      </c>
      <c r="C1" s="167" t="str">
        <f>'Program Analysis'!C3</f>
        <v>Behavorial, Retrocommissioning, Operational Savings</v>
      </c>
    </row>
    <row r="2" spans="2:22" ht="23.4" x14ac:dyDescent="0.45">
      <c r="B2" s="167" t="s">
        <v>469</v>
      </c>
      <c r="C2" s="167" t="s">
        <v>231</v>
      </c>
    </row>
    <row r="6" spans="2:22" ht="23.4" x14ac:dyDescent="0.45">
      <c r="B6" s="167"/>
      <c r="C6" s="167"/>
      <c r="D6" s="209"/>
      <c r="E6" s="3"/>
      <c r="F6" s="3"/>
      <c r="G6" s="3"/>
      <c r="H6" s="3"/>
      <c r="I6" s="3"/>
      <c r="J6" s="3"/>
      <c r="K6" s="3"/>
      <c r="L6" s="3"/>
      <c r="M6" s="3"/>
      <c r="N6" s="3"/>
      <c r="O6" s="3"/>
      <c r="P6" s="3"/>
      <c r="Q6" s="3"/>
      <c r="R6" s="3"/>
      <c r="S6" s="3"/>
      <c r="T6" s="3"/>
    </row>
    <row r="7" spans="2:22" ht="24" thickBot="1" x14ac:dyDescent="0.5">
      <c r="B7" s="335" t="s">
        <v>231</v>
      </c>
      <c r="C7" s="335"/>
      <c r="D7" s="335"/>
      <c r="E7" s="335"/>
      <c r="F7" s="335"/>
      <c r="G7" s="335"/>
      <c r="H7" s="335"/>
      <c r="I7" s="335"/>
      <c r="J7" s="335"/>
      <c r="K7" s="335"/>
      <c r="L7" s="335"/>
      <c r="M7" s="335"/>
      <c r="N7" s="335"/>
      <c r="O7" s="335"/>
      <c r="P7" s="335"/>
      <c r="Q7" s="335"/>
      <c r="R7" s="335"/>
      <c r="S7" s="335"/>
      <c r="T7" s="3"/>
    </row>
    <row r="8" spans="2:22" ht="18" x14ac:dyDescent="0.35">
      <c r="B8" s="279" t="s">
        <v>91</v>
      </c>
      <c r="C8" s="216" t="s">
        <v>482</v>
      </c>
      <c r="D8" s="217" t="s">
        <v>479</v>
      </c>
      <c r="E8" s="216">
        <v>2015</v>
      </c>
      <c r="F8" s="216">
        <v>2016</v>
      </c>
      <c r="G8" s="216">
        <v>2017</v>
      </c>
      <c r="H8" s="216">
        <v>2018</v>
      </c>
      <c r="I8" s="216">
        <v>2019</v>
      </c>
      <c r="J8" s="216">
        <v>2020</v>
      </c>
      <c r="K8" s="216">
        <v>2021</v>
      </c>
      <c r="L8" s="216">
        <v>2022</v>
      </c>
      <c r="M8" s="216">
        <v>2023</v>
      </c>
      <c r="N8" s="216">
        <v>2024</v>
      </c>
      <c r="O8" s="216">
        <v>2025</v>
      </c>
      <c r="P8" s="216">
        <v>2026</v>
      </c>
      <c r="Q8" s="192">
        <v>2027</v>
      </c>
      <c r="R8" s="192">
        <v>2028</v>
      </c>
      <c r="S8" s="218">
        <v>2029</v>
      </c>
      <c r="T8" s="20"/>
      <c r="U8" s="9"/>
    </row>
    <row r="9" spans="2:22" ht="18" x14ac:dyDescent="0.35">
      <c r="B9" s="248" t="s">
        <v>487</v>
      </c>
      <c r="C9" s="15"/>
      <c r="D9" s="210"/>
      <c r="E9" s="336" t="s">
        <v>481</v>
      </c>
      <c r="F9" s="336"/>
      <c r="G9" s="336"/>
      <c r="H9" s="336"/>
      <c r="I9" s="336"/>
      <c r="J9" s="336"/>
      <c r="K9" s="336"/>
      <c r="L9" s="336"/>
      <c r="M9" s="336"/>
      <c r="N9" s="336"/>
      <c r="O9" s="336"/>
      <c r="P9" s="336"/>
      <c r="Q9" s="336"/>
      <c r="R9" s="336"/>
      <c r="S9" s="337"/>
      <c r="T9" s="20"/>
      <c r="U9" s="9"/>
      <c r="V9" s="9"/>
    </row>
    <row r="10" spans="2:22" x14ac:dyDescent="0.3">
      <c r="B10" s="275" t="s">
        <v>488</v>
      </c>
      <c r="C10" s="3" t="s">
        <v>390</v>
      </c>
      <c r="D10" s="211" t="s">
        <v>389</v>
      </c>
      <c r="E10" s="138">
        <f>'2018 PGT BRO 0609 for 2015-17'!C23</f>
        <v>160.03722872343201</v>
      </c>
      <c r="F10" s="138">
        <f>'2018 PGT BRO 0609 for 2015-17'!D23</f>
        <v>176.05503155447209</v>
      </c>
      <c r="G10" s="138">
        <f>'2018 PGT BRO 0609 for 2015-17'!E23</f>
        <v>193.75852461504107</v>
      </c>
      <c r="H10" s="138">
        <f>'arch 2018 PGT BRO 0609'!C18</f>
        <v>213.33293889958455</v>
      </c>
      <c r="I10" s="138">
        <f>'arch 2018 PGT BRO 0609'!D18</f>
        <v>238.07832818587636</v>
      </c>
      <c r="J10" s="138">
        <f>'arch 2018 PGT BRO 0609'!E18</f>
        <v>267.68150109539738</v>
      </c>
      <c r="K10" s="138">
        <f>'arch 2018 PGT BRO 0609'!F18</f>
        <v>300.51396850302132</v>
      </c>
      <c r="L10" s="138">
        <f>'arch 2018 PGT BRO 0609'!G18</f>
        <v>322.89867903165697</v>
      </c>
      <c r="M10" s="138">
        <f>'arch 2018 PGT BRO 0609'!H18</f>
        <v>343.90152944947823</v>
      </c>
      <c r="N10" s="138">
        <f>'arch 2018 PGT BRO 0609'!I18</f>
        <v>365.59502399322031</v>
      </c>
      <c r="O10" s="138">
        <f>'arch 2018 PGT BRO 0609'!J18</f>
        <v>398.00431271956984</v>
      </c>
      <c r="P10" s="138">
        <f>'arch 2018 PGT BRO 0609'!K18</f>
        <v>423.9770642682376</v>
      </c>
      <c r="Q10" s="138">
        <f>'arch 2018 PGT BRO 0609'!L18</f>
        <v>450.60678612248739</v>
      </c>
      <c r="R10" s="138">
        <f>'arch 2018 PGT BRO 0609'!M18</f>
        <v>477.81531920844083</v>
      </c>
      <c r="S10" s="219">
        <f>'arch 2018 PGT BRO 0609'!N18</f>
        <v>505.78726214499522</v>
      </c>
      <c r="T10" s="3"/>
    </row>
    <row r="11" spans="2:22" x14ac:dyDescent="0.3">
      <c r="B11" s="249" t="s">
        <v>52</v>
      </c>
      <c r="C11" s="3" t="s">
        <v>391</v>
      </c>
      <c r="D11" s="212" t="s">
        <v>372</v>
      </c>
      <c r="E11" s="151">
        <f>'POU BRO savings'!H$12</f>
        <v>23.666630999999999</v>
      </c>
      <c r="F11" s="151">
        <f>'POU BRO savings'!I$12</f>
        <v>26.033294099999999</v>
      </c>
      <c r="G11" s="151">
        <f>'POU BRO savings'!J$12</f>
        <v>28.63662351</v>
      </c>
      <c r="H11" s="151">
        <f>'POU BRO savings'!K$12</f>
        <v>31.500285861000002</v>
      </c>
      <c r="I11" s="151">
        <f>'POU BRO savings'!L$12</f>
        <v>40.119978938395491</v>
      </c>
      <c r="J11" s="151">
        <f>'POU BRO savings'!M$12</f>
        <v>49.975440556486433</v>
      </c>
      <c r="K11" s="151">
        <f>'POU BRO savings'!N$12</f>
        <v>76.975400434426462</v>
      </c>
      <c r="L11" s="151">
        <f>'POU BRO savings'!O$12</f>
        <v>81.959372465134109</v>
      </c>
      <c r="M11" s="151">
        <f>'POU BRO savings'!P$12</f>
        <v>86.301115880160935</v>
      </c>
      <c r="N11" s="151">
        <f>'POU BRO savings'!Q$12</f>
        <v>90.714166064914551</v>
      </c>
      <c r="O11" s="151">
        <f>'POU BRO savings'!R$12</f>
        <v>95.539547632073493</v>
      </c>
      <c r="P11" s="151">
        <f>'POU BRO savings'!S$12</f>
        <v>100.23828024709762</v>
      </c>
      <c r="Q11" s="151">
        <f>'POU BRO savings'!T$12</f>
        <v>105.10148230163104</v>
      </c>
      <c r="R11" s="151">
        <f>'POU BRO savings'!U$12</f>
        <v>109.7166277068321</v>
      </c>
      <c r="S11" s="220">
        <f>'POU BRO savings'!V$12</f>
        <v>114.20146792010956</v>
      </c>
      <c r="T11" s="3"/>
    </row>
    <row r="12" spans="2:22" s="236" customFormat="1" x14ac:dyDescent="0.3">
      <c r="B12" s="249" t="s">
        <v>483</v>
      </c>
      <c r="C12" s="238" t="s">
        <v>391</v>
      </c>
      <c r="D12" s="212" t="s">
        <v>372</v>
      </c>
      <c r="E12" s="266">
        <f>'POU BRO savings'!H$26</f>
        <v>4.7513925308843969</v>
      </c>
      <c r="F12" s="266">
        <f>'POU BRO savings'!I$26</f>
        <v>4.9684918397945719</v>
      </c>
      <c r="G12" s="266">
        <f>'POU BRO savings'!J$26</f>
        <v>5.1955107900778632</v>
      </c>
      <c r="H12" s="266">
        <f>'POU BRO savings'!K$26</f>
        <v>5.4329026272349825</v>
      </c>
      <c r="I12" s="266">
        <f>'POU BRO savings'!L$26</f>
        <v>5.6702944643921018</v>
      </c>
      <c r="J12" s="266">
        <f>'POU BRO savings'!M$26</f>
        <v>12.08324559084353</v>
      </c>
      <c r="K12" s="266">
        <f>'POU BRO savings'!N$26</f>
        <v>23.195922399913968</v>
      </c>
      <c r="L12" s="266">
        <f>'POU BRO savings'!O$26</f>
        <v>25.673520545418224</v>
      </c>
      <c r="M12" s="266">
        <f>'POU BRO savings'!P$26</f>
        <v>28.332727269665128</v>
      </c>
      <c r="N12" s="266">
        <f>'POU BRO savings'!Q$26</f>
        <v>31.150841932825546</v>
      </c>
      <c r="O12" s="266">
        <f>'POU BRO savings'!R$26</f>
        <v>37.128556607783096</v>
      </c>
      <c r="P12" s="266">
        <f>'POU BRO savings'!S$26</f>
        <v>41.087407842314896</v>
      </c>
      <c r="Q12" s="266">
        <f>'POU BRO savings'!T$26</f>
        <v>45.100779739198082</v>
      </c>
      <c r="R12" s="266">
        <f>'POU BRO savings'!U$26</f>
        <v>49.555145362648183</v>
      </c>
      <c r="S12" s="220">
        <f>'POU BRO savings'!V$26</f>
        <v>54.394286128222163</v>
      </c>
      <c r="T12" s="238"/>
    </row>
    <row r="13" spans="2:22" x14ac:dyDescent="0.3">
      <c r="B13" s="249" t="s">
        <v>52</v>
      </c>
      <c r="C13" s="3" t="s">
        <v>392</v>
      </c>
      <c r="D13" s="211" t="s">
        <v>399</v>
      </c>
      <c r="E13" s="136">
        <f>'MAS savings'!$G12+'Res P4P'!J6</f>
        <v>3.1432764999999998</v>
      </c>
      <c r="F13" s="136">
        <f>'MAS savings'!$G12+'Res P4P'!K6</f>
        <v>3.1621644999999998</v>
      </c>
      <c r="G13" s="136">
        <f>'MAS savings'!$G12+'Res P4P'!L6</f>
        <v>3.1819969000000001</v>
      </c>
      <c r="H13" s="136">
        <f>'MAS savings'!$G12+'Res P4P'!M6</f>
        <v>3.2028209199999997</v>
      </c>
      <c r="I13" s="135">
        <f>'Res P4P'!N6</f>
        <v>0.45916964100000007</v>
      </c>
      <c r="J13" s="135">
        <f>'Res P4P'!O6</f>
        <v>0.48212812305000008</v>
      </c>
      <c r="K13" s="135">
        <f>'Res P4P'!P6</f>
        <v>0.50623452920250012</v>
      </c>
      <c r="L13" s="135">
        <f>'Res P4P'!Q6</f>
        <v>0.53154625566262514</v>
      </c>
      <c r="M13" s="135">
        <f>'Res P4P'!R6</f>
        <v>0.55812356844575639</v>
      </c>
      <c r="N13" s="135">
        <f>'Res P4P'!S6</f>
        <v>0.58602974686804421</v>
      </c>
      <c r="O13" s="135">
        <f>'Res P4P'!T6</f>
        <v>0.61533123421144642</v>
      </c>
      <c r="P13" s="135">
        <f>'Res P4P'!U6</f>
        <v>0.64609779592201877</v>
      </c>
      <c r="Q13" s="135">
        <f>'Res P4P'!V6</f>
        <v>0.67840268571811979</v>
      </c>
      <c r="R13" s="135">
        <f>'Res P4P'!W6</f>
        <v>0.7123228200040258</v>
      </c>
      <c r="S13" s="221">
        <f>'Res P4P'!X6</f>
        <v>0.74793896100422708</v>
      </c>
      <c r="T13" s="3"/>
    </row>
    <row r="14" spans="2:22" x14ac:dyDescent="0.3">
      <c r="B14" s="249"/>
      <c r="C14" s="137" t="s">
        <v>478</v>
      </c>
      <c r="D14" s="208"/>
      <c r="E14" s="139">
        <f>SUM(E11:E13)</f>
        <v>31.561300030884397</v>
      </c>
      <c r="F14" s="139">
        <f t="shared" ref="F14:S14" si="0">SUM(F11:F13)</f>
        <v>34.163950439794576</v>
      </c>
      <c r="G14" s="139">
        <f t="shared" si="0"/>
        <v>37.014131200077863</v>
      </c>
      <c r="H14" s="139">
        <f t="shared" si="0"/>
        <v>40.136009408234983</v>
      </c>
      <c r="I14" s="139">
        <f t="shared" si="0"/>
        <v>46.249443043787593</v>
      </c>
      <c r="J14" s="139">
        <f t="shared" si="0"/>
        <v>62.540814270379968</v>
      </c>
      <c r="K14" s="139">
        <f t="shared" si="0"/>
        <v>100.67755736354293</v>
      </c>
      <c r="L14" s="139">
        <f t="shared" si="0"/>
        <v>108.16443926621496</v>
      </c>
      <c r="M14" s="139">
        <f t="shared" si="0"/>
        <v>115.19196671827181</v>
      </c>
      <c r="N14" s="139">
        <f t="shared" si="0"/>
        <v>122.45103774460814</v>
      </c>
      <c r="O14" s="139">
        <f t="shared" si="0"/>
        <v>133.28343547406803</v>
      </c>
      <c r="P14" s="139">
        <f t="shared" si="0"/>
        <v>141.97178588533455</v>
      </c>
      <c r="Q14" s="139">
        <f t="shared" si="0"/>
        <v>150.88066472654722</v>
      </c>
      <c r="R14" s="139">
        <f t="shared" si="0"/>
        <v>159.98409588948431</v>
      </c>
      <c r="S14" s="222">
        <f t="shared" si="0"/>
        <v>169.34369300933596</v>
      </c>
      <c r="T14" s="3"/>
    </row>
    <row r="15" spans="2:22" ht="18" x14ac:dyDescent="0.35">
      <c r="B15" s="248" t="s">
        <v>487</v>
      </c>
      <c r="C15" s="15"/>
      <c r="D15" s="210"/>
      <c r="E15" s="336" t="s">
        <v>480</v>
      </c>
      <c r="F15" s="336"/>
      <c r="G15" s="336"/>
      <c r="H15" s="336"/>
      <c r="I15" s="336"/>
      <c r="J15" s="336"/>
      <c r="K15" s="336"/>
      <c r="L15" s="336"/>
      <c r="M15" s="336"/>
      <c r="N15" s="336"/>
      <c r="O15" s="336"/>
      <c r="P15" s="336"/>
      <c r="Q15" s="336"/>
      <c r="R15" s="336"/>
      <c r="S15" s="337"/>
      <c r="T15" s="20"/>
      <c r="U15" s="9"/>
      <c r="V15" s="9"/>
    </row>
    <row r="16" spans="2:22" x14ac:dyDescent="0.3">
      <c r="B16" s="275" t="s">
        <v>488</v>
      </c>
      <c r="C16" s="3" t="s">
        <v>390</v>
      </c>
      <c r="D16" s="211" t="s">
        <v>389</v>
      </c>
      <c r="E16" s="262">
        <f>'2018 PGT BRO 0609 for 2015-17'!C100</f>
        <v>10.397278230618261</v>
      </c>
      <c r="F16" s="262">
        <f>'2018 PGT BRO 0609 for 2015-17'!D100</f>
        <v>10.889159690267411</v>
      </c>
      <c r="G16" s="262">
        <f>'2018 PGT BRO 0609 for 2015-17'!E100</f>
        <v>11.411072094815994</v>
      </c>
      <c r="H16" s="262">
        <f>'2018 PGT BRO 0609 for 2015-17'!F100</f>
        <v>11.965790059684478</v>
      </c>
      <c r="I16" s="262">
        <f>'2018 PGT BRO 0609 for 2015-17'!G100</f>
        <v>12.72312955308446</v>
      </c>
      <c r="J16" s="262">
        <f>'2018 PGT BRO 0609 for 2015-17'!H100</f>
        <v>13.676384936537296</v>
      </c>
      <c r="K16" s="262">
        <f>'2018 PGT BRO 0609 for 2015-17'!I100</f>
        <v>14.626339491855031</v>
      </c>
      <c r="L16" s="262">
        <f>'2018 PGT BRO 0609 for 2015-17'!J100</f>
        <v>15.342857403191523</v>
      </c>
      <c r="M16" s="262">
        <f>'2018 PGT BRO 0609 for 2015-17'!K100</f>
        <v>16.014994324576293</v>
      </c>
      <c r="N16" s="262">
        <f>'2018 PGT BRO 0609 for 2015-17'!L100</f>
        <v>16.716929161777539</v>
      </c>
      <c r="O16" s="262">
        <f>'2018 PGT BRO 0609 for 2015-17'!M100</f>
        <v>17.524400211847027</v>
      </c>
      <c r="P16" s="262">
        <f>'2018 PGT BRO 0609 for 2015-17'!N100</f>
        <v>18.324067028322222</v>
      </c>
      <c r="Q16" s="262">
        <f>'2018 PGT BRO 0609 for 2015-17'!O100</f>
        <v>19.139740307751044</v>
      </c>
      <c r="R16" s="262">
        <f>'2018 PGT BRO 0609 for 2015-17'!P100</f>
        <v>20.012499438913935</v>
      </c>
      <c r="S16" s="223">
        <f>'2018 PGT BRO 0609 for 2015-17'!Q100</f>
        <v>20.916223554496412</v>
      </c>
      <c r="T16" s="3"/>
    </row>
    <row r="17" spans="2:22" x14ac:dyDescent="0.3">
      <c r="B17" s="249" t="s">
        <v>52</v>
      </c>
      <c r="C17" s="3" t="s">
        <v>391</v>
      </c>
      <c r="D17" s="214" t="s">
        <v>398</v>
      </c>
      <c r="E17" s="262">
        <v>0</v>
      </c>
      <c r="F17" s="262">
        <v>0</v>
      </c>
      <c r="G17" s="262">
        <v>0</v>
      </c>
      <c r="H17" s="262">
        <v>0</v>
      </c>
      <c r="I17" s="262">
        <v>0</v>
      </c>
      <c r="J17" s="262">
        <v>0</v>
      </c>
      <c r="K17" s="262">
        <v>0</v>
      </c>
      <c r="L17" s="262">
        <v>0</v>
      </c>
      <c r="M17" s="262">
        <v>0</v>
      </c>
      <c r="N17" s="262">
        <v>0</v>
      </c>
      <c r="O17" s="262">
        <v>0</v>
      </c>
      <c r="P17" s="262">
        <v>0</v>
      </c>
      <c r="Q17" s="262">
        <v>0</v>
      </c>
      <c r="R17" s="262">
        <v>0</v>
      </c>
      <c r="S17" s="223">
        <v>0</v>
      </c>
      <c r="T17" s="3"/>
    </row>
    <row r="18" spans="2:22" x14ac:dyDescent="0.3">
      <c r="B18" s="249" t="s">
        <v>52</v>
      </c>
      <c r="C18" s="3" t="s">
        <v>392</v>
      </c>
      <c r="D18" s="211" t="s">
        <v>399</v>
      </c>
      <c r="E18" s="262">
        <f>'MAS savings'!$H$11+'Res P4P'!Z6</f>
        <v>0.32803900000000003</v>
      </c>
      <c r="F18" s="262">
        <f>'MAS savings'!$H$11+'Res P4P'!AA6</f>
        <v>0.33087100000000003</v>
      </c>
      <c r="G18" s="262">
        <f>'MAS savings'!$H$11+'Res P4P'!AB6</f>
        <v>0.33384459999999999</v>
      </c>
      <c r="H18" s="262">
        <f>'MAS savings'!$H$11+'Res P4P'!AC6</f>
        <v>0.33696688000000002</v>
      </c>
      <c r="I18" s="262">
        <f>'Res P4P'!AD6</f>
        <v>6.8846274000000013E-2</v>
      </c>
      <c r="J18" s="262">
        <f>'Res P4P'!AE6</f>
        <v>7.2288587700000018E-2</v>
      </c>
      <c r="K18" s="262">
        <f>'Res P4P'!AF6</f>
        <v>7.5903017085000024E-2</v>
      </c>
      <c r="L18" s="262">
        <f>'Res P4P'!AG6</f>
        <v>7.9698167939250025E-2</v>
      </c>
      <c r="M18" s="262">
        <f>'Res P4P'!AH6</f>
        <v>8.3683076336212525E-2</v>
      </c>
      <c r="N18" s="262">
        <f>'Res P4P'!AI6</f>
        <v>8.7867230153023154E-2</v>
      </c>
      <c r="O18" s="262">
        <f>'Res P4P'!AJ6</f>
        <v>9.226059166067431E-2</v>
      </c>
      <c r="P18" s="262">
        <f>'Res P4P'!AK6</f>
        <v>9.6873621243708033E-2</v>
      </c>
      <c r="Q18" s="262">
        <f>'Res P4P'!AL6</f>
        <v>0.10171730230589345</v>
      </c>
      <c r="R18" s="262">
        <f>'Res P4P'!AM6</f>
        <v>0.10680316742118812</v>
      </c>
      <c r="S18" s="223">
        <f>'Res P4P'!AN6</f>
        <v>0.11214332579224753</v>
      </c>
      <c r="T18" s="3"/>
    </row>
    <row r="19" spans="2:22" ht="15" thickBot="1" x14ac:dyDescent="0.35">
      <c r="B19" s="23"/>
      <c r="C19" s="224" t="s">
        <v>478</v>
      </c>
      <c r="D19" s="225"/>
      <c r="E19" s="271">
        <f t="shared" ref="E19:S19" si="1">SUM(E17:E18)</f>
        <v>0.32803900000000003</v>
      </c>
      <c r="F19" s="271">
        <f t="shared" si="1"/>
        <v>0.33087100000000003</v>
      </c>
      <c r="G19" s="271">
        <f t="shared" si="1"/>
        <v>0.33384459999999999</v>
      </c>
      <c r="H19" s="271">
        <f t="shared" si="1"/>
        <v>0.33696688000000002</v>
      </c>
      <c r="I19" s="271">
        <f t="shared" si="1"/>
        <v>6.8846274000000013E-2</v>
      </c>
      <c r="J19" s="271">
        <f t="shared" si="1"/>
        <v>7.2288587700000018E-2</v>
      </c>
      <c r="K19" s="271">
        <f t="shared" si="1"/>
        <v>7.5903017085000024E-2</v>
      </c>
      <c r="L19" s="271">
        <f t="shared" si="1"/>
        <v>7.9698167939250025E-2</v>
      </c>
      <c r="M19" s="271">
        <f t="shared" si="1"/>
        <v>8.3683076336212525E-2</v>
      </c>
      <c r="N19" s="271">
        <f t="shared" si="1"/>
        <v>8.7867230153023154E-2</v>
      </c>
      <c r="O19" s="271">
        <f t="shared" si="1"/>
        <v>9.226059166067431E-2</v>
      </c>
      <c r="P19" s="271">
        <f t="shared" si="1"/>
        <v>9.6873621243708033E-2</v>
      </c>
      <c r="Q19" s="271">
        <f t="shared" si="1"/>
        <v>0.10171730230589345</v>
      </c>
      <c r="R19" s="271">
        <f t="shared" si="1"/>
        <v>0.10680316742118812</v>
      </c>
      <c r="S19" s="272">
        <f t="shared" si="1"/>
        <v>0.11214332579224753</v>
      </c>
      <c r="T19" s="3"/>
    </row>
    <row r="20" spans="2:22" ht="18" x14ac:dyDescent="0.35">
      <c r="B20" s="279" t="s">
        <v>91</v>
      </c>
      <c r="C20" s="216" t="s">
        <v>482</v>
      </c>
      <c r="D20" s="217" t="s">
        <v>479</v>
      </c>
      <c r="E20" s="216">
        <v>2015</v>
      </c>
      <c r="F20" s="216">
        <v>2016</v>
      </c>
      <c r="G20" s="216">
        <v>2017</v>
      </c>
      <c r="H20" s="216">
        <v>2018</v>
      </c>
      <c r="I20" s="216">
        <v>2019</v>
      </c>
      <c r="J20" s="216">
        <v>2020</v>
      </c>
      <c r="K20" s="216">
        <v>2021</v>
      </c>
      <c r="L20" s="216">
        <v>2022</v>
      </c>
      <c r="M20" s="216">
        <v>2023</v>
      </c>
      <c r="N20" s="216">
        <v>2024</v>
      </c>
      <c r="O20" s="216">
        <v>2025</v>
      </c>
      <c r="P20" s="216">
        <v>2026</v>
      </c>
      <c r="Q20" s="192">
        <v>2027</v>
      </c>
      <c r="R20" s="192">
        <v>2028</v>
      </c>
      <c r="S20" s="218">
        <v>2029</v>
      </c>
      <c r="T20" s="20"/>
      <c r="U20" s="9"/>
    </row>
    <row r="21" spans="2:22" ht="18" x14ac:dyDescent="0.35">
      <c r="B21" s="246" t="s">
        <v>409</v>
      </c>
      <c r="C21" s="16"/>
      <c r="D21" s="215"/>
      <c r="E21" s="333" t="s">
        <v>481</v>
      </c>
      <c r="F21" s="333"/>
      <c r="G21" s="333"/>
      <c r="H21" s="333"/>
      <c r="I21" s="333"/>
      <c r="J21" s="333"/>
      <c r="K21" s="333"/>
      <c r="L21" s="333"/>
      <c r="M21" s="333"/>
      <c r="N21" s="333"/>
      <c r="O21" s="333"/>
      <c r="P21" s="333"/>
      <c r="Q21" s="333"/>
      <c r="R21" s="333"/>
      <c r="S21" s="334"/>
      <c r="T21" s="20"/>
      <c r="U21" s="9"/>
      <c r="V21" s="9"/>
    </row>
    <row r="22" spans="2:22" x14ac:dyDescent="0.3">
      <c r="B22" s="275" t="s">
        <v>488</v>
      </c>
      <c r="C22" s="3" t="str">
        <f>C10</f>
        <v>Bottom Wedge: IOU Programs in 2018 PG</v>
      </c>
      <c r="D22" s="211" t="str">
        <f>D10</f>
        <v>From 2018 PG: Reference</v>
      </c>
      <c r="E22" s="150">
        <f>'2018 PGT BRO 0609 for 2015-17'!C24</f>
        <v>160.03722872343201</v>
      </c>
      <c r="F22" s="150">
        <f>'2018 PGT BRO 0609 for 2015-17'!D24</f>
        <v>203.05869848810229</v>
      </c>
      <c r="G22" s="150">
        <f>'2018 PGT BRO 0609 for 2015-17'!E24</f>
        <v>250.40726447837631</v>
      </c>
      <c r="H22" s="150">
        <f>'2018 PGT BRO 0609 for 2015-17'!F24</f>
        <v>302.60886406694163</v>
      </c>
      <c r="I22" s="150">
        <f>'2018 PGT BRO 0609 for 2015-17'!G24</f>
        <v>363.35425157011497</v>
      </c>
      <c r="J22" s="150">
        <f>'2018 PGT BRO 0609 for 2015-17'!H24</f>
        <v>409.15990392170028</v>
      </c>
      <c r="K22" s="150">
        <f>'2018 PGT BRO 0609 for 2015-17'!I24</f>
        <v>466.80609410391725</v>
      </c>
      <c r="L22" s="150">
        <f>'2018 PGT BRO 0609 for 2015-17'!J24</f>
        <v>521.00512568793954</v>
      </c>
      <c r="M22" s="150">
        <f>'2018 PGT BRO 0609 for 2015-17'!K24</f>
        <v>577.49902887726989</v>
      </c>
      <c r="N22" s="150">
        <f>'2018 PGT BRO 0609 for 2015-17'!L24</f>
        <v>637.81574492970242</v>
      </c>
      <c r="O22" s="150">
        <f>'2018 PGT BRO 0609 for 2015-17'!M24</f>
        <v>704.83015798182259</v>
      </c>
      <c r="P22" s="150">
        <f>'2018 PGT BRO 0609 for 2015-17'!N24</f>
        <v>772.0516860294573</v>
      </c>
      <c r="Q22" s="150">
        <f>'2018 PGT BRO 0609 for 2015-17'!O24</f>
        <v>844.52217332215469</v>
      </c>
      <c r="R22" s="150">
        <f>'2018 PGT BRO 0609 for 2015-17'!P24</f>
        <v>921.79247098375697</v>
      </c>
      <c r="S22" s="226">
        <f>'2018 PGT BRO 0609 for 2015-17'!Q24</f>
        <v>1004.8959435330426</v>
      </c>
      <c r="T22" s="3"/>
    </row>
    <row r="23" spans="2:22" s="236" customFormat="1" x14ac:dyDescent="0.3">
      <c r="B23" s="249" t="s">
        <v>52</v>
      </c>
      <c r="C23" s="238" t="s">
        <v>391</v>
      </c>
      <c r="D23" s="212" t="s">
        <v>372</v>
      </c>
      <c r="E23" s="266">
        <f>'POU BRO savings'!H$12</f>
        <v>23.666630999999999</v>
      </c>
      <c r="F23" s="266">
        <f>'POU BRO savings'!I$12</f>
        <v>26.033294099999999</v>
      </c>
      <c r="G23" s="266">
        <f>'POU BRO savings'!J$12</f>
        <v>28.63662351</v>
      </c>
      <c r="H23" s="266">
        <f>'POU BRO savings'!K$12</f>
        <v>31.500285861000002</v>
      </c>
      <c r="I23" s="266">
        <f>'POU BRO savings'!L$12</f>
        <v>40.119978938395491</v>
      </c>
      <c r="J23" s="266">
        <f>'POU BRO savings'!M$12</f>
        <v>49.975440556486433</v>
      </c>
      <c r="K23" s="266">
        <f>'POU BRO savings'!N$12</f>
        <v>76.975400434426462</v>
      </c>
      <c r="L23" s="266">
        <f>'POU BRO savings'!O$12</f>
        <v>81.959372465134109</v>
      </c>
      <c r="M23" s="266">
        <f>'POU BRO savings'!P$12</f>
        <v>86.301115880160935</v>
      </c>
      <c r="N23" s="266">
        <f>'POU BRO savings'!Q$12</f>
        <v>90.714166064914551</v>
      </c>
      <c r="O23" s="266">
        <f>'POU BRO savings'!R$12</f>
        <v>95.539547632073493</v>
      </c>
      <c r="P23" s="266">
        <f>'POU BRO savings'!S$12</f>
        <v>100.23828024709762</v>
      </c>
      <c r="Q23" s="266">
        <f>'POU BRO savings'!T$12</f>
        <v>105.10148230163104</v>
      </c>
      <c r="R23" s="266">
        <f>'POU BRO savings'!U$12</f>
        <v>109.7166277068321</v>
      </c>
      <c r="S23" s="220">
        <f>'POU BRO savings'!V$12</f>
        <v>114.20146792010956</v>
      </c>
      <c r="T23" s="238"/>
    </row>
    <row r="24" spans="2:22" s="236" customFormat="1" x14ac:dyDescent="0.3">
      <c r="B24" s="249" t="s">
        <v>483</v>
      </c>
      <c r="C24" s="238" t="s">
        <v>391</v>
      </c>
      <c r="D24" s="212" t="s">
        <v>372</v>
      </c>
      <c r="E24" s="266">
        <f>'POU BRO savings'!H27</f>
        <v>4.7513925308843969</v>
      </c>
      <c r="F24" s="266">
        <f>'POU BRO savings'!I27</f>
        <v>9.7198843706789688</v>
      </c>
      <c r="G24" s="266">
        <f>'POU BRO savings'!J27</f>
        <v>14.915395160756832</v>
      </c>
      <c r="H24" s="266">
        <f>'POU BRO savings'!K27</f>
        <v>20.348297787991815</v>
      </c>
      <c r="I24" s="266">
        <f>'POU BRO savings'!L27</f>
        <v>26.018592252383918</v>
      </c>
      <c r="J24" s="266">
        <f>'POU BRO savings'!M27</f>
        <v>33.350445312343048</v>
      </c>
      <c r="K24" s="266">
        <f>'POU BRO savings'!N27</f>
        <v>51.323061870790092</v>
      </c>
      <c r="L24" s="266">
        <f>'POU BRO savings'!O27</f>
        <v>70.000472403213806</v>
      </c>
      <c r="M24" s="266">
        <f>'POU BRO savings'!P27</f>
        <v>90.797909705216185</v>
      </c>
      <c r="N24" s="266">
        <f>'POU BRO savings'!Q27</f>
        <v>114.01187698362429</v>
      </c>
      <c r="O24" s="266">
        <f>'POU BRO savings'!R27</f>
        <v>137.8475084778442</v>
      </c>
      <c r="P24" s="266">
        <f>'POU BRO savings'!S27</f>
        <v>156.69768859882387</v>
      </c>
      <c r="Q24" s="266">
        <f>'POU BRO savings'!T27</f>
        <v>176.40590880575385</v>
      </c>
      <c r="R24" s="266">
        <f>'POU BRO savings'!U27</f>
        <v>197.54752928775352</v>
      </c>
      <c r="S24" s="220">
        <f>'POU BRO savings'!V27</f>
        <v>220.76384659090468</v>
      </c>
      <c r="T24" s="238"/>
    </row>
    <row r="25" spans="2:22" x14ac:dyDescent="0.3">
      <c r="B25" s="249" t="s">
        <v>52</v>
      </c>
      <c r="C25" s="3" t="str">
        <f t="shared" ref="C25:S25" si="2">C13</f>
        <v>Middle Wedge: Savings beyond claimed utility programs</v>
      </c>
      <c r="D25" s="211" t="str">
        <f t="shared" si="2"/>
        <v>from Manage Act Save (MAS, through 2018) and Res Pay 4 Performance (P4P)</v>
      </c>
      <c r="E25" s="150">
        <f t="shared" si="2"/>
        <v>3.1432764999999998</v>
      </c>
      <c r="F25" s="150">
        <f t="shared" si="2"/>
        <v>3.1621644999999998</v>
      </c>
      <c r="G25" s="150">
        <f t="shared" si="2"/>
        <v>3.1819969000000001</v>
      </c>
      <c r="H25" s="150">
        <f t="shared" si="2"/>
        <v>3.2028209199999997</v>
      </c>
      <c r="I25" s="150">
        <f t="shared" si="2"/>
        <v>0.45916964100000007</v>
      </c>
      <c r="J25" s="150">
        <f t="shared" si="2"/>
        <v>0.48212812305000008</v>
      </c>
      <c r="K25" s="150">
        <f t="shared" si="2"/>
        <v>0.50623452920250012</v>
      </c>
      <c r="L25" s="150">
        <f t="shared" si="2"/>
        <v>0.53154625566262514</v>
      </c>
      <c r="M25" s="150">
        <f t="shared" si="2"/>
        <v>0.55812356844575639</v>
      </c>
      <c r="N25" s="150">
        <f t="shared" si="2"/>
        <v>0.58602974686804421</v>
      </c>
      <c r="O25" s="150">
        <f t="shared" si="2"/>
        <v>0.61533123421144642</v>
      </c>
      <c r="P25" s="150">
        <f t="shared" si="2"/>
        <v>0.64609779592201877</v>
      </c>
      <c r="Q25" s="150">
        <f t="shared" si="2"/>
        <v>0.67840268571811979</v>
      </c>
      <c r="R25" s="150">
        <f t="shared" si="2"/>
        <v>0.7123228200040258</v>
      </c>
      <c r="S25" s="226">
        <f t="shared" si="2"/>
        <v>0.74793896100422708</v>
      </c>
      <c r="T25" s="3"/>
    </row>
    <row r="26" spans="2:22" x14ac:dyDescent="0.3">
      <c r="B26" s="18"/>
      <c r="C26" s="137" t="s">
        <v>478</v>
      </c>
      <c r="D26" s="208"/>
      <c r="E26" s="139">
        <f t="shared" ref="E26:S26" si="3">SUM(E23:E25)</f>
        <v>31.561300030884397</v>
      </c>
      <c r="F26" s="139">
        <f t="shared" si="3"/>
        <v>38.915342970678971</v>
      </c>
      <c r="G26" s="139">
        <f t="shared" si="3"/>
        <v>46.734015570756831</v>
      </c>
      <c r="H26" s="139">
        <f t="shared" si="3"/>
        <v>55.051404568991821</v>
      </c>
      <c r="I26" s="139">
        <f t="shared" si="3"/>
        <v>66.597740831779404</v>
      </c>
      <c r="J26" s="139">
        <f t="shared" si="3"/>
        <v>83.808013991879491</v>
      </c>
      <c r="K26" s="139">
        <f t="shared" si="3"/>
        <v>128.80469683441905</v>
      </c>
      <c r="L26" s="139">
        <f t="shared" si="3"/>
        <v>152.49139112401053</v>
      </c>
      <c r="M26" s="139">
        <f t="shared" si="3"/>
        <v>177.65714915382287</v>
      </c>
      <c r="N26" s="139">
        <f t="shared" si="3"/>
        <v>205.31207279540686</v>
      </c>
      <c r="O26" s="139">
        <f t="shared" si="3"/>
        <v>234.00238734412915</v>
      </c>
      <c r="P26" s="139">
        <f t="shared" si="3"/>
        <v>257.58206664184348</v>
      </c>
      <c r="Q26" s="139">
        <f t="shared" si="3"/>
        <v>282.18579379310302</v>
      </c>
      <c r="R26" s="139">
        <f t="shared" si="3"/>
        <v>307.97647981458965</v>
      </c>
      <c r="S26" s="222">
        <f t="shared" si="3"/>
        <v>335.71325347201849</v>
      </c>
      <c r="T26" s="3"/>
    </row>
    <row r="27" spans="2:22" ht="18" x14ac:dyDescent="0.35">
      <c r="B27" s="246" t="s">
        <v>409</v>
      </c>
      <c r="C27" s="16"/>
      <c r="D27" s="215"/>
      <c r="E27" s="333" t="s">
        <v>480</v>
      </c>
      <c r="F27" s="333"/>
      <c r="G27" s="333"/>
      <c r="H27" s="333"/>
      <c r="I27" s="333"/>
      <c r="J27" s="333"/>
      <c r="K27" s="333"/>
      <c r="L27" s="333"/>
      <c r="M27" s="333"/>
      <c r="N27" s="333"/>
      <c r="O27" s="333"/>
      <c r="P27" s="333"/>
      <c r="Q27" s="333"/>
      <c r="R27" s="333"/>
      <c r="S27" s="334"/>
      <c r="T27" s="3"/>
    </row>
    <row r="28" spans="2:22" x14ac:dyDescent="0.3">
      <c r="B28" s="275" t="s">
        <v>488</v>
      </c>
      <c r="C28" s="3" t="str">
        <f>C16</f>
        <v>Bottom Wedge: IOU Programs in 2018 PG</v>
      </c>
      <c r="D28" s="211" t="s">
        <v>389</v>
      </c>
      <c r="E28" s="206">
        <f>'2018 PGT BRO 0609 for 2015-17'!C101</f>
        <v>10.397278230618261</v>
      </c>
      <c r="F28" s="206">
        <f>'2018 PGT BRO 0609 for 2015-17'!D101</f>
        <v>11.67905721469428</v>
      </c>
      <c r="G28" s="206">
        <f>'2018 PGT BRO 0609 for 2015-17'!E101</f>
        <v>13.085167884724649</v>
      </c>
      <c r="H28" s="206">
        <f>'2018 PGT BRO 0609 for 2015-17'!F101</f>
        <v>14.631962780936494</v>
      </c>
      <c r="I28" s="206">
        <f>'2018 PGT BRO 0609 for 2015-17'!G101</f>
        <v>16.504929539036251</v>
      </c>
      <c r="J28" s="206">
        <f>'2018 PGT BRO 0609 for 2015-17'!H101</f>
        <v>18.294335794713103</v>
      </c>
      <c r="K28" s="206">
        <f>'2018 PGT BRO 0609 for 2015-17'!I101</f>
        <v>20.399406878867648</v>
      </c>
      <c r="L28" s="206">
        <f>'2018 PGT BRO 0609 for 2015-17'!J101</f>
        <v>22.550944431293775</v>
      </c>
      <c r="M28" s="206">
        <f>'2018 PGT BRO 0609 for 2015-17'!K101</f>
        <v>24.926634603286512</v>
      </c>
      <c r="N28" s="206">
        <f>'2018 PGT BRO 0609 for 2015-17'!L101</f>
        <v>27.484195163318113</v>
      </c>
      <c r="O28" s="206">
        <f>'2018 PGT BRO 0609 for 2015-17'!M101</f>
        <v>30.085797108545624</v>
      </c>
      <c r="P28" s="206">
        <f>'2018 PGT BRO 0609 for 2015-17'!N101</f>
        <v>32.735242481639986</v>
      </c>
      <c r="Q28" s="206">
        <f>'2018 PGT BRO 0609 for 2015-17'!O101</f>
        <v>35.54530462673155</v>
      </c>
      <c r="R28" s="206">
        <f>'2018 PGT BRO 0609 for 2015-17'!P101</f>
        <v>38.570441224076035</v>
      </c>
      <c r="S28" s="227">
        <f>'2018 PGT BRO 0609 for 2015-17'!Q101</f>
        <v>41.793824117628638</v>
      </c>
      <c r="T28" s="3"/>
    </row>
    <row r="29" spans="2:22" x14ac:dyDescent="0.3">
      <c r="B29" s="249" t="s">
        <v>52</v>
      </c>
      <c r="C29" s="3" t="str">
        <f>C17</f>
        <v>Middle Wedge: POU programs</v>
      </c>
      <c r="D29" s="214" t="s">
        <v>398</v>
      </c>
      <c r="E29" s="206">
        <v>0</v>
      </c>
      <c r="F29" s="206">
        <v>0</v>
      </c>
      <c r="G29" s="206">
        <v>0</v>
      </c>
      <c r="H29" s="206">
        <v>0</v>
      </c>
      <c r="I29" s="206">
        <v>0</v>
      </c>
      <c r="J29" s="206">
        <v>0</v>
      </c>
      <c r="K29" s="206">
        <v>0</v>
      </c>
      <c r="L29" s="206">
        <v>0</v>
      </c>
      <c r="M29" s="206">
        <v>0</v>
      </c>
      <c r="N29" s="206">
        <v>0</v>
      </c>
      <c r="O29" s="206">
        <v>0</v>
      </c>
      <c r="P29" s="206">
        <v>0</v>
      </c>
      <c r="Q29" s="206">
        <v>0</v>
      </c>
      <c r="R29" s="206">
        <v>0</v>
      </c>
      <c r="S29" s="227">
        <v>0</v>
      </c>
      <c r="T29" s="3"/>
    </row>
    <row r="30" spans="2:22" x14ac:dyDescent="0.3">
      <c r="B30" s="249" t="s">
        <v>52</v>
      </c>
      <c r="C30" s="3" t="s">
        <v>392</v>
      </c>
      <c r="D30" s="211" t="s">
        <v>399</v>
      </c>
      <c r="E30" s="206">
        <f t="shared" ref="E30:S30" si="4">E18</f>
        <v>0.32803900000000003</v>
      </c>
      <c r="F30" s="206">
        <f t="shared" si="4"/>
        <v>0.33087100000000003</v>
      </c>
      <c r="G30" s="206">
        <f t="shared" si="4"/>
        <v>0.33384459999999999</v>
      </c>
      <c r="H30" s="206">
        <f t="shared" si="4"/>
        <v>0.33696688000000002</v>
      </c>
      <c r="I30" s="206">
        <f t="shared" si="4"/>
        <v>6.8846274000000013E-2</v>
      </c>
      <c r="J30" s="206">
        <f t="shared" si="4"/>
        <v>7.2288587700000018E-2</v>
      </c>
      <c r="K30" s="206">
        <f t="shared" si="4"/>
        <v>7.5903017085000024E-2</v>
      </c>
      <c r="L30" s="206">
        <f t="shared" si="4"/>
        <v>7.9698167939250025E-2</v>
      </c>
      <c r="M30" s="206">
        <f t="shared" si="4"/>
        <v>8.3683076336212525E-2</v>
      </c>
      <c r="N30" s="206">
        <f t="shared" si="4"/>
        <v>8.7867230153023154E-2</v>
      </c>
      <c r="O30" s="206">
        <f t="shared" si="4"/>
        <v>9.226059166067431E-2</v>
      </c>
      <c r="P30" s="206">
        <f t="shared" si="4"/>
        <v>9.6873621243708033E-2</v>
      </c>
      <c r="Q30" s="206">
        <f t="shared" si="4"/>
        <v>0.10171730230589345</v>
      </c>
      <c r="R30" s="206">
        <f t="shared" si="4"/>
        <v>0.10680316742118812</v>
      </c>
      <c r="S30" s="227">
        <f t="shared" si="4"/>
        <v>0.11214332579224753</v>
      </c>
      <c r="T30" s="3"/>
    </row>
    <row r="31" spans="2:22" ht="15" thickBot="1" x14ac:dyDescent="0.35">
      <c r="B31" s="23"/>
      <c r="C31" s="224" t="s">
        <v>478</v>
      </c>
      <c r="D31" s="225"/>
      <c r="E31" s="271">
        <f>SUM(E29:E30)</f>
        <v>0.32803900000000003</v>
      </c>
      <c r="F31" s="271">
        <f t="shared" ref="F31:S31" si="5">SUM(F29:F30)</f>
        <v>0.33087100000000003</v>
      </c>
      <c r="G31" s="271">
        <f t="shared" si="5"/>
        <v>0.33384459999999999</v>
      </c>
      <c r="H31" s="271">
        <f t="shared" si="5"/>
        <v>0.33696688000000002</v>
      </c>
      <c r="I31" s="271">
        <f t="shared" si="5"/>
        <v>6.8846274000000013E-2</v>
      </c>
      <c r="J31" s="271">
        <f t="shared" si="5"/>
        <v>7.2288587700000018E-2</v>
      </c>
      <c r="K31" s="271">
        <f t="shared" si="5"/>
        <v>7.5903017085000024E-2</v>
      </c>
      <c r="L31" s="271">
        <f t="shared" si="5"/>
        <v>7.9698167939250025E-2</v>
      </c>
      <c r="M31" s="271">
        <f t="shared" si="5"/>
        <v>8.3683076336212525E-2</v>
      </c>
      <c r="N31" s="271">
        <f t="shared" si="5"/>
        <v>8.7867230153023154E-2</v>
      </c>
      <c r="O31" s="271">
        <f t="shared" si="5"/>
        <v>9.226059166067431E-2</v>
      </c>
      <c r="P31" s="271">
        <f t="shared" si="5"/>
        <v>9.6873621243708033E-2</v>
      </c>
      <c r="Q31" s="271">
        <f t="shared" si="5"/>
        <v>0.10171730230589345</v>
      </c>
      <c r="R31" s="271">
        <f t="shared" si="5"/>
        <v>0.10680316742118812</v>
      </c>
      <c r="S31" s="272">
        <f t="shared" si="5"/>
        <v>0.11214332579224753</v>
      </c>
      <c r="T31" s="3"/>
    </row>
    <row r="33" spans="2:19" ht="15" thickBot="1" x14ac:dyDescent="0.35"/>
    <row r="34" spans="2:19" ht="18" x14ac:dyDescent="0.35">
      <c r="B34" s="250" t="s">
        <v>486</v>
      </c>
      <c r="C34" s="216"/>
      <c r="D34" s="217"/>
      <c r="E34" s="216">
        <v>2015</v>
      </c>
      <c r="F34" s="216">
        <v>2016</v>
      </c>
      <c r="G34" s="216">
        <v>2017</v>
      </c>
      <c r="H34" s="216">
        <v>2018</v>
      </c>
      <c r="I34" s="216">
        <v>2019</v>
      </c>
      <c r="J34" s="216">
        <v>2020</v>
      </c>
      <c r="K34" s="216">
        <v>2021</v>
      </c>
      <c r="L34" s="216">
        <v>2022</v>
      </c>
      <c r="M34" s="216">
        <v>2023</v>
      </c>
      <c r="N34" s="216">
        <v>2024</v>
      </c>
      <c r="O34" s="216">
        <v>2025</v>
      </c>
      <c r="P34" s="216">
        <v>2026</v>
      </c>
      <c r="Q34" s="192">
        <v>2027</v>
      </c>
      <c r="R34" s="192">
        <v>2028</v>
      </c>
      <c r="S34" s="218">
        <v>2029</v>
      </c>
    </row>
    <row r="35" spans="2:19" ht="18" x14ac:dyDescent="0.35">
      <c r="B35" s="246" t="s">
        <v>483</v>
      </c>
      <c r="C35" s="242"/>
      <c r="D35" s="215"/>
      <c r="E35" s="333"/>
      <c r="F35" s="333"/>
      <c r="G35" s="333"/>
      <c r="H35" s="333"/>
      <c r="I35" s="333"/>
      <c r="J35" s="333"/>
      <c r="K35" s="333"/>
      <c r="L35" s="333"/>
      <c r="M35" s="333"/>
      <c r="N35" s="333"/>
      <c r="O35" s="333"/>
      <c r="P35" s="333"/>
      <c r="Q35" s="333"/>
      <c r="R35" s="333"/>
      <c r="S35" s="334"/>
    </row>
    <row r="36" spans="2:19" x14ac:dyDescent="0.3">
      <c r="B36" s="275"/>
      <c r="C36" s="238" t="s">
        <v>484</v>
      </c>
      <c r="D36" s="211" t="s">
        <v>0</v>
      </c>
      <c r="E36" s="264">
        <f t="shared" ref="E36:S36" si="6">SUMIF($B$22:$B$25, $B$35, E$22:E$25)</f>
        <v>4.7513925308843969</v>
      </c>
      <c r="F36" s="264">
        <f t="shared" si="6"/>
        <v>9.7198843706789688</v>
      </c>
      <c r="G36" s="264">
        <f t="shared" si="6"/>
        <v>14.915395160756832</v>
      </c>
      <c r="H36" s="264">
        <f t="shared" si="6"/>
        <v>20.348297787991815</v>
      </c>
      <c r="I36" s="264">
        <f t="shared" si="6"/>
        <v>26.018592252383918</v>
      </c>
      <c r="J36" s="264">
        <f t="shared" si="6"/>
        <v>33.350445312343048</v>
      </c>
      <c r="K36" s="264">
        <f t="shared" si="6"/>
        <v>51.323061870790092</v>
      </c>
      <c r="L36" s="264">
        <f t="shared" si="6"/>
        <v>70.000472403213806</v>
      </c>
      <c r="M36" s="264">
        <f t="shared" si="6"/>
        <v>90.797909705216185</v>
      </c>
      <c r="N36" s="264">
        <f t="shared" si="6"/>
        <v>114.01187698362429</v>
      </c>
      <c r="O36" s="264">
        <f t="shared" si="6"/>
        <v>137.8475084778442</v>
      </c>
      <c r="P36" s="264">
        <f t="shared" si="6"/>
        <v>156.69768859882387</v>
      </c>
      <c r="Q36" s="264">
        <f t="shared" si="6"/>
        <v>176.40590880575385</v>
      </c>
      <c r="R36" s="264">
        <f t="shared" si="6"/>
        <v>197.54752928775352</v>
      </c>
      <c r="S36" s="226">
        <f t="shared" si="6"/>
        <v>220.76384659090468</v>
      </c>
    </row>
    <row r="37" spans="2:19" x14ac:dyDescent="0.3">
      <c r="B37" s="275"/>
      <c r="C37" s="238" t="s">
        <v>485</v>
      </c>
      <c r="D37" s="211" t="s">
        <v>4</v>
      </c>
      <c r="E37" s="264">
        <f t="shared" ref="E37:S37" si="7">SUMIF($B$28:$B$30, $B$35, E$28:E$30)</f>
        <v>0</v>
      </c>
      <c r="F37" s="264">
        <f t="shared" si="7"/>
        <v>0</v>
      </c>
      <c r="G37" s="264">
        <f t="shared" si="7"/>
        <v>0</v>
      </c>
      <c r="H37" s="264">
        <f t="shared" si="7"/>
        <v>0</v>
      </c>
      <c r="I37" s="264">
        <f t="shared" si="7"/>
        <v>0</v>
      </c>
      <c r="J37" s="264">
        <f t="shared" si="7"/>
        <v>0</v>
      </c>
      <c r="K37" s="264">
        <f t="shared" si="7"/>
        <v>0</v>
      </c>
      <c r="L37" s="264">
        <f t="shared" si="7"/>
        <v>0</v>
      </c>
      <c r="M37" s="264">
        <f t="shared" si="7"/>
        <v>0</v>
      </c>
      <c r="N37" s="264">
        <f t="shared" si="7"/>
        <v>0</v>
      </c>
      <c r="O37" s="264">
        <f t="shared" si="7"/>
        <v>0</v>
      </c>
      <c r="P37" s="264">
        <f t="shared" si="7"/>
        <v>0</v>
      </c>
      <c r="Q37" s="264">
        <f t="shared" si="7"/>
        <v>0</v>
      </c>
      <c r="R37" s="264">
        <f t="shared" si="7"/>
        <v>0</v>
      </c>
      <c r="S37" s="226">
        <f t="shared" si="7"/>
        <v>0</v>
      </c>
    </row>
    <row r="38" spans="2:19" ht="18" x14ac:dyDescent="0.35">
      <c r="B38" s="246" t="s">
        <v>52</v>
      </c>
      <c r="C38" s="242"/>
      <c r="D38" s="215"/>
      <c r="E38" s="333"/>
      <c r="F38" s="333"/>
      <c r="G38" s="333"/>
      <c r="H38" s="333"/>
      <c r="I38" s="333"/>
      <c r="J38" s="333"/>
      <c r="K38" s="333"/>
      <c r="L38" s="333"/>
      <c r="M38" s="333"/>
      <c r="N38" s="333"/>
      <c r="O38" s="333"/>
      <c r="P38" s="333"/>
      <c r="Q38" s="333"/>
      <c r="R38" s="333"/>
      <c r="S38" s="334"/>
    </row>
    <row r="39" spans="2:19" x14ac:dyDescent="0.3">
      <c r="B39" s="275"/>
      <c r="C39" s="251" t="s">
        <v>484</v>
      </c>
      <c r="D39" s="251" t="s">
        <v>0</v>
      </c>
      <c r="E39" s="206">
        <f t="shared" ref="E39:S39" si="8">SUMIF($B$22:$B$25, $B$38, E$22:E$25)</f>
        <v>26.809907499999998</v>
      </c>
      <c r="F39" s="206">
        <f t="shared" si="8"/>
        <v>29.195458599999998</v>
      </c>
      <c r="G39" s="206">
        <f t="shared" si="8"/>
        <v>31.818620410000001</v>
      </c>
      <c r="H39" s="206">
        <f t="shared" si="8"/>
        <v>34.703106781000002</v>
      </c>
      <c r="I39" s="206">
        <f t="shared" si="8"/>
        <v>40.579148579395493</v>
      </c>
      <c r="J39" s="206">
        <f t="shared" si="8"/>
        <v>50.457568679536436</v>
      </c>
      <c r="K39" s="206">
        <f t="shared" si="8"/>
        <v>77.481634963628963</v>
      </c>
      <c r="L39" s="206">
        <f t="shared" si="8"/>
        <v>82.490918720796728</v>
      </c>
      <c r="M39" s="206">
        <f t="shared" si="8"/>
        <v>86.859239448606687</v>
      </c>
      <c r="N39" s="206">
        <f t="shared" si="8"/>
        <v>91.300195811782601</v>
      </c>
      <c r="O39" s="206">
        <f t="shared" si="8"/>
        <v>96.154878866284946</v>
      </c>
      <c r="P39" s="206">
        <f t="shared" si="8"/>
        <v>100.88437804301964</v>
      </c>
      <c r="Q39" s="206">
        <f t="shared" si="8"/>
        <v>105.77988498734916</v>
      </c>
      <c r="R39" s="206">
        <f t="shared" si="8"/>
        <v>110.42895052683612</v>
      </c>
      <c r="S39" s="227">
        <f t="shared" si="8"/>
        <v>114.94940688111379</v>
      </c>
    </row>
    <row r="40" spans="2:19" ht="15" thickBot="1" x14ac:dyDescent="0.35">
      <c r="B40" s="276"/>
      <c r="C40" s="277" t="s">
        <v>485</v>
      </c>
      <c r="D40" s="278" t="s">
        <v>4</v>
      </c>
      <c r="E40" s="309">
        <f t="shared" ref="E40:S40" si="9">SUMIF($B$28:$B$30, $B$38, E$28:E$30)</f>
        <v>0.32803900000000003</v>
      </c>
      <c r="F40" s="271">
        <f t="shared" si="9"/>
        <v>0.33087100000000003</v>
      </c>
      <c r="G40" s="271">
        <f t="shared" si="9"/>
        <v>0.33384459999999999</v>
      </c>
      <c r="H40" s="271">
        <f t="shared" si="9"/>
        <v>0.33696688000000002</v>
      </c>
      <c r="I40" s="271">
        <f t="shared" si="9"/>
        <v>6.8846274000000013E-2</v>
      </c>
      <c r="J40" s="271">
        <f t="shared" si="9"/>
        <v>7.2288587700000018E-2</v>
      </c>
      <c r="K40" s="271">
        <f t="shared" si="9"/>
        <v>7.5903017085000024E-2</v>
      </c>
      <c r="L40" s="271">
        <f t="shared" si="9"/>
        <v>7.9698167939250025E-2</v>
      </c>
      <c r="M40" s="271">
        <f t="shared" si="9"/>
        <v>8.3683076336212525E-2</v>
      </c>
      <c r="N40" s="271">
        <f t="shared" si="9"/>
        <v>8.7867230153023154E-2</v>
      </c>
      <c r="O40" s="271">
        <f t="shared" si="9"/>
        <v>9.226059166067431E-2</v>
      </c>
      <c r="P40" s="271">
        <f t="shared" si="9"/>
        <v>9.6873621243708033E-2</v>
      </c>
      <c r="Q40" s="271">
        <f t="shared" si="9"/>
        <v>0.10171730230589345</v>
      </c>
      <c r="R40" s="271">
        <f t="shared" si="9"/>
        <v>0.10680316742118812</v>
      </c>
      <c r="S40" s="272">
        <f t="shared" si="9"/>
        <v>0.11214332579224753</v>
      </c>
    </row>
  </sheetData>
  <mergeCells count="7">
    <mergeCell ref="E35:S35"/>
    <mergeCell ref="E38:S38"/>
    <mergeCell ref="B7:S7"/>
    <mergeCell ref="E15:S15"/>
    <mergeCell ref="E21:S21"/>
    <mergeCell ref="E9:S9"/>
    <mergeCell ref="E27:S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V68"/>
  <sheetViews>
    <sheetView zoomScale="55" zoomScaleNormal="55" workbookViewId="0">
      <selection activeCell="F70" sqref="F70"/>
    </sheetView>
  </sheetViews>
  <sheetFormatPr defaultColWidth="8.88671875" defaultRowHeight="14.4" x14ac:dyDescent="0.3"/>
  <cols>
    <col min="2" max="2" width="26.5546875" customWidth="1"/>
    <col min="3" max="3" width="58.109375" customWidth="1"/>
    <col min="4" max="4" width="75.88671875" bestFit="1" customWidth="1"/>
    <col min="5" max="16" width="16.44140625" customWidth="1"/>
    <col min="17" max="17" width="8.88671875" customWidth="1"/>
  </cols>
  <sheetData>
    <row r="1" spans="2:22" ht="23.4" x14ac:dyDescent="0.45">
      <c r="B1" s="167" t="s">
        <v>28</v>
      </c>
      <c r="C1" s="167" t="str">
        <f>'Program Analysis'!C3</f>
        <v>Behavorial, Retrocommissioning, Operational Savings</v>
      </c>
    </row>
    <row r="2" spans="2:22" ht="23.4" x14ac:dyDescent="0.45">
      <c r="B2" s="167" t="s">
        <v>469</v>
      </c>
      <c r="C2" s="167" t="s">
        <v>374</v>
      </c>
    </row>
    <row r="6" spans="2:22" ht="23.4" x14ac:dyDescent="0.45">
      <c r="C6" s="167"/>
      <c r="D6" s="209"/>
      <c r="E6" s="3"/>
      <c r="F6" s="3"/>
      <c r="G6" s="3"/>
      <c r="H6" s="3"/>
      <c r="I6" s="3"/>
      <c r="J6" s="3"/>
      <c r="K6" s="3"/>
      <c r="L6" s="3"/>
      <c r="M6" s="3"/>
      <c r="N6" s="3"/>
      <c r="O6" s="3"/>
      <c r="P6" s="3"/>
      <c r="Q6" s="3"/>
      <c r="R6" s="3"/>
      <c r="S6" s="3"/>
      <c r="T6" s="3"/>
    </row>
    <row r="7" spans="2:22" ht="24" thickBot="1" x14ac:dyDescent="0.5">
      <c r="B7" s="335" t="s">
        <v>231</v>
      </c>
      <c r="C7" s="335"/>
      <c r="D7" s="335"/>
      <c r="E7" s="335"/>
      <c r="F7" s="335"/>
      <c r="G7" s="335"/>
      <c r="H7" s="335"/>
      <c r="I7" s="335"/>
      <c r="J7" s="335"/>
      <c r="K7" s="335"/>
      <c r="L7" s="335"/>
      <c r="M7" s="335"/>
      <c r="N7" s="335"/>
      <c r="O7" s="335"/>
      <c r="P7" s="335"/>
      <c r="Q7" s="335"/>
      <c r="R7" s="335"/>
      <c r="S7" s="335"/>
      <c r="T7" s="3"/>
    </row>
    <row r="8" spans="2:22" ht="18" x14ac:dyDescent="0.35">
      <c r="B8" s="279" t="s">
        <v>91</v>
      </c>
      <c r="C8" s="216" t="s">
        <v>482</v>
      </c>
      <c r="D8" s="217" t="s">
        <v>479</v>
      </c>
      <c r="E8" s="216">
        <v>2015</v>
      </c>
      <c r="F8" s="216">
        <v>2016</v>
      </c>
      <c r="G8" s="216">
        <v>2017</v>
      </c>
      <c r="H8" s="216">
        <v>2018</v>
      </c>
      <c r="I8" s="216">
        <v>2019</v>
      </c>
      <c r="J8" s="216">
        <v>2020</v>
      </c>
      <c r="K8" s="216">
        <v>2021</v>
      </c>
      <c r="L8" s="216">
        <v>2022</v>
      </c>
      <c r="M8" s="216">
        <v>2023</v>
      </c>
      <c r="N8" s="216">
        <v>2024</v>
      </c>
      <c r="O8" s="216">
        <v>2025</v>
      </c>
      <c r="P8" s="216">
        <v>2026</v>
      </c>
      <c r="Q8" s="192">
        <v>2027</v>
      </c>
      <c r="R8" s="192">
        <v>2028</v>
      </c>
      <c r="S8" s="218">
        <v>2029</v>
      </c>
      <c r="T8" s="20"/>
      <c r="U8" s="9"/>
    </row>
    <row r="9" spans="2:22" ht="18" x14ac:dyDescent="0.35">
      <c r="B9" s="248" t="s">
        <v>487</v>
      </c>
      <c r="C9" s="241"/>
      <c r="D9" s="210"/>
      <c r="E9" s="336" t="s">
        <v>481</v>
      </c>
      <c r="F9" s="336"/>
      <c r="G9" s="336"/>
      <c r="H9" s="336"/>
      <c r="I9" s="336"/>
      <c r="J9" s="336"/>
      <c r="K9" s="336"/>
      <c r="L9" s="336"/>
      <c r="M9" s="336"/>
      <c r="N9" s="336"/>
      <c r="O9" s="336"/>
      <c r="P9" s="336"/>
      <c r="Q9" s="336"/>
      <c r="R9" s="336"/>
      <c r="S9" s="337"/>
      <c r="T9" s="20"/>
      <c r="U9" s="9"/>
      <c r="V9" s="9"/>
    </row>
    <row r="10" spans="2:22" x14ac:dyDescent="0.3">
      <c r="B10" s="275" t="s">
        <v>488</v>
      </c>
      <c r="C10" s="238" t="s">
        <v>390</v>
      </c>
      <c r="D10" s="211" t="s">
        <v>389</v>
      </c>
      <c r="E10" s="260">
        <f>'2018 PGT BRO 0609 for 2015-17'!C23</f>
        <v>160.03722872343201</v>
      </c>
      <c r="F10" s="260">
        <f>'2018 PGT BRO 0609 for 2015-17'!D23</f>
        <v>176.05503155447209</v>
      </c>
      <c r="G10" s="260">
        <f>'2018 PGT BRO 0609 for 2015-17'!E23</f>
        <v>193.75852461504107</v>
      </c>
      <c r="H10" s="260">
        <f>'arch 2018 PGT BRO 0609'!C18</f>
        <v>213.33293889958455</v>
      </c>
      <c r="I10" s="260">
        <f>'arch 2018 PGT BRO 0609'!D18</f>
        <v>238.07832818587636</v>
      </c>
      <c r="J10" s="260">
        <f>'arch 2018 PGT BRO 0609'!E18</f>
        <v>267.68150109539738</v>
      </c>
      <c r="K10" s="260">
        <f>'arch 2018 PGT BRO 0609'!F18</f>
        <v>300.51396850302132</v>
      </c>
      <c r="L10" s="260">
        <f>'arch 2018 PGT BRO 0609'!G18</f>
        <v>322.89867903165697</v>
      </c>
      <c r="M10" s="260">
        <f>'arch 2018 PGT BRO 0609'!H18</f>
        <v>343.90152944947823</v>
      </c>
      <c r="N10" s="260">
        <f>'arch 2018 PGT BRO 0609'!I18</f>
        <v>365.59502399322031</v>
      </c>
      <c r="O10" s="260">
        <f>'arch 2018 PGT BRO 0609'!J18</f>
        <v>398.00431271956984</v>
      </c>
      <c r="P10" s="260">
        <f>'arch 2018 PGT BRO 0609'!K18</f>
        <v>423.9770642682376</v>
      </c>
      <c r="Q10" s="260">
        <f>'arch 2018 PGT BRO 0609'!L18</f>
        <v>450.60678612248739</v>
      </c>
      <c r="R10" s="260">
        <f>'arch 2018 PGT BRO 0609'!M18</f>
        <v>477.81531920844083</v>
      </c>
      <c r="S10" s="219">
        <f>'arch 2018 PGT BRO 0609'!N18</f>
        <v>505.78726214499522</v>
      </c>
      <c r="T10" s="3"/>
    </row>
    <row r="11" spans="2:22" s="236" customFormat="1" x14ac:dyDescent="0.3">
      <c r="B11" s="249" t="s">
        <v>52</v>
      </c>
      <c r="C11" s="238" t="s">
        <v>391</v>
      </c>
      <c r="D11" s="212" t="s">
        <v>372</v>
      </c>
      <c r="E11" s="266">
        <f>'POU BRO savings'!H$12</f>
        <v>23.666630999999999</v>
      </c>
      <c r="F11" s="266">
        <f>'POU BRO savings'!I$12</f>
        <v>26.033294099999999</v>
      </c>
      <c r="G11" s="266">
        <f>'POU BRO savings'!J$12</f>
        <v>28.63662351</v>
      </c>
      <c r="H11" s="266">
        <f>'POU BRO savings'!K$12</f>
        <v>31.500285861000002</v>
      </c>
      <c r="I11" s="266">
        <f>'POU BRO savings'!L$12</f>
        <v>40.119978938395491</v>
      </c>
      <c r="J11" s="266">
        <f>'POU BRO savings'!M$12</f>
        <v>49.975440556486433</v>
      </c>
      <c r="K11" s="266">
        <f>'POU BRO savings'!N$12</f>
        <v>76.975400434426462</v>
      </c>
      <c r="L11" s="266">
        <f>'POU BRO savings'!O$12</f>
        <v>81.959372465134109</v>
      </c>
      <c r="M11" s="266">
        <f>'POU BRO savings'!P$12</f>
        <v>86.301115880160935</v>
      </c>
      <c r="N11" s="266">
        <f>'POU BRO savings'!Q$12</f>
        <v>90.714166064914551</v>
      </c>
      <c r="O11" s="266">
        <f>'POU BRO savings'!R$12</f>
        <v>95.539547632073493</v>
      </c>
      <c r="P11" s="266">
        <f>'POU BRO savings'!S$12</f>
        <v>100.23828024709762</v>
      </c>
      <c r="Q11" s="266">
        <f>'POU BRO savings'!T$12</f>
        <v>105.10148230163104</v>
      </c>
      <c r="R11" s="266">
        <f>'POU BRO savings'!U$12</f>
        <v>109.7166277068321</v>
      </c>
      <c r="S11" s="220">
        <f>'POU BRO savings'!V$12</f>
        <v>114.20146792010956</v>
      </c>
      <c r="T11" s="238"/>
    </row>
    <row r="12" spans="2:22" s="236" customFormat="1" x14ac:dyDescent="0.3">
      <c r="B12" s="249" t="s">
        <v>483</v>
      </c>
      <c r="C12" s="238" t="s">
        <v>391</v>
      </c>
      <c r="D12" s="212" t="s">
        <v>372</v>
      </c>
      <c r="E12" s="266">
        <f>'POU BRO savings'!H$26</f>
        <v>4.7513925308843969</v>
      </c>
      <c r="F12" s="266">
        <f>'POU BRO savings'!I$26</f>
        <v>4.9684918397945719</v>
      </c>
      <c r="G12" s="266">
        <f>'POU BRO savings'!J$26</f>
        <v>5.1955107900778632</v>
      </c>
      <c r="H12" s="266">
        <f>'POU BRO savings'!K$26</f>
        <v>5.4329026272349825</v>
      </c>
      <c r="I12" s="266">
        <f>'POU BRO savings'!L$26</f>
        <v>5.6702944643921018</v>
      </c>
      <c r="J12" s="266">
        <f>'POU BRO savings'!M$26</f>
        <v>12.08324559084353</v>
      </c>
      <c r="K12" s="266">
        <f>'POU BRO savings'!N$26</f>
        <v>23.195922399913968</v>
      </c>
      <c r="L12" s="266">
        <f>'POU BRO savings'!O$26</f>
        <v>25.673520545418224</v>
      </c>
      <c r="M12" s="266">
        <f>'POU BRO savings'!P$26</f>
        <v>28.332727269665128</v>
      </c>
      <c r="N12" s="266">
        <f>'POU BRO savings'!Q$26</f>
        <v>31.150841932825546</v>
      </c>
      <c r="O12" s="266">
        <f>'POU BRO savings'!R$26</f>
        <v>37.128556607783096</v>
      </c>
      <c r="P12" s="266">
        <f>'POU BRO savings'!S$26</f>
        <v>41.087407842314896</v>
      </c>
      <c r="Q12" s="266">
        <f>'POU BRO savings'!T$26</f>
        <v>45.100779739198082</v>
      </c>
      <c r="R12" s="266">
        <f>'POU BRO savings'!U$26</f>
        <v>49.555145362648183</v>
      </c>
      <c r="S12" s="220">
        <f>'POU BRO savings'!V$26</f>
        <v>54.394286128222163</v>
      </c>
      <c r="T12" s="238"/>
    </row>
    <row r="13" spans="2:22" x14ac:dyDescent="0.3">
      <c r="B13" s="249" t="s">
        <v>52</v>
      </c>
      <c r="C13" s="238" t="s">
        <v>392</v>
      </c>
      <c r="D13" s="211" t="s">
        <v>399</v>
      </c>
      <c r="E13" s="258">
        <f>'MAS savings'!$G12+'Res P4P'!J6</f>
        <v>3.1432764999999998</v>
      </c>
      <c r="F13" s="258">
        <f>'MAS savings'!$G12+'Res P4P'!K6</f>
        <v>3.1621644999999998</v>
      </c>
      <c r="G13" s="258">
        <f>'MAS savings'!$G12+'Res P4P'!L6</f>
        <v>3.1819969000000001</v>
      </c>
      <c r="H13" s="258">
        <f>'MAS savings'!$G12+'Res P4P'!M6</f>
        <v>3.2028209199999997</v>
      </c>
      <c r="I13" s="257">
        <f>'Res P4P'!N6</f>
        <v>0.45916964100000007</v>
      </c>
      <c r="J13" s="257">
        <f>'Res P4P'!O6</f>
        <v>0.48212812305000008</v>
      </c>
      <c r="K13" s="257">
        <f>'Res P4P'!P6</f>
        <v>0.50623452920250012</v>
      </c>
      <c r="L13" s="257">
        <f>'Res P4P'!Q6</f>
        <v>0.53154625566262514</v>
      </c>
      <c r="M13" s="257">
        <f>'Res P4P'!R6</f>
        <v>0.55812356844575639</v>
      </c>
      <c r="N13" s="257">
        <f>'Res P4P'!S6</f>
        <v>0.58602974686804421</v>
      </c>
      <c r="O13" s="257">
        <f>'Res P4P'!T6</f>
        <v>0.61533123421144642</v>
      </c>
      <c r="P13" s="257">
        <f>'Res P4P'!U6</f>
        <v>0.64609779592201877</v>
      </c>
      <c r="Q13" s="257">
        <f>'Res P4P'!V6</f>
        <v>0.67840268571811979</v>
      </c>
      <c r="R13" s="257">
        <f>'Res P4P'!W6</f>
        <v>0.7123228200040258</v>
      </c>
      <c r="S13" s="221">
        <f>'Res P4P'!X6</f>
        <v>0.74793896100422708</v>
      </c>
      <c r="T13" s="3"/>
    </row>
    <row r="14" spans="2:22" x14ac:dyDescent="0.3">
      <c r="B14" s="244"/>
      <c r="C14" s="259" t="s">
        <v>478</v>
      </c>
      <c r="D14" s="208"/>
      <c r="E14" s="261">
        <f t="shared" ref="E14:S14" si="0">SUM(E11:E13)</f>
        <v>31.561300030884397</v>
      </c>
      <c r="F14" s="261">
        <f t="shared" si="0"/>
        <v>34.163950439794576</v>
      </c>
      <c r="G14" s="261">
        <f t="shared" si="0"/>
        <v>37.014131200077863</v>
      </c>
      <c r="H14" s="261">
        <f t="shared" si="0"/>
        <v>40.136009408234983</v>
      </c>
      <c r="I14" s="261">
        <f t="shared" si="0"/>
        <v>46.249443043787593</v>
      </c>
      <c r="J14" s="261">
        <f t="shared" si="0"/>
        <v>62.540814270379968</v>
      </c>
      <c r="K14" s="261">
        <f t="shared" si="0"/>
        <v>100.67755736354293</v>
      </c>
      <c r="L14" s="261">
        <f t="shared" si="0"/>
        <v>108.16443926621496</v>
      </c>
      <c r="M14" s="261">
        <f t="shared" si="0"/>
        <v>115.19196671827181</v>
      </c>
      <c r="N14" s="261">
        <f t="shared" si="0"/>
        <v>122.45103774460814</v>
      </c>
      <c r="O14" s="261">
        <f t="shared" si="0"/>
        <v>133.28343547406803</v>
      </c>
      <c r="P14" s="261">
        <f t="shared" si="0"/>
        <v>141.97178588533455</v>
      </c>
      <c r="Q14" s="261">
        <f t="shared" si="0"/>
        <v>150.88066472654722</v>
      </c>
      <c r="R14" s="261">
        <f t="shared" si="0"/>
        <v>159.98409588948431</v>
      </c>
      <c r="S14" s="222">
        <f t="shared" si="0"/>
        <v>169.34369300933596</v>
      </c>
      <c r="T14" s="3"/>
    </row>
    <row r="15" spans="2:22" ht="18" x14ac:dyDescent="0.35">
      <c r="B15" s="248" t="s">
        <v>487</v>
      </c>
      <c r="C15" s="241"/>
      <c r="D15" s="210"/>
      <c r="E15" s="336" t="s">
        <v>480</v>
      </c>
      <c r="F15" s="336"/>
      <c r="G15" s="336"/>
      <c r="H15" s="336"/>
      <c r="I15" s="336"/>
      <c r="J15" s="336"/>
      <c r="K15" s="336"/>
      <c r="L15" s="336"/>
      <c r="M15" s="336"/>
      <c r="N15" s="336"/>
      <c r="O15" s="336"/>
      <c r="P15" s="336"/>
      <c r="Q15" s="336"/>
      <c r="R15" s="336"/>
      <c r="S15" s="337"/>
      <c r="T15" s="20"/>
      <c r="U15" s="9"/>
      <c r="V15" s="9"/>
    </row>
    <row r="16" spans="2:22" x14ac:dyDescent="0.3">
      <c r="B16" s="275" t="s">
        <v>488</v>
      </c>
      <c r="C16" s="238" t="s">
        <v>390</v>
      </c>
      <c r="D16" s="211" t="s">
        <v>389</v>
      </c>
      <c r="E16" s="262">
        <f>'2018 PGT BRO 0609 for 2015-17'!C100</f>
        <v>10.397278230618261</v>
      </c>
      <c r="F16" s="262">
        <f>'2018 PGT BRO 0609 for 2015-17'!D100</f>
        <v>10.889159690267411</v>
      </c>
      <c r="G16" s="262">
        <f>'2018 PGT BRO 0609 for 2015-17'!E100</f>
        <v>11.411072094815994</v>
      </c>
      <c r="H16" s="262">
        <f>'2018 PGT BRO 0609 for 2015-17'!F100</f>
        <v>11.965790059684478</v>
      </c>
      <c r="I16" s="262">
        <f>'2018 PGT BRO 0609 for 2015-17'!G100</f>
        <v>12.72312955308446</v>
      </c>
      <c r="J16" s="262">
        <f>'2018 PGT BRO 0609 for 2015-17'!H100</f>
        <v>13.676384936537296</v>
      </c>
      <c r="K16" s="262">
        <f>'2018 PGT BRO 0609 for 2015-17'!I100</f>
        <v>14.626339491855031</v>
      </c>
      <c r="L16" s="262">
        <f>'2018 PGT BRO 0609 for 2015-17'!J100</f>
        <v>15.342857403191523</v>
      </c>
      <c r="M16" s="262">
        <f>'2018 PGT BRO 0609 for 2015-17'!K100</f>
        <v>16.014994324576293</v>
      </c>
      <c r="N16" s="262">
        <f>'2018 PGT BRO 0609 for 2015-17'!L100</f>
        <v>16.716929161777539</v>
      </c>
      <c r="O16" s="262">
        <f>'2018 PGT BRO 0609 for 2015-17'!M100</f>
        <v>17.524400211847027</v>
      </c>
      <c r="P16" s="262">
        <f>'2018 PGT BRO 0609 for 2015-17'!N100</f>
        <v>18.324067028322222</v>
      </c>
      <c r="Q16" s="262">
        <f>'2018 PGT BRO 0609 for 2015-17'!O100</f>
        <v>19.139740307751044</v>
      </c>
      <c r="R16" s="262">
        <f>'2018 PGT BRO 0609 for 2015-17'!P100</f>
        <v>20.012499438913935</v>
      </c>
      <c r="S16" s="223">
        <f>'2018 PGT BRO 0609 for 2015-17'!Q100</f>
        <v>20.916223554496412</v>
      </c>
      <c r="T16" s="3"/>
    </row>
    <row r="17" spans="2:22" x14ac:dyDescent="0.3">
      <c r="B17" s="249" t="s">
        <v>488</v>
      </c>
      <c r="C17" s="238" t="s">
        <v>391</v>
      </c>
      <c r="D17" s="240" t="s">
        <v>398</v>
      </c>
      <c r="E17" s="262">
        <v>0</v>
      </c>
      <c r="F17" s="262">
        <v>0</v>
      </c>
      <c r="G17" s="262">
        <v>0</v>
      </c>
      <c r="H17" s="262">
        <v>0</v>
      </c>
      <c r="I17" s="262">
        <v>0</v>
      </c>
      <c r="J17" s="262">
        <v>0</v>
      </c>
      <c r="K17" s="262">
        <v>0</v>
      </c>
      <c r="L17" s="262">
        <v>0</v>
      </c>
      <c r="M17" s="262">
        <v>0</v>
      </c>
      <c r="N17" s="262">
        <v>0</v>
      </c>
      <c r="O17" s="262">
        <v>0</v>
      </c>
      <c r="P17" s="262">
        <v>0</v>
      </c>
      <c r="Q17" s="262">
        <v>0</v>
      </c>
      <c r="R17" s="262">
        <v>0</v>
      </c>
      <c r="S17" s="223">
        <v>0</v>
      </c>
      <c r="T17" s="3"/>
    </row>
    <row r="18" spans="2:22" x14ac:dyDescent="0.3">
      <c r="B18" s="249" t="s">
        <v>52</v>
      </c>
      <c r="C18" s="238" t="s">
        <v>392</v>
      </c>
      <c r="D18" s="211" t="s">
        <v>399</v>
      </c>
      <c r="E18" s="262">
        <f>'MAS savings'!$H$11+'Res P4P'!Z6</f>
        <v>0.32803900000000003</v>
      </c>
      <c r="F18" s="262">
        <f>'MAS savings'!$H$11+'Res P4P'!AA6</f>
        <v>0.33087100000000003</v>
      </c>
      <c r="G18" s="262">
        <f>'MAS savings'!$H$11+'Res P4P'!AB6</f>
        <v>0.33384459999999999</v>
      </c>
      <c r="H18" s="262">
        <f>'MAS savings'!$H$11+'Res P4P'!AC6</f>
        <v>0.33696688000000002</v>
      </c>
      <c r="I18" s="262">
        <f>'Res P4P'!AD6</f>
        <v>6.8846274000000013E-2</v>
      </c>
      <c r="J18" s="262">
        <f>'Res P4P'!AE6</f>
        <v>7.2288587700000018E-2</v>
      </c>
      <c r="K18" s="262">
        <f>'Res P4P'!AF6</f>
        <v>7.5903017085000024E-2</v>
      </c>
      <c r="L18" s="262">
        <f>'Res P4P'!AG6</f>
        <v>7.9698167939250025E-2</v>
      </c>
      <c r="M18" s="262">
        <f>'Res P4P'!AH6</f>
        <v>8.3683076336212525E-2</v>
      </c>
      <c r="N18" s="262">
        <f>'Res P4P'!AI6</f>
        <v>8.7867230153023154E-2</v>
      </c>
      <c r="O18" s="262">
        <f>'Res P4P'!AJ6</f>
        <v>9.226059166067431E-2</v>
      </c>
      <c r="P18" s="262">
        <f>'Res P4P'!AK6</f>
        <v>9.6873621243708033E-2</v>
      </c>
      <c r="Q18" s="262">
        <f>'Res P4P'!AL6</f>
        <v>0.10171730230589345</v>
      </c>
      <c r="R18" s="262">
        <f>'Res P4P'!AM6</f>
        <v>0.10680316742118812</v>
      </c>
      <c r="S18" s="223">
        <f>'Res P4P'!AN6</f>
        <v>0.11214332579224753</v>
      </c>
      <c r="T18" s="3"/>
    </row>
    <row r="19" spans="2:22" ht="15" thickBot="1" x14ac:dyDescent="0.35">
      <c r="B19" s="247"/>
      <c r="C19" s="224" t="s">
        <v>478</v>
      </c>
      <c r="D19" s="225"/>
      <c r="E19" s="271">
        <f t="shared" ref="E19:S19" si="1">SUM(E17:E18)</f>
        <v>0.32803900000000003</v>
      </c>
      <c r="F19" s="271">
        <f t="shared" si="1"/>
        <v>0.33087100000000003</v>
      </c>
      <c r="G19" s="271">
        <f t="shared" si="1"/>
        <v>0.33384459999999999</v>
      </c>
      <c r="H19" s="271">
        <f t="shared" si="1"/>
        <v>0.33696688000000002</v>
      </c>
      <c r="I19" s="271">
        <f t="shared" si="1"/>
        <v>6.8846274000000013E-2</v>
      </c>
      <c r="J19" s="271">
        <f t="shared" si="1"/>
        <v>7.2288587700000018E-2</v>
      </c>
      <c r="K19" s="271">
        <f t="shared" si="1"/>
        <v>7.5903017085000024E-2</v>
      </c>
      <c r="L19" s="271">
        <f t="shared" si="1"/>
        <v>7.9698167939250025E-2</v>
      </c>
      <c r="M19" s="271">
        <f t="shared" si="1"/>
        <v>8.3683076336212525E-2</v>
      </c>
      <c r="N19" s="271">
        <f t="shared" si="1"/>
        <v>8.7867230153023154E-2</v>
      </c>
      <c r="O19" s="271">
        <f t="shared" si="1"/>
        <v>9.226059166067431E-2</v>
      </c>
      <c r="P19" s="271">
        <f t="shared" si="1"/>
        <v>9.6873621243708033E-2</v>
      </c>
      <c r="Q19" s="271">
        <f t="shared" si="1"/>
        <v>0.10171730230589345</v>
      </c>
      <c r="R19" s="271">
        <f t="shared" si="1"/>
        <v>0.10680316742118812</v>
      </c>
      <c r="S19" s="272">
        <f t="shared" si="1"/>
        <v>0.11214332579224753</v>
      </c>
      <c r="T19" s="3"/>
    </row>
    <row r="20" spans="2:22" s="236" customFormat="1" ht="18" x14ac:dyDescent="0.35">
      <c r="B20" s="279" t="s">
        <v>91</v>
      </c>
      <c r="C20" s="216" t="s">
        <v>482</v>
      </c>
      <c r="D20" s="217" t="s">
        <v>479</v>
      </c>
      <c r="E20" s="216">
        <v>2015</v>
      </c>
      <c r="F20" s="216">
        <v>2016</v>
      </c>
      <c r="G20" s="216">
        <v>2017</v>
      </c>
      <c r="H20" s="216">
        <v>2018</v>
      </c>
      <c r="I20" s="216">
        <v>2019</v>
      </c>
      <c r="J20" s="216">
        <v>2020</v>
      </c>
      <c r="K20" s="216">
        <v>2021</v>
      </c>
      <c r="L20" s="216">
        <v>2022</v>
      </c>
      <c r="M20" s="216">
        <v>2023</v>
      </c>
      <c r="N20" s="216">
        <v>2024</v>
      </c>
      <c r="O20" s="216">
        <v>2025</v>
      </c>
      <c r="P20" s="216">
        <v>2026</v>
      </c>
      <c r="Q20" s="192">
        <v>2027</v>
      </c>
      <c r="R20" s="192">
        <v>2028</v>
      </c>
      <c r="S20" s="218">
        <v>2029</v>
      </c>
      <c r="T20" s="245"/>
      <c r="U20" s="239"/>
    </row>
    <row r="21" spans="2:22" s="236" customFormat="1" ht="18" x14ac:dyDescent="0.35">
      <c r="B21" s="246" t="s">
        <v>409</v>
      </c>
      <c r="C21" s="242"/>
      <c r="D21" s="215"/>
      <c r="E21" s="333" t="s">
        <v>481</v>
      </c>
      <c r="F21" s="333"/>
      <c r="G21" s="333"/>
      <c r="H21" s="333"/>
      <c r="I21" s="333"/>
      <c r="J21" s="333"/>
      <c r="K21" s="333"/>
      <c r="L21" s="333"/>
      <c r="M21" s="333"/>
      <c r="N21" s="333"/>
      <c r="O21" s="333"/>
      <c r="P21" s="333"/>
      <c r="Q21" s="333"/>
      <c r="R21" s="333"/>
      <c r="S21" s="334"/>
      <c r="T21" s="245"/>
      <c r="U21" s="239"/>
      <c r="V21" s="239"/>
    </row>
    <row r="22" spans="2:22" s="236" customFormat="1" x14ac:dyDescent="0.3">
      <c r="B22" s="275" t="s">
        <v>488</v>
      </c>
      <c r="C22" s="238" t="str">
        <f>C10</f>
        <v>Bottom Wedge: IOU Programs in 2018 PG</v>
      </c>
      <c r="D22" s="211" t="str">
        <f>D10</f>
        <v>From 2018 PG: Reference</v>
      </c>
      <c r="E22" s="264">
        <f>'2018 PGT BRO 0609 for 2015-17'!C24</f>
        <v>160.03722872343201</v>
      </c>
      <c r="F22" s="264">
        <f>'2018 PGT BRO 0609 for 2015-17'!D24</f>
        <v>203.05869848810229</v>
      </c>
      <c r="G22" s="264">
        <f>'2018 PGT BRO 0609 for 2015-17'!E24</f>
        <v>250.40726447837631</v>
      </c>
      <c r="H22" s="264">
        <f>'2018 PGT BRO 0609 for 2015-17'!F24</f>
        <v>302.60886406694163</v>
      </c>
      <c r="I22" s="264">
        <f>'2018 PGT BRO 0609 for 2015-17'!G24</f>
        <v>363.35425157011497</v>
      </c>
      <c r="J22" s="264">
        <f>'2018 PGT BRO 0609 for 2015-17'!H24</f>
        <v>409.15990392170028</v>
      </c>
      <c r="K22" s="264">
        <f>'2018 PGT BRO 0609 for 2015-17'!I24</f>
        <v>466.80609410391725</v>
      </c>
      <c r="L22" s="264">
        <f>'2018 PGT BRO 0609 for 2015-17'!J24</f>
        <v>521.00512568793954</v>
      </c>
      <c r="M22" s="264">
        <f>'2018 PGT BRO 0609 for 2015-17'!K24</f>
        <v>577.49902887726989</v>
      </c>
      <c r="N22" s="264">
        <f>'2018 PGT BRO 0609 for 2015-17'!L24</f>
        <v>637.81574492970242</v>
      </c>
      <c r="O22" s="264">
        <f>'2018 PGT BRO 0609 for 2015-17'!M24</f>
        <v>704.83015798182259</v>
      </c>
      <c r="P22" s="264">
        <f>'2018 PGT BRO 0609 for 2015-17'!N24</f>
        <v>772.0516860294573</v>
      </c>
      <c r="Q22" s="264">
        <f>'2018 PGT BRO 0609 for 2015-17'!O24</f>
        <v>844.52217332215469</v>
      </c>
      <c r="R22" s="264">
        <f>'2018 PGT BRO 0609 for 2015-17'!P24</f>
        <v>921.79247098375697</v>
      </c>
      <c r="S22" s="226">
        <f>'2018 PGT BRO 0609 for 2015-17'!Q24</f>
        <v>1004.8959435330426</v>
      </c>
      <c r="T22" s="238"/>
    </row>
    <row r="23" spans="2:22" s="236" customFormat="1" x14ac:dyDescent="0.3">
      <c r="B23" s="249" t="s">
        <v>52</v>
      </c>
      <c r="C23" s="238" t="s">
        <v>391</v>
      </c>
      <c r="D23" s="212" t="s">
        <v>372</v>
      </c>
      <c r="E23" s="266">
        <f>'POU BRO savings'!H$12</f>
        <v>23.666630999999999</v>
      </c>
      <c r="F23" s="266">
        <f>'POU BRO savings'!I$12</f>
        <v>26.033294099999999</v>
      </c>
      <c r="G23" s="266">
        <f>'POU BRO savings'!J$12</f>
        <v>28.63662351</v>
      </c>
      <c r="H23" s="266">
        <f>'POU BRO savings'!K$12</f>
        <v>31.500285861000002</v>
      </c>
      <c r="I23" s="266">
        <f>'POU BRO savings'!L$12</f>
        <v>40.119978938395491</v>
      </c>
      <c r="J23" s="266">
        <f>'POU BRO savings'!M$12</f>
        <v>49.975440556486433</v>
      </c>
      <c r="K23" s="266">
        <f>'POU BRO savings'!N$12</f>
        <v>76.975400434426462</v>
      </c>
      <c r="L23" s="266">
        <f>'POU BRO savings'!O$12</f>
        <v>81.959372465134109</v>
      </c>
      <c r="M23" s="266">
        <f>'POU BRO savings'!P$12</f>
        <v>86.301115880160935</v>
      </c>
      <c r="N23" s="266">
        <f>'POU BRO savings'!Q$12</f>
        <v>90.714166064914551</v>
      </c>
      <c r="O23" s="266">
        <f>'POU BRO savings'!R$12</f>
        <v>95.539547632073493</v>
      </c>
      <c r="P23" s="266">
        <f>'POU BRO savings'!S$12</f>
        <v>100.23828024709762</v>
      </c>
      <c r="Q23" s="266">
        <f>'POU BRO savings'!T$12</f>
        <v>105.10148230163104</v>
      </c>
      <c r="R23" s="266">
        <f>'POU BRO savings'!U$12</f>
        <v>109.7166277068321</v>
      </c>
      <c r="S23" s="220">
        <f>'POU BRO savings'!V$12</f>
        <v>114.20146792010956</v>
      </c>
      <c r="T23" s="238"/>
    </row>
    <row r="24" spans="2:22" s="236" customFormat="1" x14ac:dyDescent="0.3">
      <c r="B24" s="249" t="s">
        <v>483</v>
      </c>
      <c r="C24" s="238" t="s">
        <v>391</v>
      </c>
      <c r="D24" s="212" t="s">
        <v>372</v>
      </c>
      <c r="E24" s="266">
        <f>'POU BRO savings'!H27</f>
        <v>4.7513925308843969</v>
      </c>
      <c r="F24" s="266">
        <f>'POU BRO savings'!I27</f>
        <v>9.7198843706789688</v>
      </c>
      <c r="G24" s="266">
        <f>'POU BRO savings'!J27</f>
        <v>14.915395160756832</v>
      </c>
      <c r="H24" s="266">
        <f>'POU BRO savings'!K27</f>
        <v>20.348297787991815</v>
      </c>
      <c r="I24" s="266">
        <f>'POU BRO savings'!L27</f>
        <v>26.018592252383918</v>
      </c>
      <c r="J24" s="266">
        <f>'POU BRO savings'!M27</f>
        <v>33.350445312343048</v>
      </c>
      <c r="K24" s="266">
        <f>'POU BRO savings'!N27</f>
        <v>51.323061870790092</v>
      </c>
      <c r="L24" s="266">
        <f>'POU BRO savings'!O27</f>
        <v>70.000472403213806</v>
      </c>
      <c r="M24" s="266">
        <f>'POU BRO savings'!P27</f>
        <v>90.797909705216185</v>
      </c>
      <c r="N24" s="266">
        <f>'POU BRO savings'!Q27</f>
        <v>114.01187698362429</v>
      </c>
      <c r="O24" s="266">
        <f>'POU BRO savings'!R27</f>
        <v>137.8475084778442</v>
      </c>
      <c r="P24" s="266">
        <f>'POU BRO savings'!S27</f>
        <v>156.69768859882387</v>
      </c>
      <c r="Q24" s="266">
        <f>'POU BRO savings'!T27</f>
        <v>176.40590880575385</v>
      </c>
      <c r="R24" s="266">
        <f>'POU BRO savings'!U27</f>
        <v>197.54752928775352</v>
      </c>
      <c r="S24" s="220">
        <f>'POU BRO savings'!V27</f>
        <v>220.76384659090468</v>
      </c>
      <c r="T24" s="238"/>
    </row>
    <row r="25" spans="2:22" s="236" customFormat="1" x14ac:dyDescent="0.3">
      <c r="B25" s="249" t="s">
        <v>52</v>
      </c>
      <c r="C25" s="238" t="str">
        <f t="shared" ref="C25:S25" si="2">C13</f>
        <v>Middle Wedge: Savings beyond claimed utility programs</v>
      </c>
      <c r="D25" s="211" t="str">
        <f t="shared" si="2"/>
        <v>from Manage Act Save (MAS, through 2018) and Res Pay 4 Performance (P4P)</v>
      </c>
      <c r="E25" s="264">
        <f t="shared" si="2"/>
        <v>3.1432764999999998</v>
      </c>
      <c r="F25" s="264">
        <f t="shared" si="2"/>
        <v>3.1621644999999998</v>
      </c>
      <c r="G25" s="264">
        <f t="shared" si="2"/>
        <v>3.1819969000000001</v>
      </c>
      <c r="H25" s="264">
        <f t="shared" si="2"/>
        <v>3.2028209199999997</v>
      </c>
      <c r="I25" s="264">
        <f t="shared" si="2"/>
        <v>0.45916964100000007</v>
      </c>
      <c r="J25" s="264">
        <f t="shared" si="2"/>
        <v>0.48212812305000008</v>
      </c>
      <c r="K25" s="264">
        <f t="shared" si="2"/>
        <v>0.50623452920250012</v>
      </c>
      <c r="L25" s="264">
        <f t="shared" si="2"/>
        <v>0.53154625566262514</v>
      </c>
      <c r="M25" s="264">
        <f t="shared" si="2"/>
        <v>0.55812356844575639</v>
      </c>
      <c r="N25" s="264">
        <f t="shared" si="2"/>
        <v>0.58602974686804421</v>
      </c>
      <c r="O25" s="264">
        <f t="shared" si="2"/>
        <v>0.61533123421144642</v>
      </c>
      <c r="P25" s="264">
        <f t="shared" si="2"/>
        <v>0.64609779592201877</v>
      </c>
      <c r="Q25" s="264">
        <f t="shared" si="2"/>
        <v>0.67840268571811979</v>
      </c>
      <c r="R25" s="264">
        <f t="shared" si="2"/>
        <v>0.7123228200040258</v>
      </c>
      <c r="S25" s="226">
        <f t="shared" si="2"/>
        <v>0.74793896100422708</v>
      </c>
      <c r="T25" s="238"/>
    </row>
    <row r="26" spans="2:22" s="236" customFormat="1" x14ac:dyDescent="0.3">
      <c r="B26" s="244"/>
      <c r="C26" s="259" t="s">
        <v>478</v>
      </c>
      <c r="D26" s="208"/>
      <c r="E26" s="261">
        <f t="shared" ref="E26:S26" si="3">SUM(E23:E25)</f>
        <v>31.561300030884397</v>
      </c>
      <c r="F26" s="261">
        <f t="shared" si="3"/>
        <v>38.915342970678971</v>
      </c>
      <c r="G26" s="261">
        <f t="shared" si="3"/>
        <v>46.734015570756831</v>
      </c>
      <c r="H26" s="261">
        <f t="shared" si="3"/>
        <v>55.051404568991821</v>
      </c>
      <c r="I26" s="261">
        <f t="shared" si="3"/>
        <v>66.597740831779404</v>
      </c>
      <c r="J26" s="261">
        <f t="shared" si="3"/>
        <v>83.808013991879491</v>
      </c>
      <c r="K26" s="261">
        <f t="shared" si="3"/>
        <v>128.80469683441905</v>
      </c>
      <c r="L26" s="261">
        <f t="shared" si="3"/>
        <v>152.49139112401053</v>
      </c>
      <c r="M26" s="261">
        <f t="shared" si="3"/>
        <v>177.65714915382287</v>
      </c>
      <c r="N26" s="261">
        <f t="shared" si="3"/>
        <v>205.31207279540686</v>
      </c>
      <c r="O26" s="261">
        <f t="shared" si="3"/>
        <v>234.00238734412915</v>
      </c>
      <c r="P26" s="261">
        <f t="shared" si="3"/>
        <v>257.58206664184348</v>
      </c>
      <c r="Q26" s="261">
        <f t="shared" si="3"/>
        <v>282.18579379310302</v>
      </c>
      <c r="R26" s="261">
        <f t="shared" si="3"/>
        <v>307.97647981458965</v>
      </c>
      <c r="S26" s="222">
        <f t="shared" si="3"/>
        <v>335.71325347201849</v>
      </c>
      <c r="T26" s="238"/>
    </row>
    <row r="27" spans="2:22" s="236" customFormat="1" ht="18" x14ac:dyDescent="0.35">
      <c r="B27" s="246" t="s">
        <v>409</v>
      </c>
      <c r="C27" s="242"/>
      <c r="D27" s="215"/>
      <c r="E27" s="333" t="s">
        <v>480</v>
      </c>
      <c r="F27" s="333"/>
      <c r="G27" s="333"/>
      <c r="H27" s="333"/>
      <c r="I27" s="333"/>
      <c r="J27" s="333"/>
      <c r="K27" s="333"/>
      <c r="L27" s="333"/>
      <c r="M27" s="333"/>
      <c r="N27" s="333"/>
      <c r="O27" s="333"/>
      <c r="P27" s="333"/>
      <c r="Q27" s="333"/>
      <c r="R27" s="333"/>
      <c r="S27" s="334"/>
      <c r="T27" s="238"/>
    </row>
    <row r="28" spans="2:22" s="236" customFormat="1" x14ac:dyDescent="0.3">
      <c r="B28" s="275" t="s">
        <v>488</v>
      </c>
      <c r="C28" s="238" t="str">
        <f>C16</f>
        <v>Bottom Wedge: IOU Programs in 2018 PG</v>
      </c>
      <c r="D28" s="211" t="s">
        <v>389</v>
      </c>
      <c r="E28" s="206">
        <f>'2018 PGT BRO 0609 for 2015-17'!C101</f>
        <v>10.397278230618261</v>
      </c>
      <c r="F28" s="206">
        <f>'2018 PGT BRO 0609 for 2015-17'!D101</f>
        <v>11.67905721469428</v>
      </c>
      <c r="G28" s="206">
        <f>'2018 PGT BRO 0609 for 2015-17'!E101</f>
        <v>13.085167884724649</v>
      </c>
      <c r="H28" s="206">
        <f>'2018 PGT BRO 0609 for 2015-17'!F101</f>
        <v>14.631962780936494</v>
      </c>
      <c r="I28" s="206">
        <f>'2018 PGT BRO 0609 for 2015-17'!G101</f>
        <v>16.504929539036251</v>
      </c>
      <c r="J28" s="206">
        <f>'2018 PGT BRO 0609 for 2015-17'!H101</f>
        <v>18.294335794713103</v>
      </c>
      <c r="K28" s="206">
        <f>'2018 PGT BRO 0609 for 2015-17'!I101</f>
        <v>20.399406878867648</v>
      </c>
      <c r="L28" s="206">
        <f>'2018 PGT BRO 0609 for 2015-17'!J101</f>
        <v>22.550944431293775</v>
      </c>
      <c r="M28" s="206">
        <f>'2018 PGT BRO 0609 for 2015-17'!K101</f>
        <v>24.926634603286512</v>
      </c>
      <c r="N28" s="206">
        <f>'2018 PGT BRO 0609 for 2015-17'!L101</f>
        <v>27.484195163318113</v>
      </c>
      <c r="O28" s="206">
        <f>'2018 PGT BRO 0609 for 2015-17'!M101</f>
        <v>30.085797108545624</v>
      </c>
      <c r="P28" s="206">
        <f>'2018 PGT BRO 0609 for 2015-17'!N101</f>
        <v>32.735242481639986</v>
      </c>
      <c r="Q28" s="206">
        <f>'2018 PGT BRO 0609 for 2015-17'!O101</f>
        <v>35.54530462673155</v>
      </c>
      <c r="R28" s="206">
        <f>'2018 PGT BRO 0609 for 2015-17'!P101</f>
        <v>38.570441224076035</v>
      </c>
      <c r="S28" s="227">
        <f>'2018 PGT BRO 0609 for 2015-17'!Q101</f>
        <v>41.793824117628638</v>
      </c>
      <c r="T28" s="238"/>
    </row>
    <row r="29" spans="2:22" s="236" customFormat="1" x14ac:dyDescent="0.3">
      <c r="B29" s="249" t="s">
        <v>52</v>
      </c>
      <c r="C29" s="238" t="str">
        <f>C17</f>
        <v>Middle Wedge: POU programs</v>
      </c>
      <c r="D29" s="240" t="s">
        <v>398</v>
      </c>
      <c r="E29" s="206">
        <v>0</v>
      </c>
      <c r="F29" s="206">
        <v>0</v>
      </c>
      <c r="G29" s="206">
        <v>0</v>
      </c>
      <c r="H29" s="206">
        <v>0</v>
      </c>
      <c r="I29" s="206">
        <v>0</v>
      </c>
      <c r="J29" s="206">
        <v>0</v>
      </c>
      <c r="K29" s="206">
        <v>0</v>
      </c>
      <c r="L29" s="206">
        <v>0</v>
      </c>
      <c r="M29" s="206">
        <v>0</v>
      </c>
      <c r="N29" s="206">
        <v>0</v>
      </c>
      <c r="O29" s="206">
        <v>0</v>
      </c>
      <c r="P29" s="206">
        <v>0</v>
      </c>
      <c r="Q29" s="206">
        <v>0</v>
      </c>
      <c r="R29" s="206">
        <v>0</v>
      </c>
      <c r="S29" s="227">
        <v>0</v>
      </c>
      <c r="T29" s="238"/>
    </row>
    <row r="30" spans="2:22" s="236" customFormat="1" x14ac:dyDescent="0.3">
      <c r="B30" s="249" t="s">
        <v>52</v>
      </c>
      <c r="C30" s="238" t="s">
        <v>392</v>
      </c>
      <c r="D30" s="211" t="s">
        <v>399</v>
      </c>
      <c r="E30" s="206">
        <f t="shared" ref="E30:S30" si="4">E18</f>
        <v>0.32803900000000003</v>
      </c>
      <c r="F30" s="206">
        <f t="shared" si="4"/>
        <v>0.33087100000000003</v>
      </c>
      <c r="G30" s="206">
        <f t="shared" si="4"/>
        <v>0.33384459999999999</v>
      </c>
      <c r="H30" s="206">
        <f t="shared" si="4"/>
        <v>0.33696688000000002</v>
      </c>
      <c r="I30" s="206">
        <f t="shared" si="4"/>
        <v>6.8846274000000013E-2</v>
      </c>
      <c r="J30" s="206">
        <f t="shared" si="4"/>
        <v>7.2288587700000018E-2</v>
      </c>
      <c r="K30" s="206">
        <f t="shared" si="4"/>
        <v>7.5903017085000024E-2</v>
      </c>
      <c r="L30" s="206">
        <f t="shared" si="4"/>
        <v>7.9698167939250025E-2</v>
      </c>
      <c r="M30" s="206">
        <f t="shared" si="4"/>
        <v>8.3683076336212525E-2</v>
      </c>
      <c r="N30" s="206">
        <f t="shared" si="4"/>
        <v>8.7867230153023154E-2</v>
      </c>
      <c r="O30" s="206">
        <f t="shared" si="4"/>
        <v>9.226059166067431E-2</v>
      </c>
      <c r="P30" s="206">
        <f t="shared" si="4"/>
        <v>9.6873621243708033E-2</v>
      </c>
      <c r="Q30" s="206">
        <f t="shared" si="4"/>
        <v>0.10171730230589345</v>
      </c>
      <c r="R30" s="206">
        <f t="shared" si="4"/>
        <v>0.10680316742118812</v>
      </c>
      <c r="S30" s="227">
        <f t="shared" si="4"/>
        <v>0.11214332579224753</v>
      </c>
      <c r="T30" s="238"/>
    </row>
    <row r="31" spans="2:22" s="236" customFormat="1" ht="15" thickBot="1" x14ac:dyDescent="0.35">
      <c r="B31" s="247"/>
      <c r="C31" s="224" t="s">
        <v>478</v>
      </c>
      <c r="D31" s="225"/>
      <c r="E31" s="271">
        <f>SUM(E29:E30)</f>
        <v>0.32803900000000003</v>
      </c>
      <c r="F31" s="271">
        <f t="shared" ref="F31:S31" si="5">SUM(F29:F30)</f>
        <v>0.33087100000000003</v>
      </c>
      <c r="G31" s="271">
        <f t="shared" si="5"/>
        <v>0.33384459999999999</v>
      </c>
      <c r="H31" s="271">
        <f t="shared" si="5"/>
        <v>0.33696688000000002</v>
      </c>
      <c r="I31" s="271">
        <f t="shared" si="5"/>
        <v>6.8846274000000013E-2</v>
      </c>
      <c r="J31" s="271">
        <f t="shared" si="5"/>
        <v>7.2288587700000018E-2</v>
      </c>
      <c r="K31" s="271">
        <f t="shared" si="5"/>
        <v>7.5903017085000024E-2</v>
      </c>
      <c r="L31" s="271">
        <f t="shared" si="5"/>
        <v>7.9698167939250025E-2</v>
      </c>
      <c r="M31" s="271">
        <f t="shared" si="5"/>
        <v>8.3683076336212525E-2</v>
      </c>
      <c r="N31" s="271">
        <f t="shared" si="5"/>
        <v>8.7867230153023154E-2</v>
      </c>
      <c r="O31" s="271">
        <f t="shared" si="5"/>
        <v>9.226059166067431E-2</v>
      </c>
      <c r="P31" s="271">
        <f t="shared" si="5"/>
        <v>9.6873621243708033E-2</v>
      </c>
      <c r="Q31" s="271">
        <f t="shared" si="5"/>
        <v>0.10171730230589345</v>
      </c>
      <c r="R31" s="271">
        <f t="shared" si="5"/>
        <v>0.10680316742118812</v>
      </c>
      <c r="S31" s="272">
        <f t="shared" si="5"/>
        <v>0.11214332579224753</v>
      </c>
      <c r="T31" s="238"/>
    </row>
    <row r="32" spans="2:22" s="236" customFormat="1" x14ac:dyDescent="0.3"/>
    <row r="33" spans="2:22" s="236" customFormat="1" x14ac:dyDescent="0.3"/>
    <row r="34" spans="2:22" s="236" customFormat="1" ht="23.4" x14ac:dyDescent="0.45">
      <c r="C34" s="167"/>
      <c r="D34" s="208"/>
      <c r="E34" s="261"/>
      <c r="F34" s="261"/>
      <c r="G34" s="261"/>
      <c r="H34" s="261"/>
      <c r="I34" s="261"/>
      <c r="J34" s="261"/>
      <c r="K34" s="261"/>
      <c r="L34" s="261"/>
      <c r="M34" s="261"/>
      <c r="N34" s="261"/>
      <c r="O34" s="261"/>
      <c r="P34" s="261"/>
      <c r="Q34" s="261"/>
      <c r="R34" s="261"/>
      <c r="S34" s="261"/>
      <c r="T34" s="238"/>
    </row>
    <row r="35" spans="2:22" s="236" customFormat="1" ht="24" thickBot="1" x14ac:dyDescent="0.5">
      <c r="B35" s="335" t="s">
        <v>374</v>
      </c>
      <c r="C35" s="335"/>
      <c r="D35" s="335"/>
      <c r="E35" s="335"/>
      <c r="F35" s="335"/>
      <c r="G35" s="335"/>
      <c r="H35" s="335"/>
      <c r="I35" s="335"/>
      <c r="J35" s="335"/>
      <c r="K35" s="335"/>
      <c r="L35" s="335"/>
      <c r="M35" s="335"/>
      <c r="N35" s="335"/>
      <c r="O35" s="335"/>
      <c r="P35" s="335"/>
      <c r="Q35" s="335"/>
      <c r="R35" s="335"/>
      <c r="S35" s="335"/>
      <c r="T35" s="238"/>
    </row>
    <row r="36" spans="2:22" s="236" customFormat="1" ht="18" x14ac:dyDescent="0.35">
      <c r="B36" s="279" t="s">
        <v>91</v>
      </c>
      <c r="C36" s="216" t="s">
        <v>482</v>
      </c>
      <c r="D36" s="217" t="s">
        <v>479</v>
      </c>
      <c r="E36" s="216">
        <v>2015</v>
      </c>
      <c r="F36" s="216">
        <v>2016</v>
      </c>
      <c r="G36" s="216">
        <v>2017</v>
      </c>
      <c r="H36" s="216">
        <v>2018</v>
      </c>
      <c r="I36" s="216">
        <v>2019</v>
      </c>
      <c r="J36" s="216">
        <v>2020</v>
      </c>
      <c r="K36" s="216">
        <v>2021</v>
      </c>
      <c r="L36" s="216">
        <v>2022</v>
      </c>
      <c r="M36" s="216">
        <v>2023</v>
      </c>
      <c r="N36" s="216">
        <v>2024</v>
      </c>
      <c r="O36" s="216">
        <v>2025</v>
      </c>
      <c r="P36" s="216">
        <v>2026</v>
      </c>
      <c r="Q36" s="192">
        <v>2027</v>
      </c>
      <c r="R36" s="192">
        <v>2028</v>
      </c>
      <c r="S36" s="218">
        <v>2029</v>
      </c>
      <c r="T36" s="245"/>
      <c r="U36" s="239"/>
    </row>
    <row r="37" spans="2:22" s="236" customFormat="1" ht="18" x14ac:dyDescent="0.35">
      <c r="B37" s="248" t="s">
        <v>487</v>
      </c>
      <c r="C37" s="241"/>
      <c r="D37" s="210"/>
      <c r="E37" s="336" t="s">
        <v>481</v>
      </c>
      <c r="F37" s="336"/>
      <c r="G37" s="336"/>
      <c r="H37" s="336"/>
      <c r="I37" s="336"/>
      <c r="J37" s="336"/>
      <c r="K37" s="336"/>
      <c r="L37" s="336"/>
      <c r="M37" s="336"/>
      <c r="N37" s="336"/>
      <c r="O37" s="336"/>
      <c r="P37" s="336"/>
      <c r="Q37" s="336"/>
      <c r="R37" s="336"/>
      <c r="S37" s="337"/>
      <c r="T37" s="245"/>
      <c r="U37" s="239"/>
      <c r="V37" s="239"/>
    </row>
    <row r="38" spans="2:22" x14ac:dyDescent="0.3">
      <c r="B38" s="304" t="s">
        <v>488</v>
      </c>
      <c r="C38" s="231" t="s">
        <v>390</v>
      </c>
      <c r="D38" s="232" t="s">
        <v>396</v>
      </c>
      <c r="E38" s="233">
        <f t="shared" ref="E38:J41" si="6">E10</f>
        <v>160.03722872343201</v>
      </c>
      <c r="F38" s="233">
        <f t="shared" si="6"/>
        <v>176.05503155447209</v>
      </c>
      <c r="G38" s="233">
        <f t="shared" si="6"/>
        <v>193.75852461504107</v>
      </c>
      <c r="H38" s="233">
        <f t="shared" si="6"/>
        <v>213.33293889958455</v>
      </c>
      <c r="I38" s="233">
        <f t="shared" si="6"/>
        <v>238.07832818587636</v>
      </c>
      <c r="J38" s="233">
        <f t="shared" si="6"/>
        <v>267.68150109539738</v>
      </c>
      <c r="K38" s="233">
        <f t="shared" ref="K38:R41" si="7">J38+$U38</f>
        <v>266.20271409310737</v>
      </c>
      <c r="L38" s="233">
        <f t="shared" si="7"/>
        <v>264.72392709081737</v>
      </c>
      <c r="M38" s="233">
        <f t="shared" si="7"/>
        <v>263.24514008852736</v>
      </c>
      <c r="N38" s="233">
        <f t="shared" si="7"/>
        <v>261.76635308623736</v>
      </c>
      <c r="O38" s="233">
        <f t="shared" si="7"/>
        <v>260.28756608394735</v>
      </c>
      <c r="P38" s="233">
        <f t="shared" si="7"/>
        <v>258.80877908165735</v>
      </c>
      <c r="Q38" s="233">
        <f t="shared" si="7"/>
        <v>257.32999207936734</v>
      </c>
      <c r="R38" s="233">
        <f t="shared" si="7"/>
        <v>255.85120507707737</v>
      </c>
      <c r="S38" s="234">
        <f>S10*0.5</f>
        <v>252.89363107249761</v>
      </c>
      <c r="T38" s="3"/>
      <c r="U38" s="50">
        <f>(S38-J38)/10</f>
        <v>-1.4787870022899767</v>
      </c>
    </row>
    <row r="39" spans="2:22" x14ac:dyDescent="0.3">
      <c r="B39" s="249" t="s">
        <v>52</v>
      </c>
      <c r="C39" s="238" t="s">
        <v>391</v>
      </c>
      <c r="D39" s="213" t="s">
        <v>397</v>
      </c>
      <c r="E39" s="258">
        <f t="shared" si="6"/>
        <v>23.666630999999999</v>
      </c>
      <c r="F39" s="258">
        <f t="shared" si="6"/>
        <v>26.033294099999999</v>
      </c>
      <c r="G39" s="258">
        <f t="shared" si="6"/>
        <v>28.63662351</v>
      </c>
      <c r="H39" s="258">
        <f t="shared" si="6"/>
        <v>31.500285861000002</v>
      </c>
      <c r="I39" s="258">
        <f t="shared" si="6"/>
        <v>40.119978938395491</v>
      </c>
      <c r="J39" s="258">
        <f t="shared" si="6"/>
        <v>49.975440556486433</v>
      </c>
      <c r="K39" s="258">
        <f t="shared" si="7"/>
        <v>50.687969896843271</v>
      </c>
      <c r="L39" s="258">
        <f t="shared" si="7"/>
        <v>51.400499237200108</v>
      </c>
      <c r="M39" s="258">
        <f t="shared" si="7"/>
        <v>52.113028577556946</v>
      </c>
      <c r="N39" s="258">
        <f t="shared" si="7"/>
        <v>52.825557917913784</v>
      </c>
      <c r="O39" s="258">
        <f t="shared" si="7"/>
        <v>53.538087258270622</v>
      </c>
      <c r="P39" s="258">
        <f t="shared" si="7"/>
        <v>54.25061659862746</v>
      </c>
      <c r="Q39" s="258">
        <f t="shared" si="7"/>
        <v>54.963145938984297</v>
      </c>
      <c r="R39" s="258">
        <f t="shared" si="7"/>
        <v>55.675675279341135</v>
      </c>
      <c r="S39" s="228">
        <f>S11*0.5</f>
        <v>57.100733960054782</v>
      </c>
      <c r="T39" s="3"/>
      <c r="U39" s="50">
        <f>(S39-J39)/10</f>
        <v>0.71252934035683491</v>
      </c>
    </row>
    <row r="40" spans="2:22" s="236" customFormat="1" x14ac:dyDescent="0.3">
      <c r="B40" s="249" t="s">
        <v>483</v>
      </c>
      <c r="C40" s="238" t="s">
        <v>391</v>
      </c>
      <c r="D40" s="213" t="s">
        <v>397</v>
      </c>
      <c r="E40" s="258">
        <f t="shared" si="6"/>
        <v>4.7513925308843969</v>
      </c>
      <c r="F40" s="258">
        <f t="shared" si="6"/>
        <v>4.9684918397945719</v>
      </c>
      <c r="G40" s="258">
        <f t="shared" si="6"/>
        <v>5.1955107900778632</v>
      </c>
      <c r="H40" s="258">
        <f t="shared" si="6"/>
        <v>5.4329026272349825</v>
      </c>
      <c r="I40" s="258">
        <f t="shared" si="6"/>
        <v>5.6702944643921018</v>
      </c>
      <c r="J40" s="258">
        <f t="shared" si="6"/>
        <v>12.08324559084353</v>
      </c>
      <c r="K40" s="258">
        <f t="shared" si="7"/>
        <v>13.594635338170285</v>
      </c>
      <c r="L40" s="258">
        <f t="shared" si="7"/>
        <v>15.106025085497039</v>
      </c>
      <c r="M40" s="258">
        <f t="shared" si="7"/>
        <v>16.617414832823794</v>
      </c>
      <c r="N40" s="258">
        <f t="shared" si="7"/>
        <v>18.12880458015055</v>
      </c>
      <c r="O40" s="258">
        <f t="shared" si="7"/>
        <v>19.640194327477307</v>
      </c>
      <c r="P40" s="258">
        <f t="shared" si="7"/>
        <v>21.151584074804063</v>
      </c>
      <c r="Q40" s="258">
        <f t="shared" si="7"/>
        <v>22.662973822130819</v>
      </c>
      <c r="R40" s="258">
        <f t="shared" si="7"/>
        <v>24.174363569457576</v>
      </c>
      <c r="S40" s="228">
        <f>S12*0.5</f>
        <v>27.197143064111081</v>
      </c>
      <c r="T40" s="238"/>
      <c r="U40" s="256">
        <f>(S40-J40)/10</f>
        <v>1.511389747326755</v>
      </c>
    </row>
    <row r="41" spans="2:22" x14ac:dyDescent="0.3">
      <c r="B41" s="249" t="s">
        <v>52</v>
      </c>
      <c r="C41" s="238" t="s">
        <v>392</v>
      </c>
      <c r="D41" s="211" t="s">
        <v>418</v>
      </c>
      <c r="E41" s="263">
        <f t="shared" si="6"/>
        <v>3.1432764999999998</v>
      </c>
      <c r="F41" s="263">
        <f t="shared" si="6"/>
        <v>3.1621644999999998</v>
      </c>
      <c r="G41" s="263">
        <f t="shared" si="6"/>
        <v>3.1819969000000001</v>
      </c>
      <c r="H41" s="263">
        <f t="shared" si="6"/>
        <v>3.2028209199999997</v>
      </c>
      <c r="I41" s="263">
        <f t="shared" si="6"/>
        <v>0.45916964100000007</v>
      </c>
      <c r="J41" s="263">
        <f t="shared" si="6"/>
        <v>0.48212812305000008</v>
      </c>
      <c r="K41" s="263">
        <f t="shared" si="7"/>
        <v>0.47131225879521144</v>
      </c>
      <c r="L41" s="263">
        <f t="shared" si="7"/>
        <v>0.46049639454042279</v>
      </c>
      <c r="M41" s="263">
        <f t="shared" si="7"/>
        <v>0.44968053028563415</v>
      </c>
      <c r="N41" s="263">
        <f t="shared" si="7"/>
        <v>0.43886466603084551</v>
      </c>
      <c r="O41" s="263">
        <f t="shared" si="7"/>
        <v>0.42804880177605686</v>
      </c>
      <c r="P41" s="263">
        <f t="shared" si="7"/>
        <v>0.41723293752126822</v>
      </c>
      <c r="Q41" s="263">
        <f t="shared" si="7"/>
        <v>0.40641707326647958</v>
      </c>
      <c r="R41" s="263">
        <f t="shared" si="7"/>
        <v>0.39560120901169094</v>
      </c>
      <c r="S41" s="174">
        <f>S13*0.5</f>
        <v>0.37396948050211354</v>
      </c>
      <c r="T41" s="3"/>
      <c r="U41" s="49">
        <f>(S41-J41)/10</f>
        <v>-1.0815864254788653E-2</v>
      </c>
    </row>
    <row r="42" spans="2:22" x14ac:dyDescent="0.3">
      <c r="B42" s="244"/>
      <c r="C42" s="259" t="s">
        <v>478</v>
      </c>
      <c r="D42" s="208"/>
      <c r="E42" s="261">
        <f t="shared" ref="E42:S42" si="8">SUM(E39:E41)</f>
        <v>31.561300030884397</v>
      </c>
      <c r="F42" s="261">
        <f t="shared" si="8"/>
        <v>34.163950439794576</v>
      </c>
      <c r="G42" s="261">
        <f t="shared" si="8"/>
        <v>37.014131200077863</v>
      </c>
      <c r="H42" s="261">
        <f t="shared" si="8"/>
        <v>40.136009408234983</v>
      </c>
      <c r="I42" s="261">
        <f t="shared" si="8"/>
        <v>46.249443043787593</v>
      </c>
      <c r="J42" s="261">
        <f t="shared" si="8"/>
        <v>62.540814270379968</v>
      </c>
      <c r="K42" s="261">
        <f t="shared" si="8"/>
        <v>64.753917493808771</v>
      </c>
      <c r="L42" s="261">
        <f t="shared" si="8"/>
        <v>66.967020717237574</v>
      </c>
      <c r="M42" s="261">
        <f t="shared" si="8"/>
        <v>69.180123940666377</v>
      </c>
      <c r="N42" s="261">
        <f t="shared" si="8"/>
        <v>71.393227164095194</v>
      </c>
      <c r="O42" s="261">
        <f t="shared" si="8"/>
        <v>73.606330387523982</v>
      </c>
      <c r="P42" s="261">
        <f t="shared" si="8"/>
        <v>75.819433610952785</v>
      </c>
      <c r="Q42" s="261">
        <f t="shared" si="8"/>
        <v>78.032536834381602</v>
      </c>
      <c r="R42" s="261">
        <f t="shared" si="8"/>
        <v>80.245640057810391</v>
      </c>
      <c r="S42" s="222">
        <f t="shared" si="8"/>
        <v>84.671846504667982</v>
      </c>
      <c r="T42" s="3"/>
    </row>
    <row r="43" spans="2:22" s="236" customFormat="1" ht="18" x14ac:dyDescent="0.35">
      <c r="B43" s="248" t="s">
        <v>487</v>
      </c>
      <c r="C43" s="241"/>
      <c r="D43" s="210"/>
      <c r="E43" s="336" t="s">
        <v>480</v>
      </c>
      <c r="F43" s="336"/>
      <c r="G43" s="336"/>
      <c r="H43" s="336"/>
      <c r="I43" s="336"/>
      <c r="J43" s="336"/>
      <c r="K43" s="336"/>
      <c r="L43" s="336"/>
      <c r="M43" s="336"/>
      <c r="N43" s="336"/>
      <c r="O43" s="336"/>
      <c r="P43" s="336"/>
      <c r="Q43" s="336"/>
      <c r="R43" s="336"/>
      <c r="S43" s="337"/>
      <c r="T43" s="245"/>
      <c r="U43" s="239"/>
      <c r="V43" s="239"/>
    </row>
    <row r="44" spans="2:22" x14ac:dyDescent="0.3">
      <c r="B44" s="304" t="s">
        <v>488</v>
      </c>
      <c r="C44" s="231" t="s">
        <v>390</v>
      </c>
      <c r="D44" s="232" t="s">
        <v>396</v>
      </c>
      <c r="E44" s="269">
        <f t="shared" ref="E44:J46" si="9">E16</f>
        <v>10.397278230618261</v>
      </c>
      <c r="F44" s="269">
        <f t="shared" si="9"/>
        <v>10.889159690267411</v>
      </c>
      <c r="G44" s="269">
        <f t="shared" si="9"/>
        <v>11.411072094815994</v>
      </c>
      <c r="H44" s="269">
        <f t="shared" si="9"/>
        <v>11.965790059684478</v>
      </c>
      <c r="I44" s="269">
        <f t="shared" si="9"/>
        <v>12.72312955308446</v>
      </c>
      <c r="J44" s="269">
        <f t="shared" si="9"/>
        <v>13.676384936537296</v>
      </c>
      <c r="K44" s="269">
        <f t="shared" ref="K44:R44" si="10">J44+$U44</f>
        <v>13.354557620608388</v>
      </c>
      <c r="L44" s="269">
        <f t="shared" si="10"/>
        <v>13.032730304679479</v>
      </c>
      <c r="M44" s="269">
        <f t="shared" si="10"/>
        <v>12.71090298875057</v>
      </c>
      <c r="N44" s="269">
        <f t="shared" si="10"/>
        <v>12.389075672821662</v>
      </c>
      <c r="O44" s="269">
        <f t="shared" si="10"/>
        <v>12.067248356892753</v>
      </c>
      <c r="P44" s="269">
        <f t="shared" si="10"/>
        <v>11.745421040963844</v>
      </c>
      <c r="Q44" s="269">
        <f t="shared" si="10"/>
        <v>11.423593725034936</v>
      </c>
      <c r="R44" s="269">
        <f t="shared" si="10"/>
        <v>11.101766409106027</v>
      </c>
      <c r="S44" s="270">
        <f>S16*0.5</f>
        <v>10.458111777248206</v>
      </c>
      <c r="T44" s="3"/>
      <c r="U44" s="50">
        <f>(S44-J44)/10</f>
        <v>-0.32182731592890901</v>
      </c>
    </row>
    <row r="45" spans="2:22" x14ac:dyDescent="0.3">
      <c r="B45" s="249" t="s">
        <v>488</v>
      </c>
      <c r="C45" s="238" t="s">
        <v>391</v>
      </c>
      <c r="D45" s="240" t="s">
        <v>398</v>
      </c>
      <c r="E45" s="262">
        <f t="shared" si="9"/>
        <v>0</v>
      </c>
      <c r="F45" s="262">
        <f t="shared" si="9"/>
        <v>0</v>
      </c>
      <c r="G45" s="262">
        <f t="shared" si="9"/>
        <v>0</v>
      </c>
      <c r="H45" s="262">
        <f t="shared" si="9"/>
        <v>0</v>
      </c>
      <c r="I45" s="262">
        <f t="shared" si="9"/>
        <v>0</v>
      </c>
      <c r="J45" s="262">
        <f t="shared" si="9"/>
        <v>0</v>
      </c>
      <c r="K45" s="262">
        <f t="shared" ref="K45:S45" si="11">K17</f>
        <v>0</v>
      </c>
      <c r="L45" s="262">
        <f t="shared" si="11"/>
        <v>0</v>
      </c>
      <c r="M45" s="262">
        <f t="shared" si="11"/>
        <v>0</v>
      </c>
      <c r="N45" s="262">
        <f t="shared" si="11"/>
        <v>0</v>
      </c>
      <c r="O45" s="262">
        <f t="shared" si="11"/>
        <v>0</v>
      </c>
      <c r="P45" s="262">
        <f t="shared" si="11"/>
        <v>0</v>
      </c>
      <c r="Q45" s="262">
        <f t="shared" si="11"/>
        <v>0</v>
      </c>
      <c r="R45" s="262">
        <f t="shared" si="11"/>
        <v>0</v>
      </c>
      <c r="S45" s="223">
        <f t="shared" si="11"/>
        <v>0</v>
      </c>
      <c r="T45" s="3"/>
      <c r="U45" s="50">
        <f>(S45-E45)/15</f>
        <v>0</v>
      </c>
    </row>
    <row r="46" spans="2:22" x14ac:dyDescent="0.3">
      <c r="B46" s="249" t="s">
        <v>52</v>
      </c>
      <c r="C46" s="238" t="s">
        <v>392</v>
      </c>
      <c r="D46" s="211" t="s">
        <v>420</v>
      </c>
      <c r="E46" s="273">
        <f t="shared" si="9"/>
        <v>0.32803900000000003</v>
      </c>
      <c r="F46" s="273">
        <f t="shared" si="9"/>
        <v>0.33087100000000003</v>
      </c>
      <c r="G46" s="273">
        <f t="shared" si="9"/>
        <v>0.33384459999999999</v>
      </c>
      <c r="H46" s="273">
        <f t="shared" si="9"/>
        <v>0.33696688000000002</v>
      </c>
      <c r="I46" s="273">
        <f t="shared" si="9"/>
        <v>6.8846274000000013E-2</v>
      </c>
      <c r="J46" s="273">
        <f t="shared" si="9"/>
        <v>7.2288587700000018E-2</v>
      </c>
      <c r="K46" s="273">
        <f>J46+$U46</f>
        <v>7.0666895219612391E-2</v>
      </c>
      <c r="L46" s="273">
        <f>K46+$U46</f>
        <v>6.9045202739224765E-2</v>
      </c>
      <c r="M46" s="273">
        <f>L46+$U46</f>
        <v>6.7423510258837138E-2</v>
      </c>
      <c r="N46" s="273">
        <f>M46+$U46</f>
        <v>6.5801817778449512E-2</v>
      </c>
      <c r="O46" s="273">
        <f>N46+$U46</f>
        <v>6.4180125298061885E-2</v>
      </c>
      <c r="P46" s="273">
        <f>O46+$U$46</f>
        <v>6.2558432817674259E-2</v>
      </c>
      <c r="Q46" s="273">
        <f>P46+$U$46</f>
        <v>6.0936740337286632E-2</v>
      </c>
      <c r="R46" s="273">
        <f>Q46+$U$46</f>
        <v>5.9315047856899006E-2</v>
      </c>
      <c r="S46" s="274">
        <f>S18*0.5</f>
        <v>5.6071662896123767E-2</v>
      </c>
      <c r="T46" s="3"/>
      <c r="U46" s="49">
        <f>(S46-J46)/10</f>
        <v>-1.6216924803876252E-3</v>
      </c>
    </row>
    <row r="47" spans="2:22" ht="15" thickBot="1" x14ac:dyDescent="0.35">
      <c r="B47" s="244"/>
      <c r="C47" s="259" t="s">
        <v>478</v>
      </c>
      <c r="D47" s="208"/>
      <c r="E47" s="235">
        <f t="shared" ref="E47:S47" si="12">SUM(E45:E46)</f>
        <v>0.32803900000000003</v>
      </c>
      <c r="F47" s="235">
        <f t="shared" si="12"/>
        <v>0.33087100000000003</v>
      </c>
      <c r="G47" s="235">
        <f t="shared" si="12"/>
        <v>0.33384459999999999</v>
      </c>
      <c r="H47" s="235">
        <f t="shared" si="12"/>
        <v>0.33696688000000002</v>
      </c>
      <c r="I47" s="235">
        <f t="shared" si="12"/>
        <v>6.8846274000000013E-2</v>
      </c>
      <c r="J47" s="235">
        <f t="shared" si="12"/>
        <v>7.2288587700000018E-2</v>
      </c>
      <c r="K47" s="235">
        <f t="shared" si="12"/>
        <v>7.0666895219612391E-2</v>
      </c>
      <c r="L47" s="235">
        <f t="shared" si="12"/>
        <v>6.9045202739224765E-2</v>
      </c>
      <c r="M47" s="235">
        <f t="shared" si="12"/>
        <v>6.7423510258837138E-2</v>
      </c>
      <c r="N47" s="235">
        <f t="shared" si="12"/>
        <v>6.5801817778449512E-2</v>
      </c>
      <c r="O47" s="235">
        <f t="shared" si="12"/>
        <v>6.4180125298061885E-2</v>
      </c>
      <c r="P47" s="235">
        <f t="shared" si="12"/>
        <v>6.2558432817674259E-2</v>
      </c>
      <c r="Q47" s="235">
        <f t="shared" si="12"/>
        <v>6.0936740337286632E-2</v>
      </c>
      <c r="R47" s="235">
        <f t="shared" si="12"/>
        <v>5.9315047856899006E-2</v>
      </c>
      <c r="S47" s="268">
        <f t="shared" si="12"/>
        <v>5.6071662896123767E-2</v>
      </c>
      <c r="T47" s="3"/>
    </row>
    <row r="48" spans="2:22" ht="18" x14ac:dyDescent="0.35">
      <c r="B48" s="279" t="s">
        <v>91</v>
      </c>
      <c r="C48" s="216" t="s">
        <v>482</v>
      </c>
      <c r="D48" s="217" t="s">
        <v>479</v>
      </c>
      <c r="E48" s="216">
        <v>2015</v>
      </c>
      <c r="F48" s="216">
        <v>2016</v>
      </c>
      <c r="G48" s="216">
        <v>2017</v>
      </c>
      <c r="H48" s="216">
        <v>2018</v>
      </c>
      <c r="I48" s="216">
        <v>2019</v>
      </c>
      <c r="J48" s="216">
        <v>2020</v>
      </c>
      <c r="K48" s="216">
        <v>2021</v>
      </c>
      <c r="L48" s="216">
        <v>2022</v>
      </c>
      <c r="M48" s="216">
        <v>2023</v>
      </c>
      <c r="N48" s="216">
        <v>2024</v>
      </c>
      <c r="O48" s="216">
        <v>2025</v>
      </c>
      <c r="P48" s="216">
        <v>2026</v>
      </c>
      <c r="Q48" s="192">
        <v>2027</v>
      </c>
      <c r="R48" s="192">
        <v>2028</v>
      </c>
      <c r="S48" s="218">
        <v>2029</v>
      </c>
      <c r="T48" s="20"/>
      <c r="U48" s="9"/>
    </row>
    <row r="49" spans="2:22" ht="18" x14ac:dyDescent="0.35">
      <c r="B49" s="246" t="s">
        <v>409</v>
      </c>
      <c r="C49" s="242"/>
      <c r="D49" s="215"/>
      <c r="E49" s="333" t="s">
        <v>481</v>
      </c>
      <c r="F49" s="333"/>
      <c r="G49" s="333"/>
      <c r="H49" s="333"/>
      <c r="I49" s="333"/>
      <c r="J49" s="333"/>
      <c r="K49" s="333"/>
      <c r="L49" s="333"/>
      <c r="M49" s="333"/>
      <c r="N49" s="333"/>
      <c r="O49" s="333"/>
      <c r="P49" s="333"/>
      <c r="Q49" s="333"/>
      <c r="R49" s="333"/>
      <c r="S49" s="334"/>
      <c r="T49" s="20"/>
      <c r="U49" s="9"/>
      <c r="V49" s="9"/>
    </row>
    <row r="50" spans="2:22" x14ac:dyDescent="0.3">
      <c r="B50" s="275" t="s">
        <v>488</v>
      </c>
      <c r="C50" s="238" t="str">
        <f t="shared" ref="C50:D53" si="13">C38</f>
        <v>Bottom Wedge: IOU Programs in 2018 PG</v>
      </c>
      <c r="D50" s="213" t="str">
        <f t="shared" si="13"/>
        <v>2018 PG savings x 0.5: fewer savings opportunities</v>
      </c>
      <c r="E50" s="258">
        <f>'2018 PGT BRO 0609 for 2015-17'!C75</f>
        <v>160.03722872343201</v>
      </c>
      <c r="F50" s="258">
        <f>'2018 PGT BRO 0609 for 2015-17'!D75</f>
        <v>203.05869848810229</v>
      </c>
      <c r="G50" s="258">
        <f>'2018 PGT BRO 0609 for 2015-17'!E75</f>
        <v>250.40726447837631</v>
      </c>
      <c r="H50" s="258">
        <f>'2018 PGT BRO 0609 for 2015-17'!F75</f>
        <v>302.60886406694163</v>
      </c>
      <c r="I50" s="258">
        <f>'2018 PGT BRO 0609 for 2015-17'!G75</f>
        <v>363.35425157011497</v>
      </c>
      <c r="J50" s="258">
        <f>'2018 PGT BRO 0609 for 2015-17'!H75</f>
        <v>409.15990392170028</v>
      </c>
      <c r="K50" s="258">
        <f>'2018 PGT BRO 0609 for 2015-17'!I75</f>
        <v>433.70299135685599</v>
      </c>
      <c r="L50" s="258">
        <f>'2018 PGT BRO 0609 for 2015-17'!J75</f>
        <v>457.2619407496465</v>
      </c>
      <c r="M50" s="258">
        <f>'2018 PGT BRO 0609 for 2015-17'!K75</f>
        <v>480.72161670327733</v>
      </c>
      <c r="N50" s="258">
        <f>'2018 PGT BRO 0609 for 2015-17'!L75</f>
        <v>502.99111342683614</v>
      </c>
      <c r="O50" s="258">
        <f>'2018 PGT BRO 0609 for 2015-17'!M75</f>
        <v>516.44343034917051</v>
      </c>
      <c r="P50" s="258">
        <f>'2018 PGT BRO 0609 for 2015-17'!N75</f>
        <v>529.73269711507101</v>
      </c>
      <c r="Q50" s="258">
        <f>'2018 PGT BRO 0609 for 2015-17'!O75</f>
        <v>542.92344849421158</v>
      </c>
      <c r="R50" s="258">
        <f>'2018 PGT BRO 0609 for 2015-17'!P75</f>
        <v>556.11419987335216</v>
      </c>
      <c r="S50" s="228">
        <f>'2018 PGT BRO 0609 for 2015-17'!Q75</f>
        <v>569.30495125249286</v>
      </c>
      <c r="T50" s="3"/>
    </row>
    <row r="51" spans="2:22" x14ac:dyDescent="0.3">
      <c r="B51" s="249" t="s">
        <v>52</v>
      </c>
      <c r="C51" s="238" t="str">
        <f t="shared" si="13"/>
        <v>Middle Wedge: POU programs</v>
      </c>
      <c r="D51" s="211" t="str">
        <f t="shared" si="13"/>
        <v>POU savings x 0.5: fewer savings opportunities</v>
      </c>
      <c r="E51" s="266">
        <f>(E$50/E$22)*E23</f>
        <v>23.666630999999999</v>
      </c>
      <c r="F51" s="266">
        <f t="shared" ref="F51:S51" si="14">(F$50/F$22)*F23</f>
        <v>26.033294099999999</v>
      </c>
      <c r="G51" s="266">
        <f t="shared" si="14"/>
        <v>28.63662351</v>
      </c>
      <c r="H51" s="266">
        <f t="shared" si="14"/>
        <v>31.500285861000002</v>
      </c>
      <c r="I51" s="266">
        <f t="shared" si="14"/>
        <v>40.119978938395491</v>
      </c>
      <c r="J51" s="266">
        <f t="shared" si="14"/>
        <v>49.975440556486433</v>
      </c>
      <c r="K51" s="266">
        <f t="shared" si="14"/>
        <v>71.516764350275949</v>
      </c>
      <c r="L51" s="266">
        <f t="shared" si="14"/>
        <v>71.931925173568203</v>
      </c>
      <c r="M51" s="266">
        <f t="shared" si="14"/>
        <v>71.838756213778197</v>
      </c>
      <c r="N51" s="266">
        <f t="shared" si="14"/>
        <v>71.538559145490012</v>
      </c>
      <c r="O51" s="266">
        <f t="shared" si="14"/>
        <v>70.003774887266516</v>
      </c>
      <c r="P51" s="266">
        <f t="shared" si="14"/>
        <v>68.777124006494788</v>
      </c>
      <c r="Q51" s="266">
        <f t="shared" si="14"/>
        <v>67.567271784689723</v>
      </c>
      <c r="R51" s="266">
        <f t="shared" si="14"/>
        <v>66.191660867950986</v>
      </c>
      <c r="S51" s="220">
        <f t="shared" si="14"/>
        <v>64.698699945626046</v>
      </c>
      <c r="T51" s="3"/>
    </row>
    <row r="52" spans="2:22" s="236" customFormat="1" x14ac:dyDescent="0.3">
      <c r="B52" s="249" t="s">
        <v>483</v>
      </c>
      <c r="C52" s="238" t="str">
        <f t="shared" si="13"/>
        <v>Middle Wedge: POU programs</v>
      </c>
      <c r="D52" s="211" t="str">
        <f t="shared" si="13"/>
        <v>POU savings x 0.5: fewer savings opportunities</v>
      </c>
      <c r="E52" s="266">
        <f>(E$50/E$22)*E24</f>
        <v>4.7513925308843969</v>
      </c>
      <c r="F52" s="266">
        <f t="shared" ref="F52:R52" si="15">(F$50/F$22)*F24</f>
        <v>9.7198843706789688</v>
      </c>
      <c r="G52" s="266">
        <f t="shared" si="15"/>
        <v>14.915395160756832</v>
      </c>
      <c r="H52" s="266">
        <f t="shared" si="15"/>
        <v>20.348297787991815</v>
      </c>
      <c r="I52" s="266">
        <f t="shared" si="15"/>
        <v>26.018592252383918</v>
      </c>
      <c r="J52" s="266">
        <f t="shared" si="15"/>
        <v>33.350445312343048</v>
      </c>
      <c r="K52" s="266">
        <f t="shared" si="15"/>
        <v>47.683536569253782</v>
      </c>
      <c r="L52" s="266">
        <f t="shared" si="15"/>
        <v>61.436155397168612</v>
      </c>
      <c r="M52" s="266">
        <f t="shared" si="15"/>
        <v>75.581976356960936</v>
      </c>
      <c r="N52" s="266">
        <f t="shared" si="15"/>
        <v>89.911485258485129</v>
      </c>
      <c r="O52" s="266">
        <f t="shared" si="15"/>
        <v>101.00368058487675</v>
      </c>
      <c r="P52" s="266">
        <f t="shared" si="15"/>
        <v>107.51597427375523</v>
      </c>
      <c r="Q52" s="266">
        <f t="shared" si="15"/>
        <v>113.40721104671412</v>
      </c>
      <c r="R52" s="266">
        <f t="shared" si="15"/>
        <v>119.17973908983305</v>
      </c>
      <c r="S52" s="220">
        <f>(S$50/S$22)*S24</f>
        <v>125.06961713853826</v>
      </c>
      <c r="T52" s="238"/>
    </row>
    <row r="53" spans="2:22" x14ac:dyDescent="0.3">
      <c r="B53" s="249" t="s">
        <v>52</v>
      </c>
      <c r="C53" s="238" t="str">
        <f t="shared" si="13"/>
        <v>Middle Wedge: Savings beyond claimed utility programs</v>
      </c>
      <c r="D53" s="211" t="str">
        <f t="shared" si="13"/>
        <v>MAS and P4P savings x 0.5</v>
      </c>
      <c r="E53" s="267">
        <f t="shared" ref="E53:S53" si="16">E41</f>
        <v>3.1432764999999998</v>
      </c>
      <c r="F53" s="267">
        <f t="shared" si="16"/>
        <v>3.1621644999999998</v>
      </c>
      <c r="G53" s="267">
        <f t="shared" si="16"/>
        <v>3.1819969000000001</v>
      </c>
      <c r="H53" s="267">
        <f t="shared" si="16"/>
        <v>3.2028209199999997</v>
      </c>
      <c r="I53" s="267">
        <f t="shared" si="16"/>
        <v>0.45916964100000007</v>
      </c>
      <c r="J53" s="267">
        <f t="shared" si="16"/>
        <v>0.48212812305000008</v>
      </c>
      <c r="K53" s="267">
        <f t="shared" si="16"/>
        <v>0.47131225879521144</v>
      </c>
      <c r="L53" s="267">
        <f t="shared" si="16"/>
        <v>0.46049639454042279</v>
      </c>
      <c r="M53" s="267">
        <f t="shared" si="16"/>
        <v>0.44968053028563415</v>
      </c>
      <c r="N53" s="267">
        <f t="shared" si="16"/>
        <v>0.43886466603084551</v>
      </c>
      <c r="O53" s="267">
        <f t="shared" si="16"/>
        <v>0.42804880177605686</v>
      </c>
      <c r="P53" s="267">
        <f t="shared" si="16"/>
        <v>0.41723293752126822</v>
      </c>
      <c r="Q53" s="267">
        <f t="shared" si="16"/>
        <v>0.40641707326647958</v>
      </c>
      <c r="R53" s="267">
        <f t="shared" si="16"/>
        <v>0.39560120901169094</v>
      </c>
      <c r="S53" s="230">
        <f t="shared" si="16"/>
        <v>0.37396948050211354</v>
      </c>
      <c r="T53" s="3"/>
    </row>
    <row r="54" spans="2:22" x14ac:dyDescent="0.3">
      <c r="B54" s="244"/>
      <c r="C54" s="259" t="s">
        <v>478</v>
      </c>
      <c r="D54" s="208"/>
      <c r="E54" s="261">
        <f t="shared" ref="E54:S54" si="17">SUM(E51:E53)</f>
        <v>31.561300030884397</v>
      </c>
      <c r="F54" s="261">
        <f t="shared" si="17"/>
        <v>38.915342970678971</v>
      </c>
      <c r="G54" s="261">
        <f t="shared" si="17"/>
        <v>46.734015570756831</v>
      </c>
      <c r="H54" s="261">
        <f t="shared" si="17"/>
        <v>55.051404568991821</v>
      </c>
      <c r="I54" s="261">
        <f t="shared" si="17"/>
        <v>66.597740831779404</v>
      </c>
      <c r="J54" s="261">
        <f t="shared" si="17"/>
        <v>83.808013991879491</v>
      </c>
      <c r="K54" s="261">
        <f t="shared" si="17"/>
        <v>119.67161317832493</v>
      </c>
      <c r="L54" s="261">
        <f t="shared" si="17"/>
        <v>133.82857696527725</v>
      </c>
      <c r="M54" s="261">
        <f t="shared" si="17"/>
        <v>147.87041310102475</v>
      </c>
      <c r="N54" s="261">
        <f t="shared" si="17"/>
        <v>161.88890907000598</v>
      </c>
      <c r="O54" s="261">
        <f t="shared" si="17"/>
        <v>171.43550427391929</v>
      </c>
      <c r="P54" s="261">
        <f t="shared" si="17"/>
        <v>176.71033121777131</v>
      </c>
      <c r="Q54" s="261">
        <f t="shared" si="17"/>
        <v>181.38089990467034</v>
      </c>
      <c r="R54" s="261">
        <f t="shared" si="17"/>
        <v>185.76700116679572</v>
      </c>
      <c r="S54" s="222">
        <f t="shared" si="17"/>
        <v>190.14228656466645</v>
      </c>
      <c r="T54" s="3"/>
    </row>
    <row r="55" spans="2:22" ht="18" x14ac:dyDescent="0.35">
      <c r="B55" s="246" t="s">
        <v>409</v>
      </c>
      <c r="C55" s="242"/>
      <c r="D55" s="215"/>
      <c r="E55" s="333" t="s">
        <v>480</v>
      </c>
      <c r="F55" s="333"/>
      <c r="G55" s="333"/>
      <c r="H55" s="333"/>
      <c r="I55" s="333"/>
      <c r="J55" s="333"/>
      <c r="K55" s="333"/>
      <c r="L55" s="333"/>
      <c r="M55" s="333"/>
      <c r="N55" s="333"/>
      <c r="O55" s="333"/>
      <c r="P55" s="333"/>
      <c r="Q55" s="333"/>
      <c r="R55" s="333"/>
      <c r="S55" s="334"/>
      <c r="T55" s="3"/>
    </row>
    <row r="56" spans="2:22" x14ac:dyDescent="0.3">
      <c r="B56" s="275" t="s">
        <v>488</v>
      </c>
      <c r="C56" s="238" t="str">
        <f>C44</f>
        <v>Bottom Wedge: IOU Programs in 2018 PG</v>
      </c>
      <c r="D56" s="213" t="s">
        <v>396</v>
      </c>
      <c r="E56" s="305">
        <f>'2018 PGT BRO 0609 for 2015-17'!C153</f>
        <v>10.397278230618261</v>
      </c>
      <c r="F56" s="305">
        <f>'2018 PGT BRO 0609 for 2015-17'!D153</f>
        <v>11.67905721469428</v>
      </c>
      <c r="G56" s="305">
        <f>'2018 PGT BRO 0609 for 2015-17'!E153</f>
        <v>13.085167884724649</v>
      </c>
      <c r="H56" s="305">
        <f>'2018 PGT BRO 0609 for 2015-17'!F153</f>
        <v>14.631962780936494</v>
      </c>
      <c r="I56" s="305">
        <f>'2018 PGT BRO 0609 for 2015-17'!G153</f>
        <v>16.504929539036251</v>
      </c>
      <c r="J56" s="305">
        <f>'2018 PGT BRO 0609 for 2015-17'!H153</f>
        <v>18.294335794713103</v>
      </c>
      <c r="K56" s="305">
        <f>'2018 PGT BRO 0609 for 2015-17'!I153</f>
        <v>19.175591465137291</v>
      </c>
      <c r="L56" s="305">
        <f>'2018 PGT BRO 0609 for 2015-17'!J153</f>
        <v>20.014612188314263</v>
      </c>
      <c r="M56" s="305">
        <f>'2018 PGT BRO 0609 for 2015-17'!K153</f>
        <v>20.906418700354845</v>
      </c>
      <c r="N56" s="305">
        <f>'2018 PGT BRO 0609 for 2015-17'!L153</f>
        <v>21.710805831425553</v>
      </c>
      <c r="O56" s="305">
        <f>'2018 PGT BRO 0609 for 2015-17'!M153</f>
        <v>22.188950962422979</v>
      </c>
      <c r="P56" s="305">
        <f>'2018 PGT BRO 0609 for 2015-17'!N153</f>
        <v>22.649979037129789</v>
      </c>
      <c r="Q56" s="305">
        <f>'2018 PGT BRO 0609 for 2015-17'!O153</f>
        <v>23.100626139785962</v>
      </c>
      <c r="R56" s="305">
        <f>'2018 PGT BRO 0609 for 2015-17'!P153</f>
        <v>23.551273242442139</v>
      </c>
      <c r="S56" s="307">
        <f>'2018 PGT BRO 0609 for 2015-17'!Q153</f>
        <v>24.001920345098313</v>
      </c>
      <c r="T56" s="3"/>
    </row>
    <row r="57" spans="2:22" x14ac:dyDescent="0.3">
      <c r="B57" s="249" t="s">
        <v>488</v>
      </c>
      <c r="C57" s="238" t="str">
        <f>C45</f>
        <v>Middle Wedge: POU programs</v>
      </c>
      <c r="D57" s="213" t="s">
        <v>398</v>
      </c>
      <c r="E57" s="206">
        <v>0</v>
      </c>
      <c r="F57" s="206">
        <v>0</v>
      </c>
      <c r="G57" s="206">
        <v>0</v>
      </c>
      <c r="H57" s="206">
        <v>0</v>
      </c>
      <c r="I57" s="206">
        <v>0</v>
      </c>
      <c r="J57" s="206">
        <v>0</v>
      </c>
      <c r="K57" s="206">
        <v>0</v>
      </c>
      <c r="L57" s="206">
        <v>0</v>
      </c>
      <c r="M57" s="206">
        <v>0</v>
      </c>
      <c r="N57" s="206">
        <v>0</v>
      </c>
      <c r="O57" s="206">
        <v>0</v>
      </c>
      <c r="P57" s="206">
        <v>0</v>
      </c>
      <c r="Q57" s="206">
        <v>0</v>
      </c>
      <c r="R57" s="206">
        <v>0</v>
      </c>
      <c r="S57" s="227">
        <v>0</v>
      </c>
      <c r="T57" s="3"/>
    </row>
    <row r="58" spans="2:22" x14ac:dyDescent="0.3">
      <c r="B58" s="249" t="s">
        <v>52</v>
      </c>
      <c r="C58" s="238" t="str">
        <f>C46</f>
        <v>Middle Wedge: Savings beyond claimed utility programs</v>
      </c>
      <c r="D58" s="211" t="s">
        <v>419</v>
      </c>
      <c r="E58" s="206">
        <f t="shared" ref="E58:S58" si="18">E46</f>
        <v>0.32803900000000003</v>
      </c>
      <c r="F58" s="206">
        <f t="shared" si="18"/>
        <v>0.33087100000000003</v>
      </c>
      <c r="G58" s="206">
        <f t="shared" si="18"/>
        <v>0.33384459999999999</v>
      </c>
      <c r="H58" s="206">
        <f t="shared" si="18"/>
        <v>0.33696688000000002</v>
      </c>
      <c r="I58" s="206">
        <f t="shared" si="18"/>
        <v>6.8846274000000013E-2</v>
      </c>
      <c r="J58" s="206">
        <f t="shared" si="18"/>
        <v>7.2288587700000018E-2</v>
      </c>
      <c r="K58" s="206">
        <f t="shared" si="18"/>
        <v>7.0666895219612391E-2</v>
      </c>
      <c r="L58" s="206">
        <f t="shared" si="18"/>
        <v>6.9045202739224765E-2</v>
      </c>
      <c r="M58" s="206">
        <f t="shared" si="18"/>
        <v>6.7423510258837138E-2</v>
      </c>
      <c r="N58" s="206">
        <f t="shared" si="18"/>
        <v>6.5801817778449512E-2</v>
      </c>
      <c r="O58" s="206">
        <f t="shared" si="18"/>
        <v>6.4180125298061885E-2</v>
      </c>
      <c r="P58" s="206">
        <f t="shared" si="18"/>
        <v>6.2558432817674259E-2</v>
      </c>
      <c r="Q58" s="206">
        <f t="shared" si="18"/>
        <v>6.0936740337286632E-2</v>
      </c>
      <c r="R58" s="206">
        <f t="shared" si="18"/>
        <v>5.9315047856899006E-2</v>
      </c>
      <c r="S58" s="227">
        <f t="shared" si="18"/>
        <v>5.6071662896123767E-2</v>
      </c>
      <c r="T58" s="3"/>
    </row>
    <row r="59" spans="2:22" ht="15" thickBot="1" x14ac:dyDescent="0.35">
      <c r="B59" s="247"/>
      <c r="C59" s="224" t="s">
        <v>478</v>
      </c>
      <c r="D59" s="225"/>
      <c r="E59" s="271">
        <f>SUM(E57:E58)</f>
        <v>0.32803900000000003</v>
      </c>
      <c r="F59" s="271">
        <f t="shared" ref="F59:S59" si="19">SUM(F57:F58)</f>
        <v>0.33087100000000003</v>
      </c>
      <c r="G59" s="271">
        <f t="shared" si="19"/>
        <v>0.33384459999999999</v>
      </c>
      <c r="H59" s="271">
        <f t="shared" si="19"/>
        <v>0.33696688000000002</v>
      </c>
      <c r="I59" s="271">
        <f t="shared" si="19"/>
        <v>6.8846274000000013E-2</v>
      </c>
      <c r="J59" s="271">
        <f t="shared" si="19"/>
        <v>7.2288587700000018E-2</v>
      </c>
      <c r="K59" s="271">
        <f t="shared" si="19"/>
        <v>7.0666895219612391E-2</v>
      </c>
      <c r="L59" s="271">
        <f t="shared" si="19"/>
        <v>6.9045202739224765E-2</v>
      </c>
      <c r="M59" s="271">
        <f t="shared" si="19"/>
        <v>6.7423510258837138E-2</v>
      </c>
      <c r="N59" s="271">
        <f t="shared" si="19"/>
        <v>6.5801817778449512E-2</v>
      </c>
      <c r="O59" s="271">
        <f t="shared" si="19"/>
        <v>6.4180125298061885E-2</v>
      </c>
      <c r="P59" s="271">
        <f t="shared" si="19"/>
        <v>6.2558432817674259E-2</v>
      </c>
      <c r="Q59" s="271">
        <f t="shared" si="19"/>
        <v>6.0936740337286632E-2</v>
      </c>
      <c r="R59" s="271">
        <f t="shared" si="19"/>
        <v>5.9315047856899006E-2</v>
      </c>
      <c r="S59" s="272">
        <f t="shared" si="19"/>
        <v>5.6071662896123767E-2</v>
      </c>
      <c r="T59" s="3"/>
    </row>
    <row r="61" spans="2:22" ht="15" thickBot="1" x14ac:dyDescent="0.35"/>
    <row r="62" spans="2:22" s="236" customFormat="1" ht="18" x14ac:dyDescent="0.35">
      <c r="B62" s="250" t="s">
        <v>486</v>
      </c>
      <c r="C62" s="216"/>
      <c r="D62" s="217"/>
      <c r="E62" s="216">
        <v>2015</v>
      </c>
      <c r="F62" s="216">
        <v>2016</v>
      </c>
      <c r="G62" s="216">
        <v>2017</v>
      </c>
      <c r="H62" s="216">
        <v>2018</v>
      </c>
      <c r="I62" s="216">
        <v>2019</v>
      </c>
      <c r="J62" s="216">
        <v>2020</v>
      </c>
      <c r="K62" s="216">
        <v>2021</v>
      </c>
      <c r="L62" s="216">
        <v>2022</v>
      </c>
      <c r="M62" s="216">
        <v>2023</v>
      </c>
      <c r="N62" s="216">
        <v>2024</v>
      </c>
      <c r="O62" s="216">
        <v>2025</v>
      </c>
      <c r="P62" s="216">
        <v>2026</v>
      </c>
      <c r="Q62" s="192">
        <v>2027</v>
      </c>
      <c r="R62" s="192">
        <v>2028</v>
      </c>
      <c r="S62" s="218">
        <v>2029</v>
      </c>
    </row>
    <row r="63" spans="2:22" s="236" customFormat="1" ht="18" x14ac:dyDescent="0.35">
      <c r="B63" s="246" t="s">
        <v>483</v>
      </c>
      <c r="C63" s="242"/>
      <c r="D63" s="215"/>
      <c r="E63" s="333"/>
      <c r="F63" s="333"/>
      <c r="G63" s="333"/>
      <c r="H63" s="333"/>
      <c r="I63" s="333"/>
      <c r="J63" s="333"/>
      <c r="K63" s="333"/>
      <c r="L63" s="333"/>
      <c r="M63" s="333"/>
      <c r="N63" s="333"/>
      <c r="O63" s="333"/>
      <c r="P63" s="333"/>
      <c r="Q63" s="333"/>
      <c r="R63" s="333"/>
      <c r="S63" s="334"/>
    </row>
    <row r="64" spans="2:22" s="236" customFormat="1" x14ac:dyDescent="0.3">
      <c r="B64" s="275"/>
      <c r="C64" s="238" t="s">
        <v>484</v>
      </c>
      <c r="D64" s="211" t="s">
        <v>0</v>
      </c>
      <c r="E64" s="264">
        <f>SUMIF($B$50:$B$53, $B$63, E$50:E$53)</f>
        <v>4.7513925308843969</v>
      </c>
      <c r="F64" s="264">
        <f t="shared" ref="F64:S64" si="20">SUMIF($B$50:$B$53, $B$63, F$50:F$53)</f>
        <v>9.7198843706789688</v>
      </c>
      <c r="G64" s="264">
        <f t="shared" si="20"/>
        <v>14.915395160756832</v>
      </c>
      <c r="H64" s="264">
        <f t="shared" si="20"/>
        <v>20.348297787991815</v>
      </c>
      <c r="I64" s="264">
        <f t="shared" si="20"/>
        <v>26.018592252383918</v>
      </c>
      <c r="J64" s="264">
        <f t="shared" si="20"/>
        <v>33.350445312343048</v>
      </c>
      <c r="K64" s="264">
        <f t="shared" si="20"/>
        <v>47.683536569253782</v>
      </c>
      <c r="L64" s="264">
        <f t="shared" si="20"/>
        <v>61.436155397168612</v>
      </c>
      <c r="M64" s="264">
        <f t="shared" si="20"/>
        <v>75.581976356960936</v>
      </c>
      <c r="N64" s="264">
        <f t="shared" si="20"/>
        <v>89.911485258485129</v>
      </c>
      <c r="O64" s="264">
        <f t="shared" si="20"/>
        <v>101.00368058487675</v>
      </c>
      <c r="P64" s="264">
        <f t="shared" si="20"/>
        <v>107.51597427375523</v>
      </c>
      <c r="Q64" s="264">
        <f t="shared" si="20"/>
        <v>113.40721104671412</v>
      </c>
      <c r="R64" s="264">
        <f t="shared" si="20"/>
        <v>119.17973908983305</v>
      </c>
      <c r="S64" s="226">
        <f t="shared" si="20"/>
        <v>125.06961713853826</v>
      </c>
    </row>
    <row r="65" spans="2:19" s="236" customFormat="1" x14ac:dyDescent="0.3">
      <c r="B65" s="275"/>
      <c r="C65" s="238" t="s">
        <v>485</v>
      </c>
      <c r="D65" s="211" t="s">
        <v>4</v>
      </c>
      <c r="E65" s="264">
        <f>SUMIF($B$56:$B$58, $B$63, E$56:E$58)</f>
        <v>0</v>
      </c>
      <c r="F65" s="264">
        <f t="shared" ref="F65:S65" si="21">SUMIF($B$56:$B$58, $B$63, F$56:F$58)</f>
        <v>0</v>
      </c>
      <c r="G65" s="264">
        <f t="shared" si="21"/>
        <v>0</v>
      </c>
      <c r="H65" s="264">
        <f t="shared" si="21"/>
        <v>0</v>
      </c>
      <c r="I65" s="264">
        <f t="shared" si="21"/>
        <v>0</v>
      </c>
      <c r="J65" s="264">
        <f t="shared" si="21"/>
        <v>0</v>
      </c>
      <c r="K65" s="264">
        <f t="shared" si="21"/>
        <v>0</v>
      </c>
      <c r="L65" s="264">
        <f t="shared" si="21"/>
        <v>0</v>
      </c>
      <c r="M65" s="264">
        <f t="shared" si="21"/>
        <v>0</v>
      </c>
      <c r="N65" s="264">
        <f t="shared" si="21"/>
        <v>0</v>
      </c>
      <c r="O65" s="264">
        <f t="shared" si="21"/>
        <v>0</v>
      </c>
      <c r="P65" s="264">
        <f t="shared" si="21"/>
        <v>0</v>
      </c>
      <c r="Q65" s="264">
        <f t="shared" si="21"/>
        <v>0</v>
      </c>
      <c r="R65" s="264">
        <f t="shared" si="21"/>
        <v>0</v>
      </c>
      <c r="S65" s="226">
        <f t="shared" si="21"/>
        <v>0</v>
      </c>
    </row>
    <row r="66" spans="2:19" s="236" customFormat="1" ht="18" x14ac:dyDescent="0.35">
      <c r="B66" s="246" t="s">
        <v>52</v>
      </c>
      <c r="C66" s="242"/>
      <c r="D66" s="215"/>
      <c r="E66" s="333"/>
      <c r="F66" s="333"/>
      <c r="G66" s="333"/>
      <c r="H66" s="333"/>
      <c r="I66" s="333"/>
      <c r="J66" s="333"/>
      <c r="K66" s="333"/>
      <c r="L66" s="333"/>
      <c r="M66" s="333"/>
      <c r="N66" s="333"/>
      <c r="O66" s="333"/>
      <c r="P66" s="333"/>
      <c r="Q66" s="333"/>
      <c r="R66" s="333"/>
      <c r="S66" s="334"/>
    </row>
    <row r="67" spans="2:19" s="236" customFormat="1" x14ac:dyDescent="0.3">
      <c r="B67" s="275"/>
      <c r="C67" s="251" t="s">
        <v>484</v>
      </c>
      <c r="D67" s="251" t="s">
        <v>0</v>
      </c>
      <c r="E67" s="206">
        <f>SUMIF($B$50:$B$53, $B$66, E$50:E$53)</f>
        <v>26.809907499999998</v>
      </c>
      <c r="F67" s="310">
        <f t="shared" ref="F67:S67" si="22">SUMIF($B$50:$B$53, $B$66, F$50:F$53)</f>
        <v>29.195458599999998</v>
      </c>
      <c r="G67" s="310">
        <f t="shared" si="22"/>
        <v>31.818620410000001</v>
      </c>
      <c r="H67" s="310">
        <f t="shared" si="22"/>
        <v>34.703106781000002</v>
      </c>
      <c r="I67" s="310">
        <f t="shared" si="22"/>
        <v>40.579148579395493</v>
      </c>
      <c r="J67" s="310">
        <f t="shared" si="22"/>
        <v>50.457568679536436</v>
      </c>
      <c r="K67" s="310">
        <f t="shared" si="22"/>
        <v>71.988076609071157</v>
      </c>
      <c r="L67" s="310">
        <f t="shared" si="22"/>
        <v>72.392421568108631</v>
      </c>
      <c r="M67" s="310">
        <f t="shared" si="22"/>
        <v>72.28843674406383</v>
      </c>
      <c r="N67" s="310">
        <f t="shared" si="22"/>
        <v>71.977423811520865</v>
      </c>
      <c r="O67" s="310">
        <f t="shared" si="22"/>
        <v>70.431823689042574</v>
      </c>
      <c r="P67" s="310">
        <f t="shared" si="22"/>
        <v>69.19435694401605</v>
      </c>
      <c r="Q67" s="310">
        <f t="shared" si="22"/>
        <v>67.973688857956205</v>
      </c>
      <c r="R67" s="310">
        <f t="shared" si="22"/>
        <v>66.587262076962674</v>
      </c>
      <c r="S67" s="311">
        <f t="shared" si="22"/>
        <v>65.072669426128158</v>
      </c>
    </row>
    <row r="68" spans="2:19" s="236" customFormat="1" ht="15" thickBot="1" x14ac:dyDescent="0.35">
      <c r="B68" s="276"/>
      <c r="C68" s="277" t="s">
        <v>485</v>
      </c>
      <c r="D68" s="278" t="s">
        <v>4</v>
      </c>
      <c r="E68" s="309">
        <f>SUMIF($B$56:$B$58, $B$66, E$56:E$58)</f>
        <v>0.32803900000000003</v>
      </c>
      <c r="F68" s="309">
        <f t="shared" ref="F68:S68" si="23">SUMIF($B$56:$B$58, $B$66, F$56:F$58)</f>
        <v>0.33087100000000003</v>
      </c>
      <c r="G68" s="309">
        <f t="shared" si="23"/>
        <v>0.33384459999999999</v>
      </c>
      <c r="H68" s="309">
        <f t="shared" si="23"/>
        <v>0.33696688000000002</v>
      </c>
      <c r="I68" s="309">
        <f t="shared" si="23"/>
        <v>6.8846274000000013E-2</v>
      </c>
      <c r="J68" s="309">
        <f t="shared" si="23"/>
        <v>7.2288587700000018E-2</v>
      </c>
      <c r="K68" s="309">
        <f t="shared" si="23"/>
        <v>7.0666895219612391E-2</v>
      </c>
      <c r="L68" s="309">
        <f t="shared" si="23"/>
        <v>6.9045202739224765E-2</v>
      </c>
      <c r="M68" s="309">
        <f t="shared" si="23"/>
        <v>6.7423510258837138E-2</v>
      </c>
      <c r="N68" s="309">
        <f t="shared" si="23"/>
        <v>6.5801817778449512E-2</v>
      </c>
      <c r="O68" s="309">
        <f t="shared" si="23"/>
        <v>6.4180125298061885E-2</v>
      </c>
      <c r="P68" s="309">
        <f t="shared" si="23"/>
        <v>6.2558432817674259E-2</v>
      </c>
      <c r="Q68" s="309">
        <f t="shared" si="23"/>
        <v>6.0936740337286632E-2</v>
      </c>
      <c r="R68" s="309">
        <f t="shared" si="23"/>
        <v>5.9315047856899006E-2</v>
      </c>
      <c r="S68" s="312">
        <f t="shared" si="23"/>
        <v>5.6071662896123767E-2</v>
      </c>
    </row>
  </sheetData>
  <mergeCells count="12">
    <mergeCell ref="B7:S7"/>
    <mergeCell ref="B35:S35"/>
    <mergeCell ref="E63:S63"/>
    <mergeCell ref="E66:S66"/>
    <mergeCell ref="E9:S9"/>
    <mergeCell ref="E15:S15"/>
    <mergeCell ref="E49:S49"/>
    <mergeCell ref="E55:S55"/>
    <mergeCell ref="E37:S37"/>
    <mergeCell ref="E43:S43"/>
    <mergeCell ref="E21:S21"/>
    <mergeCell ref="E27:S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J71"/>
  <sheetViews>
    <sheetView zoomScale="55" zoomScaleNormal="55" workbookViewId="0">
      <selection activeCell="T62" sqref="T62"/>
    </sheetView>
  </sheetViews>
  <sheetFormatPr defaultColWidth="8.88671875" defaultRowHeight="14.4" x14ac:dyDescent="0.3"/>
  <cols>
    <col min="2" max="2" width="26.5546875" customWidth="1"/>
    <col min="3" max="3" width="59.5546875" customWidth="1"/>
    <col min="4" max="4" width="94" bestFit="1" customWidth="1"/>
    <col min="5" max="16" width="16.33203125" customWidth="1"/>
    <col min="17" max="17" width="8.88671875" customWidth="1"/>
    <col min="24" max="24" width="14.6640625" customWidth="1"/>
  </cols>
  <sheetData>
    <row r="1" spans="2:36" ht="23.4" x14ac:dyDescent="0.45">
      <c r="B1" s="167" t="s">
        <v>28</v>
      </c>
      <c r="C1" s="167" t="str">
        <f>'Program Analysis'!C3</f>
        <v>Behavorial, Retrocommissioning, Operational Savings</v>
      </c>
      <c r="Y1" s="202"/>
      <c r="Z1" s="202"/>
      <c r="AA1" s="202"/>
      <c r="AB1" s="202"/>
      <c r="AC1" s="202"/>
      <c r="AD1" s="202"/>
      <c r="AE1" s="202"/>
      <c r="AF1" s="202"/>
      <c r="AG1" s="202"/>
      <c r="AH1" s="202"/>
      <c r="AI1" s="202"/>
      <c r="AJ1" s="202"/>
    </row>
    <row r="2" spans="2:36" ht="23.4" x14ac:dyDescent="0.45">
      <c r="B2" s="167" t="s">
        <v>469</v>
      </c>
      <c r="C2" s="167" t="s">
        <v>232</v>
      </c>
    </row>
    <row r="6" spans="2:36" ht="23.4" x14ac:dyDescent="0.45">
      <c r="B6" s="167"/>
      <c r="C6" s="167"/>
      <c r="D6" s="209"/>
      <c r="E6" s="3"/>
      <c r="F6" s="3"/>
      <c r="G6" s="3"/>
      <c r="H6" s="3"/>
      <c r="I6" s="3"/>
      <c r="J6" s="3"/>
      <c r="K6" s="3"/>
      <c r="L6" s="3"/>
      <c r="M6" s="3"/>
      <c r="N6" s="3"/>
      <c r="O6" s="3"/>
      <c r="P6" s="3"/>
      <c r="Q6" s="3"/>
      <c r="R6" s="3"/>
      <c r="S6" s="3"/>
      <c r="T6" s="3"/>
    </row>
    <row r="7" spans="2:36" ht="24" thickBot="1" x14ac:dyDescent="0.5">
      <c r="B7" s="335" t="s">
        <v>231</v>
      </c>
      <c r="C7" s="335"/>
      <c r="D7" s="335"/>
      <c r="E7" s="335"/>
      <c r="F7" s="335"/>
      <c r="G7" s="335"/>
      <c r="H7" s="335"/>
      <c r="I7" s="335"/>
      <c r="J7" s="335"/>
      <c r="K7" s="335"/>
      <c r="L7" s="335"/>
      <c r="M7" s="335"/>
      <c r="N7" s="335"/>
      <c r="O7" s="335"/>
      <c r="P7" s="335"/>
      <c r="Q7" s="335"/>
      <c r="R7" s="335"/>
      <c r="S7" s="335"/>
      <c r="T7" s="3"/>
    </row>
    <row r="8" spans="2:36" ht="18" x14ac:dyDescent="0.35">
      <c r="B8" s="279" t="s">
        <v>91</v>
      </c>
      <c r="C8" s="216" t="s">
        <v>482</v>
      </c>
      <c r="D8" s="217" t="s">
        <v>479</v>
      </c>
      <c r="E8" s="308">
        <v>2015</v>
      </c>
      <c r="F8" s="216">
        <v>2016</v>
      </c>
      <c r="G8" s="216">
        <v>2017</v>
      </c>
      <c r="H8" s="216">
        <v>2018</v>
      </c>
      <c r="I8" s="216">
        <v>2019</v>
      </c>
      <c r="J8" s="216">
        <v>2020</v>
      </c>
      <c r="K8" s="216">
        <v>2021</v>
      </c>
      <c r="L8" s="216">
        <v>2022</v>
      </c>
      <c r="M8" s="216">
        <v>2023</v>
      </c>
      <c r="N8" s="216">
        <v>2024</v>
      </c>
      <c r="O8" s="216">
        <v>2025</v>
      </c>
      <c r="P8" s="216">
        <v>2026</v>
      </c>
      <c r="Q8" s="192">
        <v>2027</v>
      </c>
      <c r="R8" s="192">
        <v>2028</v>
      </c>
      <c r="S8" s="218">
        <v>2029</v>
      </c>
      <c r="T8" s="20"/>
      <c r="U8" s="9"/>
    </row>
    <row r="9" spans="2:36" ht="18" x14ac:dyDescent="0.35">
      <c r="B9" s="248" t="s">
        <v>487</v>
      </c>
      <c r="C9" s="241"/>
      <c r="D9" s="210"/>
      <c r="E9" s="336" t="s">
        <v>481</v>
      </c>
      <c r="F9" s="336"/>
      <c r="G9" s="336"/>
      <c r="H9" s="336"/>
      <c r="I9" s="336"/>
      <c r="J9" s="336"/>
      <c r="K9" s="336"/>
      <c r="L9" s="336"/>
      <c r="M9" s="336"/>
      <c r="N9" s="336"/>
      <c r="O9" s="336"/>
      <c r="P9" s="336"/>
      <c r="Q9" s="336"/>
      <c r="R9" s="336"/>
      <c r="S9" s="337"/>
      <c r="T9" s="20"/>
      <c r="U9" s="9"/>
      <c r="V9" s="9"/>
    </row>
    <row r="10" spans="2:36" x14ac:dyDescent="0.3">
      <c r="B10" s="275" t="s">
        <v>488</v>
      </c>
      <c r="C10" s="238" t="s">
        <v>390</v>
      </c>
      <c r="D10" s="211" t="s">
        <v>389</v>
      </c>
      <c r="E10" s="260">
        <f>'2018 PGT BRO 0609 for 2015-17'!C23</f>
        <v>160.03722872343201</v>
      </c>
      <c r="F10" s="260">
        <f>'2018 PGT BRO 0609 for 2015-17'!D23</f>
        <v>176.05503155447209</v>
      </c>
      <c r="G10" s="260">
        <f>'2018 PGT BRO 0609 for 2015-17'!E23</f>
        <v>193.75852461504107</v>
      </c>
      <c r="H10" s="260">
        <f>'arch 2018 PGT BRO 0609'!C18</f>
        <v>213.33293889958455</v>
      </c>
      <c r="I10" s="260">
        <f>'arch 2018 PGT BRO 0609'!D18</f>
        <v>238.07832818587636</v>
      </c>
      <c r="J10" s="260">
        <f>'arch 2018 PGT BRO 0609'!E18</f>
        <v>267.68150109539738</v>
      </c>
      <c r="K10" s="260">
        <f>'arch 2018 PGT BRO 0609'!F18</f>
        <v>300.51396850302132</v>
      </c>
      <c r="L10" s="260">
        <f>'arch 2018 PGT BRO 0609'!G18</f>
        <v>322.89867903165697</v>
      </c>
      <c r="M10" s="260">
        <f>'arch 2018 PGT BRO 0609'!H18</f>
        <v>343.90152944947823</v>
      </c>
      <c r="N10" s="260">
        <f>'arch 2018 PGT BRO 0609'!I18</f>
        <v>365.59502399322031</v>
      </c>
      <c r="O10" s="260">
        <f>'arch 2018 PGT BRO 0609'!J18</f>
        <v>398.00431271956984</v>
      </c>
      <c r="P10" s="260">
        <f>'arch 2018 PGT BRO 0609'!K18</f>
        <v>423.9770642682376</v>
      </c>
      <c r="Q10" s="260">
        <f>'arch 2018 PGT BRO 0609'!L18</f>
        <v>450.60678612248739</v>
      </c>
      <c r="R10" s="260">
        <f>'arch 2018 PGT BRO 0609'!M18</f>
        <v>477.81531920844083</v>
      </c>
      <c r="S10" s="219">
        <f>'arch 2018 PGT BRO 0609'!N18</f>
        <v>505.78726214499522</v>
      </c>
      <c r="T10" s="3"/>
    </row>
    <row r="11" spans="2:36" s="236" customFormat="1" x14ac:dyDescent="0.3">
      <c r="B11" s="249" t="s">
        <v>52</v>
      </c>
      <c r="C11" s="238" t="s">
        <v>391</v>
      </c>
      <c r="D11" s="212" t="s">
        <v>372</v>
      </c>
      <c r="E11" s="266">
        <f>'POU BRO savings'!H$12</f>
        <v>23.666630999999999</v>
      </c>
      <c r="F11" s="266">
        <f>'POU BRO savings'!I$12</f>
        <v>26.033294099999999</v>
      </c>
      <c r="G11" s="266">
        <f>'POU BRO savings'!J$12</f>
        <v>28.63662351</v>
      </c>
      <c r="H11" s="266">
        <f>'POU BRO savings'!K$12</f>
        <v>31.500285861000002</v>
      </c>
      <c r="I11" s="266">
        <f>'POU BRO savings'!L$12</f>
        <v>40.119978938395491</v>
      </c>
      <c r="J11" s="266">
        <f>'POU BRO savings'!M$12</f>
        <v>49.975440556486433</v>
      </c>
      <c r="K11" s="266">
        <f>'POU BRO savings'!N$12</f>
        <v>76.975400434426462</v>
      </c>
      <c r="L11" s="266">
        <f>'POU BRO savings'!O$12</f>
        <v>81.959372465134109</v>
      </c>
      <c r="M11" s="266">
        <f>'POU BRO savings'!P$12</f>
        <v>86.301115880160935</v>
      </c>
      <c r="N11" s="266">
        <f>'POU BRO savings'!Q$12</f>
        <v>90.714166064914551</v>
      </c>
      <c r="O11" s="266">
        <f>'POU BRO savings'!R$12</f>
        <v>95.539547632073493</v>
      </c>
      <c r="P11" s="266">
        <f>'POU BRO savings'!S$12</f>
        <v>100.23828024709762</v>
      </c>
      <c r="Q11" s="266">
        <f>'POU BRO savings'!T$12</f>
        <v>105.10148230163104</v>
      </c>
      <c r="R11" s="266">
        <f>'POU BRO savings'!U$12</f>
        <v>109.7166277068321</v>
      </c>
      <c r="S11" s="220">
        <f>'POU BRO savings'!V$12</f>
        <v>114.20146792010956</v>
      </c>
      <c r="T11" s="238"/>
    </row>
    <row r="12" spans="2:36" s="236" customFormat="1" x14ac:dyDescent="0.3">
      <c r="B12" s="249" t="s">
        <v>483</v>
      </c>
      <c r="C12" s="238" t="s">
        <v>391</v>
      </c>
      <c r="D12" s="212" t="s">
        <v>372</v>
      </c>
      <c r="E12" s="266">
        <f>'POU BRO savings'!H$26</f>
        <v>4.7513925308843969</v>
      </c>
      <c r="F12" s="266">
        <f>'POU BRO savings'!I$26</f>
        <v>4.9684918397945719</v>
      </c>
      <c r="G12" s="266">
        <f>'POU BRO savings'!J$26</f>
        <v>5.1955107900778632</v>
      </c>
      <c r="H12" s="266">
        <f>'POU BRO savings'!K$26</f>
        <v>5.4329026272349825</v>
      </c>
      <c r="I12" s="266">
        <f>'POU BRO savings'!L$26</f>
        <v>5.6702944643921018</v>
      </c>
      <c r="J12" s="266">
        <f>'POU BRO savings'!M$26</f>
        <v>12.08324559084353</v>
      </c>
      <c r="K12" s="266">
        <f>'POU BRO savings'!N$26</f>
        <v>23.195922399913968</v>
      </c>
      <c r="L12" s="266">
        <f>'POU BRO savings'!O$26</f>
        <v>25.673520545418224</v>
      </c>
      <c r="M12" s="266">
        <f>'POU BRO savings'!P$26</f>
        <v>28.332727269665128</v>
      </c>
      <c r="N12" s="266">
        <f>'POU BRO savings'!Q$26</f>
        <v>31.150841932825546</v>
      </c>
      <c r="O12" s="266">
        <f>'POU BRO savings'!R$26</f>
        <v>37.128556607783096</v>
      </c>
      <c r="P12" s="266">
        <f>'POU BRO savings'!S$26</f>
        <v>41.087407842314896</v>
      </c>
      <c r="Q12" s="266">
        <f>'POU BRO savings'!T$26</f>
        <v>45.100779739198082</v>
      </c>
      <c r="R12" s="266">
        <f>'POU BRO savings'!U$26</f>
        <v>49.555145362648183</v>
      </c>
      <c r="S12" s="220">
        <f>'POU BRO savings'!V$26</f>
        <v>54.394286128222163</v>
      </c>
      <c r="T12" s="238"/>
    </row>
    <row r="13" spans="2:36" x14ac:dyDescent="0.3">
      <c r="B13" s="249" t="s">
        <v>52</v>
      </c>
      <c r="C13" s="238" t="s">
        <v>392</v>
      </c>
      <c r="D13" s="211" t="s">
        <v>399</v>
      </c>
      <c r="E13" s="258">
        <f>'MAS savings'!$G12+'Res P4P'!J6</f>
        <v>3.1432764999999998</v>
      </c>
      <c r="F13" s="258">
        <f>'MAS savings'!$G12+'Res P4P'!K6</f>
        <v>3.1621644999999998</v>
      </c>
      <c r="G13" s="258">
        <f>'MAS savings'!$G12+'Res P4P'!L6</f>
        <v>3.1819969000000001</v>
      </c>
      <c r="H13" s="258">
        <f>'MAS savings'!$G12+'Res P4P'!M6</f>
        <v>3.2028209199999997</v>
      </c>
      <c r="I13" s="257">
        <f>'Res P4P'!N6</f>
        <v>0.45916964100000007</v>
      </c>
      <c r="J13" s="257">
        <f>'Res P4P'!O6</f>
        <v>0.48212812305000008</v>
      </c>
      <c r="K13" s="257">
        <f>'Res P4P'!P6</f>
        <v>0.50623452920250012</v>
      </c>
      <c r="L13" s="257">
        <f>'Res P4P'!Q6</f>
        <v>0.53154625566262514</v>
      </c>
      <c r="M13" s="257">
        <f>'Res P4P'!R6</f>
        <v>0.55812356844575639</v>
      </c>
      <c r="N13" s="257">
        <f>'Res P4P'!S6</f>
        <v>0.58602974686804421</v>
      </c>
      <c r="O13" s="257">
        <f>'Res P4P'!T6</f>
        <v>0.61533123421144642</v>
      </c>
      <c r="P13" s="257">
        <f>'Res P4P'!U6</f>
        <v>0.64609779592201877</v>
      </c>
      <c r="Q13" s="257">
        <f>'Res P4P'!V6</f>
        <v>0.67840268571811979</v>
      </c>
      <c r="R13" s="257">
        <f>'Res P4P'!W6</f>
        <v>0.7123228200040258</v>
      </c>
      <c r="S13" s="221">
        <f>'Res P4P'!X6</f>
        <v>0.74793896100422708</v>
      </c>
      <c r="T13" s="3"/>
    </row>
    <row r="14" spans="2:36" x14ac:dyDescent="0.3">
      <c r="B14" s="244"/>
      <c r="C14" s="259" t="s">
        <v>478</v>
      </c>
      <c r="D14" s="208"/>
      <c r="E14" s="261">
        <f t="shared" ref="E14:S14" si="0">SUM(E11:E13)</f>
        <v>31.561300030884397</v>
      </c>
      <c r="F14" s="261">
        <f t="shared" si="0"/>
        <v>34.163950439794576</v>
      </c>
      <c r="G14" s="261">
        <f t="shared" si="0"/>
        <v>37.014131200077863</v>
      </c>
      <c r="H14" s="261">
        <f t="shared" si="0"/>
        <v>40.136009408234983</v>
      </c>
      <c r="I14" s="261">
        <f t="shared" si="0"/>
        <v>46.249443043787593</v>
      </c>
      <c r="J14" s="261">
        <f t="shared" si="0"/>
        <v>62.540814270379968</v>
      </c>
      <c r="K14" s="261">
        <f t="shared" si="0"/>
        <v>100.67755736354293</v>
      </c>
      <c r="L14" s="261">
        <f t="shared" si="0"/>
        <v>108.16443926621496</v>
      </c>
      <c r="M14" s="261">
        <f t="shared" si="0"/>
        <v>115.19196671827181</v>
      </c>
      <c r="N14" s="261">
        <f t="shared" si="0"/>
        <v>122.45103774460814</v>
      </c>
      <c r="O14" s="261">
        <f t="shared" si="0"/>
        <v>133.28343547406803</v>
      </c>
      <c r="P14" s="261">
        <f t="shared" si="0"/>
        <v>141.97178588533455</v>
      </c>
      <c r="Q14" s="261">
        <f t="shared" si="0"/>
        <v>150.88066472654722</v>
      </c>
      <c r="R14" s="261">
        <f t="shared" si="0"/>
        <v>159.98409588948431</v>
      </c>
      <c r="S14" s="222">
        <f t="shared" si="0"/>
        <v>169.34369300933596</v>
      </c>
      <c r="T14" s="3"/>
    </row>
    <row r="15" spans="2:36" ht="18" x14ac:dyDescent="0.35">
      <c r="B15" s="248" t="s">
        <v>487</v>
      </c>
      <c r="C15" s="241"/>
      <c r="D15" s="210"/>
      <c r="E15" s="336" t="s">
        <v>480</v>
      </c>
      <c r="F15" s="336"/>
      <c r="G15" s="336"/>
      <c r="H15" s="336"/>
      <c r="I15" s="336"/>
      <c r="J15" s="336"/>
      <c r="K15" s="336"/>
      <c r="L15" s="336"/>
      <c r="M15" s="336"/>
      <c r="N15" s="336"/>
      <c r="O15" s="336"/>
      <c r="P15" s="336"/>
      <c r="Q15" s="336"/>
      <c r="R15" s="336"/>
      <c r="S15" s="337"/>
      <c r="T15" s="20"/>
      <c r="U15" s="9"/>
      <c r="V15" s="9"/>
    </row>
    <row r="16" spans="2:36" x14ac:dyDescent="0.3">
      <c r="B16" s="275" t="s">
        <v>488</v>
      </c>
      <c r="C16" s="238" t="s">
        <v>390</v>
      </c>
      <c r="D16" s="211" t="s">
        <v>389</v>
      </c>
      <c r="E16" s="262">
        <f>'2018 PGT BRO 0609 for 2015-17'!C100</f>
        <v>10.397278230618261</v>
      </c>
      <c r="F16" s="262">
        <f>'2018 PGT BRO 0609 for 2015-17'!D100</f>
        <v>10.889159690267411</v>
      </c>
      <c r="G16" s="262">
        <f>'2018 PGT BRO 0609 for 2015-17'!E100</f>
        <v>11.411072094815994</v>
      </c>
      <c r="H16" s="262">
        <f>'2018 PGT BRO 0609 for 2015-17'!F100</f>
        <v>11.965790059684478</v>
      </c>
      <c r="I16" s="262">
        <f>'2018 PGT BRO 0609 for 2015-17'!G100</f>
        <v>12.72312955308446</v>
      </c>
      <c r="J16" s="262">
        <f>'2018 PGT BRO 0609 for 2015-17'!H100</f>
        <v>13.676384936537296</v>
      </c>
      <c r="K16" s="262">
        <f>'2018 PGT BRO 0609 for 2015-17'!I100</f>
        <v>14.626339491855031</v>
      </c>
      <c r="L16" s="262">
        <f>'2018 PGT BRO 0609 for 2015-17'!J100</f>
        <v>15.342857403191523</v>
      </c>
      <c r="M16" s="262">
        <f>'2018 PGT BRO 0609 for 2015-17'!K100</f>
        <v>16.014994324576293</v>
      </c>
      <c r="N16" s="262">
        <f>'2018 PGT BRO 0609 for 2015-17'!L100</f>
        <v>16.716929161777539</v>
      </c>
      <c r="O16" s="262">
        <f>'2018 PGT BRO 0609 for 2015-17'!M100</f>
        <v>17.524400211847027</v>
      </c>
      <c r="P16" s="262">
        <f>'2018 PGT BRO 0609 for 2015-17'!N100</f>
        <v>18.324067028322222</v>
      </c>
      <c r="Q16" s="262">
        <f>'2018 PGT BRO 0609 for 2015-17'!O100</f>
        <v>19.139740307751044</v>
      </c>
      <c r="R16" s="262">
        <f>'2018 PGT BRO 0609 for 2015-17'!P100</f>
        <v>20.012499438913935</v>
      </c>
      <c r="S16" s="223">
        <f>'2018 PGT BRO 0609 for 2015-17'!Q100</f>
        <v>20.916223554496412</v>
      </c>
      <c r="T16" s="3"/>
    </row>
    <row r="17" spans="2:22" x14ac:dyDescent="0.3">
      <c r="B17" s="275" t="s">
        <v>488</v>
      </c>
      <c r="C17" s="238" t="s">
        <v>391</v>
      </c>
      <c r="D17" s="240" t="s">
        <v>398</v>
      </c>
      <c r="E17" s="262">
        <v>0</v>
      </c>
      <c r="F17" s="262">
        <v>0</v>
      </c>
      <c r="G17" s="262">
        <v>0</v>
      </c>
      <c r="H17" s="262">
        <v>0</v>
      </c>
      <c r="I17" s="262">
        <v>0</v>
      </c>
      <c r="J17" s="262">
        <v>0</v>
      </c>
      <c r="K17" s="262">
        <v>0</v>
      </c>
      <c r="L17" s="262">
        <v>0</v>
      </c>
      <c r="M17" s="262">
        <v>0</v>
      </c>
      <c r="N17" s="262">
        <v>0</v>
      </c>
      <c r="O17" s="262">
        <v>0</v>
      </c>
      <c r="P17" s="262">
        <v>0</v>
      </c>
      <c r="Q17" s="262">
        <v>0</v>
      </c>
      <c r="R17" s="262">
        <v>0</v>
      </c>
      <c r="S17" s="223">
        <v>0</v>
      </c>
      <c r="T17" s="3"/>
    </row>
    <row r="18" spans="2:22" x14ac:dyDescent="0.3">
      <c r="B18" s="249" t="s">
        <v>52</v>
      </c>
      <c r="C18" s="238" t="s">
        <v>392</v>
      </c>
      <c r="D18" s="211" t="s">
        <v>399</v>
      </c>
      <c r="E18" s="262">
        <f>'MAS savings'!$H$11+'Res P4P'!Z6</f>
        <v>0.32803900000000003</v>
      </c>
      <c r="F18" s="262">
        <f>'MAS savings'!$H$11+'Res P4P'!AA6</f>
        <v>0.33087100000000003</v>
      </c>
      <c r="G18" s="262">
        <f>'MAS savings'!$H$11+'Res P4P'!AB6</f>
        <v>0.33384459999999999</v>
      </c>
      <c r="H18" s="262">
        <f>'MAS savings'!$H$11+'Res P4P'!AC6</f>
        <v>0.33696688000000002</v>
      </c>
      <c r="I18" s="262">
        <f>'Res P4P'!AD6</f>
        <v>6.8846274000000013E-2</v>
      </c>
      <c r="J18" s="262">
        <f>'Res P4P'!AE6</f>
        <v>7.2288587700000018E-2</v>
      </c>
      <c r="K18" s="262">
        <f>'Res P4P'!AF6</f>
        <v>7.5903017085000024E-2</v>
      </c>
      <c r="L18" s="262">
        <f>'Res P4P'!AG6</f>
        <v>7.9698167939250025E-2</v>
      </c>
      <c r="M18" s="262">
        <f>'Res P4P'!AH6</f>
        <v>8.3683076336212525E-2</v>
      </c>
      <c r="N18" s="262">
        <f>'Res P4P'!AI6</f>
        <v>8.7867230153023154E-2</v>
      </c>
      <c r="O18" s="262">
        <f>'Res P4P'!AJ6</f>
        <v>9.226059166067431E-2</v>
      </c>
      <c r="P18" s="262">
        <f>'Res P4P'!AK6</f>
        <v>9.6873621243708033E-2</v>
      </c>
      <c r="Q18" s="262">
        <f>'Res P4P'!AL6</f>
        <v>0.10171730230589345</v>
      </c>
      <c r="R18" s="262">
        <f>'Res P4P'!AM6</f>
        <v>0.10680316742118812</v>
      </c>
      <c r="S18" s="223">
        <f>'Res P4P'!AN6</f>
        <v>0.11214332579224753</v>
      </c>
      <c r="T18" s="3"/>
    </row>
    <row r="19" spans="2:22" ht="15" thickBot="1" x14ac:dyDescent="0.35">
      <c r="B19" s="247"/>
      <c r="C19" s="224" t="s">
        <v>478</v>
      </c>
      <c r="D19" s="225"/>
      <c r="E19" s="271">
        <f t="shared" ref="E19:S19" si="1">SUM(E17:E18)</f>
        <v>0.32803900000000003</v>
      </c>
      <c r="F19" s="271">
        <f t="shared" si="1"/>
        <v>0.33087100000000003</v>
      </c>
      <c r="G19" s="271">
        <f t="shared" si="1"/>
        <v>0.33384459999999999</v>
      </c>
      <c r="H19" s="271">
        <f t="shared" si="1"/>
        <v>0.33696688000000002</v>
      </c>
      <c r="I19" s="271">
        <f t="shared" si="1"/>
        <v>6.8846274000000013E-2</v>
      </c>
      <c r="J19" s="271">
        <f t="shared" si="1"/>
        <v>7.2288587700000018E-2</v>
      </c>
      <c r="K19" s="271">
        <f t="shared" si="1"/>
        <v>7.5903017085000024E-2</v>
      </c>
      <c r="L19" s="271">
        <f t="shared" si="1"/>
        <v>7.9698167939250025E-2</v>
      </c>
      <c r="M19" s="271">
        <f t="shared" si="1"/>
        <v>8.3683076336212525E-2</v>
      </c>
      <c r="N19" s="271">
        <f t="shared" si="1"/>
        <v>8.7867230153023154E-2</v>
      </c>
      <c r="O19" s="271">
        <f t="shared" si="1"/>
        <v>9.226059166067431E-2</v>
      </c>
      <c r="P19" s="271">
        <f t="shared" si="1"/>
        <v>9.6873621243708033E-2</v>
      </c>
      <c r="Q19" s="271">
        <f t="shared" si="1"/>
        <v>0.10171730230589345</v>
      </c>
      <c r="R19" s="271">
        <f t="shared" si="1"/>
        <v>0.10680316742118812</v>
      </c>
      <c r="S19" s="272">
        <f t="shared" si="1"/>
        <v>0.11214332579224753</v>
      </c>
      <c r="T19" s="3"/>
    </row>
    <row r="20" spans="2:22" s="236" customFormat="1" ht="18" x14ac:dyDescent="0.35">
      <c r="B20" s="279" t="s">
        <v>91</v>
      </c>
      <c r="C20" s="216" t="s">
        <v>482</v>
      </c>
      <c r="D20" s="217" t="s">
        <v>479</v>
      </c>
      <c r="E20" s="216">
        <v>2015</v>
      </c>
      <c r="F20" s="216">
        <v>2016</v>
      </c>
      <c r="G20" s="216">
        <v>2017</v>
      </c>
      <c r="H20" s="216">
        <v>2018</v>
      </c>
      <c r="I20" s="216">
        <v>2019</v>
      </c>
      <c r="J20" s="216">
        <v>2020</v>
      </c>
      <c r="K20" s="216">
        <v>2021</v>
      </c>
      <c r="L20" s="216">
        <v>2022</v>
      </c>
      <c r="M20" s="216">
        <v>2023</v>
      </c>
      <c r="N20" s="216">
        <v>2024</v>
      </c>
      <c r="O20" s="216">
        <v>2025</v>
      </c>
      <c r="P20" s="216">
        <v>2026</v>
      </c>
      <c r="Q20" s="192">
        <v>2027</v>
      </c>
      <c r="R20" s="192">
        <v>2028</v>
      </c>
      <c r="S20" s="218">
        <v>2029</v>
      </c>
      <c r="T20" s="245"/>
      <c r="U20" s="239"/>
    </row>
    <row r="21" spans="2:22" s="236" customFormat="1" ht="18" x14ac:dyDescent="0.35">
      <c r="B21" s="246" t="s">
        <v>409</v>
      </c>
      <c r="C21" s="242"/>
      <c r="D21" s="215"/>
      <c r="E21" s="333" t="s">
        <v>481</v>
      </c>
      <c r="F21" s="333"/>
      <c r="G21" s="333"/>
      <c r="H21" s="333"/>
      <c r="I21" s="333"/>
      <c r="J21" s="333"/>
      <c r="K21" s="333"/>
      <c r="L21" s="333"/>
      <c r="M21" s="333"/>
      <c r="N21" s="333"/>
      <c r="O21" s="333"/>
      <c r="P21" s="333"/>
      <c r="Q21" s="333"/>
      <c r="R21" s="333"/>
      <c r="S21" s="334"/>
      <c r="T21" s="245"/>
      <c r="U21" s="239"/>
      <c r="V21" s="239"/>
    </row>
    <row r="22" spans="2:22" s="236" customFormat="1" x14ac:dyDescent="0.3">
      <c r="B22" s="275" t="s">
        <v>488</v>
      </c>
      <c r="C22" s="238" t="str">
        <f>C10</f>
        <v>Bottom Wedge: IOU Programs in 2018 PG</v>
      </c>
      <c r="D22" s="211" t="str">
        <f>D10</f>
        <v>From 2018 PG: Reference</v>
      </c>
      <c r="E22" s="264">
        <f>'2018 PGT BRO 0609 for 2015-17'!C24</f>
        <v>160.03722872343201</v>
      </c>
      <c r="F22" s="264">
        <f>'2018 PGT BRO 0609 for 2015-17'!D24</f>
        <v>203.05869848810229</v>
      </c>
      <c r="G22" s="264">
        <f>'2018 PGT BRO 0609 for 2015-17'!E24</f>
        <v>250.40726447837631</v>
      </c>
      <c r="H22" s="264">
        <f>'2018 PGT BRO 0609 for 2015-17'!F24</f>
        <v>302.60886406694163</v>
      </c>
      <c r="I22" s="264">
        <f>'2018 PGT BRO 0609 for 2015-17'!G24</f>
        <v>363.35425157011497</v>
      </c>
      <c r="J22" s="264">
        <f>'2018 PGT BRO 0609 for 2015-17'!H24</f>
        <v>409.15990392170028</v>
      </c>
      <c r="K22" s="264">
        <f>'2018 PGT BRO 0609 for 2015-17'!I24</f>
        <v>466.80609410391725</v>
      </c>
      <c r="L22" s="264">
        <f>'2018 PGT BRO 0609 for 2015-17'!J24</f>
        <v>521.00512568793954</v>
      </c>
      <c r="M22" s="264">
        <f>'2018 PGT BRO 0609 for 2015-17'!K24</f>
        <v>577.49902887726989</v>
      </c>
      <c r="N22" s="264">
        <f>'2018 PGT BRO 0609 for 2015-17'!L24</f>
        <v>637.81574492970242</v>
      </c>
      <c r="O22" s="264">
        <f>'2018 PGT BRO 0609 for 2015-17'!M24</f>
        <v>704.83015798182259</v>
      </c>
      <c r="P22" s="264">
        <f>'2018 PGT BRO 0609 for 2015-17'!N24</f>
        <v>772.0516860294573</v>
      </c>
      <c r="Q22" s="264">
        <f>'2018 PGT BRO 0609 for 2015-17'!O24</f>
        <v>844.52217332215469</v>
      </c>
      <c r="R22" s="264">
        <f>'2018 PGT BRO 0609 for 2015-17'!P24</f>
        <v>921.79247098375697</v>
      </c>
      <c r="S22" s="226">
        <f>'2018 PGT BRO 0609 for 2015-17'!Q24</f>
        <v>1004.8959435330426</v>
      </c>
      <c r="T22" s="238"/>
    </row>
    <row r="23" spans="2:22" s="236" customFormat="1" x14ac:dyDescent="0.3">
      <c r="B23" s="249" t="s">
        <v>52</v>
      </c>
      <c r="C23" s="238" t="s">
        <v>391</v>
      </c>
      <c r="D23" s="212" t="s">
        <v>372</v>
      </c>
      <c r="E23" s="266">
        <f>'POU BRO savings'!H$12</f>
        <v>23.666630999999999</v>
      </c>
      <c r="F23" s="266">
        <f>'POU BRO savings'!I$12</f>
        <v>26.033294099999999</v>
      </c>
      <c r="G23" s="266">
        <f>'POU BRO savings'!J$12</f>
        <v>28.63662351</v>
      </c>
      <c r="H23" s="266">
        <f>'POU BRO savings'!K$12</f>
        <v>31.500285861000002</v>
      </c>
      <c r="I23" s="266">
        <f>'POU BRO savings'!L$12</f>
        <v>40.119978938395491</v>
      </c>
      <c r="J23" s="266">
        <f>'POU BRO savings'!M$12</f>
        <v>49.975440556486433</v>
      </c>
      <c r="K23" s="266">
        <f>'POU BRO savings'!N$12</f>
        <v>76.975400434426462</v>
      </c>
      <c r="L23" s="266">
        <f>'POU BRO savings'!O$12</f>
        <v>81.959372465134109</v>
      </c>
      <c r="M23" s="266">
        <f>'POU BRO savings'!P$12</f>
        <v>86.301115880160935</v>
      </c>
      <c r="N23" s="266">
        <f>'POU BRO savings'!Q$12</f>
        <v>90.714166064914551</v>
      </c>
      <c r="O23" s="266">
        <f>'POU BRO savings'!R$12</f>
        <v>95.539547632073493</v>
      </c>
      <c r="P23" s="266">
        <f>'POU BRO savings'!S$12</f>
        <v>100.23828024709762</v>
      </c>
      <c r="Q23" s="266">
        <f>'POU BRO savings'!T$12</f>
        <v>105.10148230163104</v>
      </c>
      <c r="R23" s="266">
        <f>'POU BRO savings'!U$12</f>
        <v>109.7166277068321</v>
      </c>
      <c r="S23" s="220">
        <f>'POU BRO savings'!V$12</f>
        <v>114.20146792010956</v>
      </c>
      <c r="T23" s="238"/>
    </row>
    <row r="24" spans="2:22" s="236" customFormat="1" x14ac:dyDescent="0.3">
      <c r="B24" s="249" t="s">
        <v>483</v>
      </c>
      <c r="C24" s="238" t="s">
        <v>391</v>
      </c>
      <c r="D24" s="212" t="s">
        <v>372</v>
      </c>
      <c r="E24" s="266">
        <f>'POU BRO savings'!H27</f>
        <v>4.7513925308843969</v>
      </c>
      <c r="F24" s="266">
        <f>'POU BRO savings'!I27</f>
        <v>9.7198843706789688</v>
      </c>
      <c r="G24" s="266">
        <f>'POU BRO savings'!J27</f>
        <v>14.915395160756832</v>
      </c>
      <c r="H24" s="266">
        <f>'POU BRO savings'!K27</f>
        <v>20.348297787991815</v>
      </c>
      <c r="I24" s="266">
        <f>'POU BRO savings'!L27</f>
        <v>26.018592252383918</v>
      </c>
      <c r="J24" s="266">
        <f>'POU BRO savings'!M27</f>
        <v>33.350445312343048</v>
      </c>
      <c r="K24" s="266">
        <f>'POU BRO savings'!N27</f>
        <v>51.323061870790092</v>
      </c>
      <c r="L24" s="266">
        <f>'POU BRO savings'!O27</f>
        <v>70.000472403213806</v>
      </c>
      <c r="M24" s="266">
        <f>'POU BRO savings'!P27</f>
        <v>90.797909705216185</v>
      </c>
      <c r="N24" s="266">
        <f>'POU BRO savings'!Q27</f>
        <v>114.01187698362429</v>
      </c>
      <c r="O24" s="266">
        <f>'POU BRO savings'!R27</f>
        <v>137.8475084778442</v>
      </c>
      <c r="P24" s="266">
        <f>'POU BRO savings'!S27</f>
        <v>156.69768859882387</v>
      </c>
      <c r="Q24" s="266">
        <f>'POU BRO savings'!T27</f>
        <v>176.40590880575385</v>
      </c>
      <c r="R24" s="266">
        <f>'POU BRO savings'!U27</f>
        <v>197.54752928775352</v>
      </c>
      <c r="S24" s="220">
        <f>'POU BRO savings'!V27</f>
        <v>220.76384659090468</v>
      </c>
      <c r="T24" s="238"/>
    </row>
    <row r="25" spans="2:22" s="236" customFormat="1" x14ac:dyDescent="0.3">
      <c r="B25" s="249" t="s">
        <v>52</v>
      </c>
      <c r="C25" s="238" t="str">
        <f t="shared" ref="C25:S25" si="2">C13</f>
        <v>Middle Wedge: Savings beyond claimed utility programs</v>
      </c>
      <c r="D25" s="211" t="str">
        <f t="shared" si="2"/>
        <v>from Manage Act Save (MAS, through 2018) and Res Pay 4 Performance (P4P)</v>
      </c>
      <c r="E25" s="264">
        <f t="shared" si="2"/>
        <v>3.1432764999999998</v>
      </c>
      <c r="F25" s="264">
        <f t="shared" si="2"/>
        <v>3.1621644999999998</v>
      </c>
      <c r="G25" s="264">
        <f t="shared" si="2"/>
        <v>3.1819969000000001</v>
      </c>
      <c r="H25" s="264">
        <f t="shared" si="2"/>
        <v>3.2028209199999997</v>
      </c>
      <c r="I25" s="264">
        <f t="shared" si="2"/>
        <v>0.45916964100000007</v>
      </c>
      <c r="J25" s="264">
        <f t="shared" si="2"/>
        <v>0.48212812305000008</v>
      </c>
      <c r="K25" s="264">
        <f t="shared" si="2"/>
        <v>0.50623452920250012</v>
      </c>
      <c r="L25" s="264">
        <f t="shared" si="2"/>
        <v>0.53154625566262514</v>
      </c>
      <c r="M25" s="264">
        <f t="shared" si="2"/>
        <v>0.55812356844575639</v>
      </c>
      <c r="N25" s="264">
        <f t="shared" si="2"/>
        <v>0.58602974686804421</v>
      </c>
      <c r="O25" s="264">
        <f t="shared" si="2"/>
        <v>0.61533123421144642</v>
      </c>
      <c r="P25" s="264">
        <f t="shared" si="2"/>
        <v>0.64609779592201877</v>
      </c>
      <c r="Q25" s="264">
        <f t="shared" si="2"/>
        <v>0.67840268571811979</v>
      </c>
      <c r="R25" s="264">
        <f t="shared" si="2"/>
        <v>0.7123228200040258</v>
      </c>
      <c r="S25" s="226">
        <f t="shared" si="2"/>
        <v>0.74793896100422708</v>
      </c>
      <c r="T25" s="238"/>
    </row>
    <row r="26" spans="2:22" s="236" customFormat="1" x14ac:dyDescent="0.3">
      <c r="B26" s="244"/>
      <c r="C26" s="259" t="s">
        <v>478</v>
      </c>
      <c r="D26" s="208"/>
      <c r="E26" s="261">
        <f t="shared" ref="E26:S26" si="3">SUM(E23:E25)</f>
        <v>31.561300030884397</v>
      </c>
      <c r="F26" s="261">
        <f t="shared" si="3"/>
        <v>38.915342970678971</v>
      </c>
      <c r="G26" s="261">
        <f t="shared" si="3"/>
        <v>46.734015570756831</v>
      </c>
      <c r="H26" s="261">
        <f t="shared" si="3"/>
        <v>55.051404568991821</v>
      </c>
      <c r="I26" s="261">
        <f t="shared" si="3"/>
        <v>66.597740831779404</v>
      </c>
      <c r="J26" s="261">
        <f t="shared" si="3"/>
        <v>83.808013991879491</v>
      </c>
      <c r="K26" s="261">
        <f t="shared" si="3"/>
        <v>128.80469683441905</v>
      </c>
      <c r="L26" s="261">
        <f t="shared" si="3"/>
        <v>152.49139112401053</v>
      </c>
      <c r="M26" s="261">
        <f t="shared" si="3"/>
        <v>177.65714915382287</v>
      </c>
      <c r="N26" s="261">
        <f t="shared" si="3"/>
        <v>205.31207279540686</v>
      </c>
      <c r="O26" s="261">
        <f t="shared" si="3"/>
        <v>234.00238734412915</v>
      </c>
      <c r="P26" s="261">
        <f t="shared" si="3"/>
        <v>257.58206664184348</v>
      </c>
      <c r="Q26" s="261">
        <f t="shared" si="3"/>
        <v>282.18579379310302</v>
      </c>
      <c r="R26" s="261">
        <f t="shared" si="3"/>
        <v>307.97647981458965</v>
      </c>
      <c r="S26" s="222">
        <f t="shared" si="3"/>
        <v>335.71325347201849</v>
      </c>
      <c r="T26" s="238"/>
    </row>
    <row r="27" spans="2:22" s="236" customFormat="1" ht="18" x14ac:dyDescent="0.35">
      <c r="B27" s="246" t="s">
        <v>409</v>
      </c>
      <c r="C27" s="242"/>
      <c r="D27" s="215"/>
      <c r="E27" s="333" t="s">
        <v>480</v>
      </c>
      <c r="F27" s="333"/>
      <c r="G27" s="333"/>
      <c r="H27" s="333"/>
      <c r="I27" s="333"/>
      <c r="J27" s="333"/>
      <c r="K27" s="333"/>
      <c r="L27" s="333"/>
      <c r="M27" s="333"/>
      <c r="N27" s="333"/>
      <c r="O27" s="333"/>
      <c r="P27" s="333"/>
      <c r="Q27" s="333"/>
      <c r="R27" s="333"/>
      <c r="S27" s="334"/>
      <c r="T27" s="238"/>
    </row>
    <row r="28" spans="2:22" s="236" customFormat="1" x14ac:dyDescent="0.3">
      <c r="B28" s="275" t="s">
        <v>488</v>
      </c>
      <c r="C28" s="238" t="str">
        <f>C16</f>
        <v>Bottom Wedge: IOU Programs in 2018 PG</v>
      </c>
      <c r="D28" s="211" t="s">
        <v>389</v>
      </c>
      <c r="E28" s="206">
        <f>'2018 PGT BRO 0609 for 2015-17'!C101</f>
        <v>10.397278230618261</v>
      </c>
      <c r="F28" s="206">
        <f>'2018 PGT BRO 0609 for 2015-17'!D101</f>
        <v>11.67905721469428</v>
      </c>
      <c r="G28" s="206">
        <f>'2018 PGT BRO 0609 for 2015-17'!E101</f>
        <v>13.085167884724649</v>
      </c>
      <c r="H28" s="206">
        <f>'2018 PGT BRO 0609 for 2015-17'!F101</f>
        <v>14.631962780936494</v>
      </c>
      <c r="I28" s="206">
        <f>'2018 PGT BRO 0609 for 2015-17'!G101</f>
        <v>16.504929539036251</v>
      </c>
      <c r="J28" s="206">
        <f>'2018 PGT BRO 0609 for 2015-17'!H101</f>
        <v>18.294335794713103</v>
      </c>
      <c r="K28" s="206">
        <f>'2018 PGT BRO 0609 for 2015-17'!I101</f>
        <v>20.399406878867648</v>
      </c>
      <c r="L28" s="206">
        <f>'2018 PGT BRO 0609 for 2015-17'!J101</f>
        <v>22.550944431293775</v>
      </c>
      <c r="M28" s="206">
        <f>'2018 PGT BRO 0609 for 2015-17'!K101</f>
        <v>24.926634603286512</v>
      </c>
      <c r="N28" s="206">
        <f>'2018 PGT BRO 0609 for 2015-17'!L101</f>
        <v>27.484195163318113</v>
      </c>
      <c r="O28" s="206">
        <f>'2018 PGT BRO 0609 for 2015-17'!M101</f>
        <v>30.085797108545624</v>
      </c>
      <c r="P28" s="206">
        <f>'2018 PGT BRO 0609 for 2015-17'!N101</f>
        <v>32.735242481639986</v>
      </c>
      <c r="Q28" s="206">
        <f>'2018 PGT BRO 0609 for 2015-17'!O101</f>
        <v>35.54530462673155</v>
      </c>
      <c r="R28" s="206">
        <f>'2018 PGT BRO 0609 for 2015-17'!P101</f>
        <v>38.570441224076035</v>
      </c>
      <c r="S28" s="227">
        <f>'2018 PGT BRO 0609 for 2015-17'!Q101</f>
        <v>41.793824117628638</v>
      </c>
      <c r="T28" s="238"/>
    </row>
    <row r="29" spans="2:22" s="236" customFormat="1" x14ac:dyDescent="0.3">
      <c r="B29" s="249" t="s">
        <v>52</v>
      </c>
      <c r="C29" s="238" t="str">
        <f>C17</f>
        <v>Middle Wedge: POU programs</v>
      </c>
      <c r="D29" s="240" t="s">
        <v>398</v>
      </c>
      <c r="E29" s="206">
        <v>0</v>
      </c>
      <c r="F29" s="206">
        <v>0</v>
      </c>
      <c r="G29" s="206">
        <v>0</v>
      </c>
      <c r="H29" s="206">
        <v>0</v>
      </c>
      <c r="I29" s="206">
        <v>0</v>
      </c>
      <c r="J29" s="206">
        <v>0</v>
      </c>
      <c r="K29" s="206">
        <v>0</v>
      </c>
      <c r="L29" s="206">
        <v>0</v>
      </c>
      <c r="M29" s="206">
        <v>0</v>
      </c>
      <c r="N29" s="206">
        <v>0</v>
      </c>
      <c r="O29" s="206">
        <v>0</v>
      </c>
      <c r="P29" s="206">
        <v>0</v>
      </c>
      <c r="Q29" s="206">
        <v>0</v>
      </c>
      <c r="R29" s="206">
        <v>0</v>
      </c>
      <c r="S29" s="227">
        <v>0</v>
      </c>
      <c r="T29" s="238"/>
    </row>
    <row r="30" spans="2:22" s="236" customFormat="1" x14ac:dyDescent="0.3">
      <c r="B30" s="249" t="s">
        <v>52</v>
      </c>
      <c r="C30" s="238" t="s">
        <v>392</v>
      </c>
      <c r="D30" s="211" t="s">
        <v>399</v>
      </c>
      <c r="E30" s="206">
        <f t="shared" ref="E30:S30" si="4">E18</f>
        <v>0.32803900000000003</v>
      </c>
      <c r="F30" s="206">
        <f t="shared" si="4"/>
        <v>0.33087100000000003</v>
      </c>
      <c r="G30" s="206">
        <f t="shared" si="4"/>
        <v>0.33384459999999999</v>
      </c>
      <c r="H30" s="206">
        <f t="shared" si="4"/>
        <v>0.33696688000000002</v>
      </c>
      <c r="I30" s="206">
        <f t="shared" si="4"/>
        <v>6.8846274000000013E-2</v>
      </c>
      <c r="J30" s="206">
        <f t="shared" si="4"/>
        <v>7.2288587700000018E-2</v>
      </c>
      <c r="K30" s="206">
        <f t="shared" si="4"/>
        <v>7.5903017085000024E-2</v>
      </c>
      <c r="L30" s="206">
        <f t="shared" si="4"/>
        <v>7.9698167939250025E-2</v>
      </c>
      <c r="M30" s="206">
        <f t="shared" si="4"/>
        <v>8.3683076336212525E-2</v>
      </c>
      <c r="N30" s="206">
        <f t="shared" si="4"/>
        <v>8.7867230153023154E-2</v>
      </c>
      <c r="O30" s="206">
        <f t="shared" si="4"/>
        <v>9.226059166067431E-2</v>
      </c>
      <c r="P30" s="206">
        <f t="shared" si="4"/>
        <v>9.6873621243708033E-2</v>
      </c>
      <c r="Q30" s="206">
        <f t="shared" si="4"/>
        <v>0.10171730230589345</v>
      </c>
      <c r="R30" s="206">
        <f t="shared" si="4"/>
        <v>0.10680316742118812</v>
      </c>
      <c r="S30" s="227">
        <f t="shared" si="4"/>
        <v>0.11214332579224753</v>
      </c>
      <c r="T30" s="238"/>
    </row>
    <row r="31" spans="2:22" s="236" customFormat="1" ht="15" thickBot="1" x14ac:dyDescent="0.35">
      <c r="B31" s="247"/>
      <c r="C31" s="224" t="s">
        <v>478</v>
      </c>
      <c r="D31" s="225"/>
      <c r="E31" s="271">
        <f>SUM(E29:E30)</f>
        <v>0.32803900000000003</v>
      </c>
      <c r="F31" s="271">
        <f t="shared" ref="F31:S31" si="5">SUM(F29:F30)</f>
        <v>0.33087100000000003</v>
      </c>
      <c r="G31" s="271">
        <f t="shared" si="5"/>
        <v>0.33384459999999999</v>
      </c>
      <c r="H31" s="271">
        <f t="shared" si="5"/>
        <v>0.33696688000000002</v>
      </c>
      <c r="I31" s="271">
        <f t="shared" si="5"/>
        <v>6.8846274000000013E-2</v>
      </c>
      <c r="J31" s="271">
        <f t="shared" si="5"/>
        <v>7.2288587700000018E-2</v>
      </c>
      <c r="K31" s="271">
        <f t="shared" si="5"/>
        <v>7.5903017085000024E-2</v>
      </c>
      <c r="L31" s="271">
        <f t="shared" si="5"/>
        <v>7.9698167939250025E-2</v>
      </c>
      <c r="M31" s="271">
        <f t="shared" si="5"/>
        <v>8.3683076336212525E-2</v>
      </c>
      <c r="N31" s="271">
        <f t="shared" si="5"/>
        <v>8.7867230153023154E-2</v>
      </c>
      <c r="O31" s="271">
        <f t="shared" si="5"/>
        <v>9.226059166067431E-2</v>
      </c>
      <c r="P31" s="271">
        <f t="shared" si="5"/>
        <v>9.6873621243708033E-2</v>
      </c>
      <c r="Q31" s="271">
        <f t="shared" si="5"/>
        <v>0.10171730230589345</v>
      </c>
      <c r="R31" s="271">
        <f t="shared" si="5"/>
        <v>0.10680316742118812</v>
      </c>
      <c r="S31" s="272">
        <f t="shared" si="5"/>
        <v>0.11214332579224753</v>
      </c>
      <c r="T31" s="238"/>
    </row>
    <row r="32" spans="2:22" s="236" customFormat="1" x14ac:dyDescent="0.3">
      <c r="B32" s="238"/>
      <c r="C32" s="259"/>
      <c r="D32" s="208"/>
      <c r="E32" s="235"/>
      <c r="F32" s="235"/>
      <c r="G32" s="235"/>
      <c r="H32" s="235"/>
      <c r="I32" s="235"/>
      <c r="J32" s="235"/>
      <c r="K32" s="235"/>
      <c r="L32" s="235"/>
      <c r="M32" s="235"/>
      <c r="N32" s="235"/>
      <c r="O32" s="235"/>
      <c r="P32" s="235"/>
      <c r="Q32" s="235"/>
      <c r="R32" s="235"/>
      <c r="S32" s="235"/>
      <c r="T32" s="238"/>
    </row>
    <row r="33" spans="2:22" s="236" customFormat="1" x14ac:dyDescent="0.3">
      <c r="B33" s="238"/>
      <c r="C33" s="259"/>
      <c r="D33" s="208"/>
      <c r="E33" s="235"/>
      <c r="F33" s="235"/>
      <c r="G33" s="235"/>
      <c r="H33" s="235"/>
      <c r="I33" s="235"/>
      <c r="J33" s="235"/>
      <c r="K33" s="235"/>
      <c r="L33" s="235"/>
      <c r="M33" s="235"/>
      <c r="N33" s="235"/>
      <c r="O33" s="235"/>
      <c r="P33" s="235"/>
      <c r="Q33" s="235"/>
      <c r="R33" s="235"/>
      <c r="S33" s="235"/>
      <c r="T33" s="238"/>
    </row>
    <row r="34" spans="2:22" s="236" customFormat="1" ht="24" thickBot="1" x14ac:dyDescent="0.5">
      <c r="B34" s="335" t="s">
        <v>232</v>
      </c>
      <c r="C34" s="335"/>
      <c r="D34" s="335"/>
      <c r="E34" s="335"/>
      <c r="F34" s="335"/>
      <c r="G34" s="335"/>
      <c r="H34" s="335"/>
      <c r="I34" s="335"/>
      <c r="J34" s="335"/>
      <c r="K34" s="335"/>
      <c r="L34" s="335"/>
      <c r="M34" s="335"/>
      <c r="N34" s="335"/>
      <c r="O34" s="335"/>
      <c r="P34" s="335"/>
      <c r="Q34" s="335"/>
      <c r="R34" s="335"/>
      <c r="S34" s="335"/>
      <c r="T34" s="238"/>
    </row>
    <row r="35" spans="2:22" s="236" customFormat="1" ht="18" x14ac:dyDescent="0.35">
      <c r="B35" s="279" t="s">
        <v>91</v>
      </c>
      <c r="C35" s="216" t="s">
        <v>482</v>
      </c>
      <c r="D35" s="217" t="s">
        <v>479</v>
      </c>
      <c r="E35" s="216">
        <v>2015</v>
      </c>
      <c r="F35" s="216">
        <v>2016</v>
      </c>
      <c r="G35" s="216">
        <v>2017</v>
      </c>
      <c r="H35" s="216">
        <v>2018</v>
      </c>
      <c r="I35" s="216">
        <v>2019</v>
      </c>
      <c r="J35" s="216">
        <v>2020</v>
      </c>
      <c r="K35" s="216">
        <v>2021</v>
      </c>
      <c r="L35" s="216">
        <v>2022</v>
      </c>
      <c r="M35" s="216">
        <v>2023</v>
      </c>
      <c r="N35" s="216">
        <v>2024</v>
      </c>
      <c r="O35" s="216">
        <v>2025</v>
      </c>
      <c r="P35" s="216">
        <v>2026</v>
      </c>
      <c r="Q35" s="192">
        <v>2027</v>
      </c>
      <c r="R35" s="192">
        <v>2028</v>
      </c>
      <c r="S35" s="218">
        <v>2029</v>
      </c>
      <c r="T35" s="245"/>
      <c r="U35" s="239"/>
    </row>
    <row r="36" spans="2:22" s="236" customFormat="1" ht="18" x14ac:dyDescent="0.35">
      <c r="B36" s="248" t="s">
        <v>487</v>
      </c>
      <c r="C36" s="241"/>
      <c r="D36" s="210"/>
      <c r="E36" s="336" t="s">
        <v>481</v>
      </c>
      <c r="F36" s="336"/>
      <c r="G36" s="336"/>
      <c r="H36" s="336"/>
      <c r="I36" s="336"/>
      <c r="J36" s="336"/>
      <c r="K36" s="336"/>
      <c r="L36" s="336"/>
      <c r="M36" s="336"/>
      <c r="N36" s="336"/>
      <c r="O36" s="336"/>
      <c r="P36" s="336"/>
      <c r="Q36" s="336"/>
      <c r="R36" s="336"/>
      <c r="S36" s="337"/>
      <c r="T36" s="245"/>
      <c r="U36" s="239"/>
      <c r="V36" s="239"/>
    </row>
    <row r="37" spans="2:22" x14ac:dyDescent="0.3">
      <c r="B37" s="275" t="s">
        <v>488</v>
      </c>
      <c r="C37" s="238" t="s">
        <v>390</v>
      </c>
      <c r="D37" s="213" t="s">
        <v>388</v>
      </c>
      <c r="E37" s="258">
        <f>'2018 PGT BRO 0609 for 2015-17'!C47</f>
        <v>160.03722872343201</v>
      </c>
      <c r="F37" s="258">
        <f>'2018 PGT BRO 0609 for 2015-17'!D47</f>
        <v>176.05503155447209</v>
      </c>
      <c r="G37" s="258">
        <f>'2018 PGT BRO 0609 for 2015-17'!E47</f>
        <v>193.75852461504107</v>
      </c>
      <c r="H37" s="258">
        <f>'2018 PGT BRO 0609 for 2015-17'!F47</f>
        <v>248.68858729942349</v>
      </c>
      <c r="I37" s="258">
        <f>'2018 PGT BRO 0609 for 2015-17'!G47</f>
        <v>285.35584222193552</v>
      </c>
      <c r="J37" s="258">
        <f>'2018 PGT BRO 0609 for 2015-17'!H47</f>
        <v>323.69884970735336</v>
      </c>
      <c r="K37" s="258">
        <f>'2018 PGT BRO 0609 for 2015-17'!I47</f>
        <v>364.91957068194978</v>
      </c>
      <c r="L37" s="258">
        <f>'2018 PGT BRO 0609 for 2015-17'!J47</f>
        <v>403.06582516137831</v>
      </c>
      <c r="M37" s="258">
        <f>'2018 PGT BRO 0609 for 2015-17'!K47</f>
        <v>437.82830644433301</v>
      </c>
      <c r="N37" s="258">
        <f>'2018 PGT BRO 0609 for 2015-17'!L47</f>
        <v>477.60770398347432</v>
      </c>
      <c r="O37" s="258">
        <f>'2018 PGT BRO 0609 for 2015-17'!M47</f>
        <v>538.05880019119866</v>
      </c>
      <c r="P37" s="258">
        <f>'2018 PGT BRO 0609 for 2015-17'!N47</f>
        <v>589.06643335835747</v>
      </c>
      <c r="Q37" s="258">
        <f>'2018 PGT BRO 0609 for 2015-17'!O47</f>
        <v>645.83922679347586</v>
      </c>
      <c r="R37" s="258">
        <f>'2018 PGT BRO 0609 for 2015-17'!P47</f>
        <v>710.35144189065909</v>
      </c>
      <c r="S37" s="228">
        <f>'2018 PGT BRO 0609 for 2015-17'!Q47</f>
        <v>783.17520860480295</v>
      </c>
      <c r="T37" s="3"/>
    </row>
    <row r="38" spans="2:22" x14ac:dyDescent="0.3">
      <c r="B38" s="249" t="s">
        <v>52</v>
      </c>
      <c r="C38" s="238" t="s">
        <v>391</v>
      </c>
      <c r="D38" s="211" t="s">
        <v>393</v>
      </c>
      <c r="E38" s="306">
        <f t="shared" ref="E38:S38" si="6">E11*(1+(E37-E10)/E37)</f>
        <v>23.666630999999999</v>
      </c>
      <c r="F38" s="258">
        <f t="shared" si="6"/>
        <v>26.033294099999999</v>
      </c>
      <c r="G38" s="258">
        <f t="shared" si="6"/>
        <v>28.63662351</v>
      </c>
      <c r="H38" s="258">
        <f t="shared" si="6"/>
        <v>35.978629815139769</v>
      </c>
      <c r="I38" s="258">
        <f t="shared" si="6"/>
        <v>46.767023038201145</v>
      </c>
      <c r="J38" s="258">
        <f t="shared" si="6"/>
        <v>58.62388548676568</v>
      </c>
      <c r="K38" s="258">
        <f t="shared" si="6"/>
        <v>90.560988646861048</v>
      </c>
      <c r="L38" s="258">
        <f t="shared" si="6"/>
        <v>98.260553510393933</v>
      </c>
      <c r="M38" s="258">
        <f t="shared" si="6"/>
        <v>104.81518988216614</v>
      </c>
      <c r="N38" s="258">
        <f t="shared" si="6"/>
        <v>111.98923505828158</v>
      </c>
      <c r="O38" s="258">
        <f t="shared" si="6"/>
        <v>120.40809800635691</v>
      </c>
      <c r="P38" s="258">
        <f t="shared" si="6"/>
        <v>128.33065405683541</v>
      </c>
      <c r="Q38" s="258">
        <f t="shared" si="6"/>
        <v>136.87288616906395</v>
      </c>
      <c r="R38" s="258">
        <f t="shared" si="6"/>
        <v>145.63276399679305</v>
      </c>
      <c r="S38" s="228">
        <f t="shared" si="6"/>
        <v>154.64977414968004</v>
      </c>
      <c r="T38" s="3"/>
    </row>
    <row r="39" spans="2:22" s="236" customFormat="1" x14ac:dyDescent="0.3">
      <c r="B39" s="249" t="s">
        <v>483</v>
      </c>
      <c r="C39" s="238" t="s">
        <v>391</v>
      </c>
      <c r="D39" s="211" t="s">
        <v>393</v>
      </c>
      <c r="E39" s="306">
        <f t="shared" ref="E39:S39" si="7">E12*(1+(E37-E10)/E37)</f>
        <v>4.7513925308843969</v>
      </c>
      <c r="F39" s="258">
        <f t="shared" si="7"/>
        <v>4.9684918397945719</v>
      </c>
      <c r="G39" s="258">
        <f t="shared" si="7"/>
        <v>5.1955107900778632</v>
      </c>
      <c r="H39" s="258">
        <f t="shared" si="7"/>
        <v>6.2052894792613298</v>
      </c>
      <c r="I39" s="258">
        <f t="shared" si="7"/>
        <v>6.6097440444024134</v>
      </c>
      <c r="J39" s="258">
        <f t="shared" si="7"/>
        <v>14.174298374126824</v>
      </c>
      <c r="K39" s="258">
        <f t="shared" si="7"/>
        <v>27.28983094932477</v>
      </c>
      <c r="L39" s="258">
        <f t="shared" si="7"/>
        <v>30.779815211816452</v>
      </c>
      <c r="M39" s="258">
        <f t="shared" si="7"/>
        <v>34.410912980237114</v>
      </c>
      <c r="N39" s="258">
        <f t="shared" si="7"/>
        <v>38.456606181907482</v>
      </c>
      <c r="O39" s="258">
        <f t="shared" si="7"/>
        <v>46.792966825433275</v>
      </c>
      <c r="P39" s="258">
        <f t="shared" si="7"/>
        <v>52.602398094882432</v>
      </c>
      <c r="Q39" s="258">
        <f t="shared" si="7"/>
        <v>58.734413218484995</v>
      </c>
      <c r="R39" s="258">
        <f t="shared" si="7"/>
        <v>65.77720205463369</v>
      </c>
      <c r="S39" s="228">
        <f t="shared" si="7"/>
        <v>73.659859351784775</v>
      </c>
      <c r="T39" s="238"/>
    </row>
    <row r="40" spans="2:22" x14ac:dyDescent="0.3">
      <c r="B40" s="249" t="s">
        <v>52</v>
      </c>
      <c r="C40" s="238" t="s">
        <v>392</v>
      </c>
      <c r="D40" s="211" t="s">
        <v>411</v>
      </c>
      <c r="E40" s="258">
        <f>'MAS savings'!$G$12+'Res P4P'!J8</f>
        <v>3.1432764999999998</v>
      </c>
      <c r="F40" s="258">
        <f>'MAS savings'!$G$12+'Res P4P'!K8</f>
        <v>3.1621644999999998</v>
      </c>
      <c r="G40" s="258">
        <f>'MAS savings'!$G$12+'Res P4P'!L8</f>
        <v>3.1819969000000001</v>
      </c>
      <c r="H40" s="258">
        <f>'MAS savings'!$G$12+'Res P4P'!M8</f>
        <v>3.2028209199999997</v>
      </c>
      <c r="I40" s="257">
        <f>'Res P4P'!N8</f>
        <v>0.77529977054101828</v>
      </c>
      <c r="J40" s="257">
        <f>'Res P4P'!O8</f>
        <v>1.6281295181361384</v>
      </c>
      <c r="K40" s="257">
        <f>'Res P4P'!P8</f>
        <v>1.7095359940429453</v>
      </c>
      <c r="L40" s="257">
        <f>'Res P4P'!Q8</f>
        <v>1.7950127937450928</v>
      </c>
      <c r="M40" s="257">
        <f>'Res P4P'!R8</f>
        <v>1.8847634334323473</v>
      </c>
      <c r="N40" s="257">
        <f>'Res P4P'!S8</f>
        <v>1.9790016051039647</v>
      </c>
      <c r="O40" s="257">
        <f>'Res P4P'!T8</f>
        <v>2.0779516853591629</v>
      </c>
      <c r="P40" s="257">
        <f>'Res P4P'!U8</f>
        <v>2.1818492696271212</v>
      </c>
      <c r="Q40" s="257">
        <f>'Res P4P'!V8</f>
        <v>2.2909417331084776</v>
      </c>
      <c r="R40" s="257">
        <f>'Res P4P'!W8</f>
        <v>2.4054888197639013</v>
      </c>
      <c r="S40" s="221">
        <f>'Res P4P'!X8</f>
        <v>2.5257632607520963</v>
      </c>
      <c r="T40" s="3"/>
    </row>
    <row r="41" spans="2:22" x14ac:dyDescent="0.3">
      <c r="B41" s="249" t="s">
        <v>52</v>
      </c>
      <c r="C41" s="238" t="s">
        <v>394</v>
      </c>
      <c r="D41" s="213" t="s">
        <v>395</v>
      </c>
      <c r="E41" s="262">
        <f>'addl HER savings'!C10</f>
        <v>0</v>
      </c>
      <c r="F41" s="262">
        <f>'addl HER savings'!D10</f>
        <v>0</v>
      </c>
      <c r="G41" s="262">
        <f>'addl HER savings'!E10</f>
        <v>0</v>
      </c>
      <c r="H41" s="262">
        <f>'addl HER savings'!F10</f>
        <v>0</v>
      </c>
      <c r="I41" s="258">
        <f>'addl HER savings'!G10</f>
        <v>14.556868711289797</v>
      </c>
      <c r="J41" s="258">
        <f>'addl HER savings'!H10</f>
        <v>32.480130884499445</v>
      </c>
      <c r="K41" s="258">
        <f>'addl HER savings'!I10</f>
        <v>38.102906827555998</v>
      </c>
      <c r="L41" s="258">
        <f>'addl HER savings'!J10</f>
        <v>40.480304912705513</v>
      </c>
      <c r="M41" s="258">
        <f>'addl HER savings'!K10</f>
        <v>42.639810716367052</v>
      </c>
      <c r="N41" s="258">
        <f>'addl HER savings'!L10</f>
        <v>44.835068862617746</v>
      </c>
      <c r="O41" s="258">
        <f>'addl HER savings'!M10</f>
        <v>47.122398306260379</v>
      </c>
      <c r="P41" s="258">
        <f>'addl HER savings'!N10</f>
        <v>49.457630157630419</v>
      </c>
      <c r="Q41" s="258">
        <f>'addl HER savings'!O10</f>
        <v>51.874735196135539</v>
      </c>
      <c r="R41" s="258">
        <f>'addl HER savings'!P10</f>
        <v>54.05111841585466</v>
      </c>
      <c r="S41" s="228">
        <f>'addl HER savings'!Q10</f>
        <v>56.280751766087079</v>
      </c>
      <c r="T41" s="3"/>
    </row>
    <row r="42" spans="2:22" x14ac:dyDescent="0.3">
      <c r="B42" s="244"/>
      <c r="C42" s="259" t="s">
        <v>478</v>
      </c>
      <c r="D42" s="208"/>
      <c r="E42" s="261">
        <f t="shared" ref="E42:S42" si="8">SUM(E38:E41)</f>
        <v>31.561300030884397</v>
      </c>
      <c r="F42" s="261">
        <f t="shared" si="8"/>
        <v>34.163950439794576</v>
      </c>
      <c r="G42" s="261">
        <f t="shared" si="8"/>
        <v>37.014131200077863</v>
      </c>
      <c r="H42" s="261">
        <f t="shared" si="8"/>
        <v>45.386740214401101</v>
      </c>
      <c r="I42" s="261">
        <f t="shared" si="8"/>
        <v>68.70893556443437</v>
      </c>
      <c r="J42" s="261">
        <f t="shared" si="8"/>
        <v>106.90644426352809</v>
      </c>
      <c r="K42" s="261">
        <f t="shared" si="8"/>
        <v>157.66326241778478</v>
      </c>
      <c r="L42" s="261">
        <f t="shared" si="8"/>
        <v>171.315686428661</v>
      </c>
      <c r="M42" s="261">
        <f t="shared" si="8"/>
        <v>183.75067701220263</v>
      </c>
      <c r="N42" s="261">
        <f t="shared" si="8"/>
        <v>197.25991170791076</v>
      </c>
      <c r="O42" s="261">
        <f t="shared" si="8"/>
        <v>216.40141482340971</v>
      </c>
      <c r="P42" s="261">
        <f t="shared" si="8"/>
        <v>232.57253157897537</v>
      </c>
      <c r="Q42" s="261">
        <f t="shared" si="8"/>
        <v>249.77297631679295</v>
      </c>
      <c r="R42" s="261">
        <f t="shared" si="8"/>
        <v>267.8665732870453</v>
      </c>
      <c r="S42" s="222">
        <f t="shared" si="8"/>
        <v>287.116148528304</v>
      </c>
      <c r="T42" s="3"/>
    </row>
    <row r="43" spans="2:22" s="236" customFormat="1" ht="18" x14ac:dyDescent="0.35">
      <c r="B43" s="248" t="s">
        <v>487</v>
      </c>
      <c r="C43" s="241"/>
      <c r="D43" s="210"/>
      <c r="E43" s="336" t="s">
        <v>480</v>
      </c>
      <c r="F43" s="336"/>
      <c r="G43" s="336"/>
      <c r="H43" s="336"/>
      <c r="I43" s="336"/>
      <c r="J43" s="336"/>
      <c r="K43" s="336"/>
      <c r="L43" s="336"/>
      <c r="M43" s="336"/>
      <c r="N43" s="336"/>
      <c r="O43" s="336"/>
      <c r="P43" s="336"/>
      <c r="Q43" s="336"/>
      <c r="R43" s="336"/>
      <c r="S43" s="337"/>
      <c r="T43" s="245"/>
      <c r="U43" s="239"/>
      <c r="V43" s="239"/>
    </row>
    <row r="44" spans="2:22" x14ac:dyDescent="0.3">
      <c r="B44" s="275" t="s">
        <v>488</v>
      </c>
      <c r="C44" s="238" t="s">
        <v>390</v>
      </c>
      <c r="D44" s="213" t="s">
        <v>388</v>
      </c>
      <c r="E44" s="305">
        <f>'2018 PGT BRO 0609 for 2015-17'!C124</f>
        <v>10.397278230618261</v>
      </c>
      <c r="F44" s="305">
        <f>'2018 PGT BRO 0609 for 2015-17'!D124</f>
        <v>10.889159690267411</v>
      </c>
      <c r="G44" s="305">
        <f>'2018 PGT BRO 0609 for 2015-17'!E124</f>
        <v>11.411072094815994</v>
      </c>
      <c r="H44" s="305">
        <f>'2018 PGT BRO 0609 for 2015-17'!F124</f>
        <v>12.676981035853919</v>
      </c>
      <c r="I44" s="305">
        <f>'2018 PGT BRO 0609 for 2015-17'!G124</f>
        <v>13.96890846336284</v>
      </c>
      <c r="J44" s="305">
        <f>'2018 PGT BRO 0609 for 2015-17'!H124</f>
        <v>15.271944441598547</v>
      </c>
      <c r="K44" s="305">
        <f>'2018 PGT BRO 0609 for 2015-17'!I124</f>
        <v>16.686727221855886</v>
      </c>
      <c r="L44" s="305">
        <f>'2018 PGT BRO 0609 for 2015-17'!J124</f>
        <v>18.183440520370802</v>
      </c>
      <c r="M44" s="305">
        <f>'2018 PGT BRO 0609 for 2015-17'!K124</f>
        <v>19.645270556552703</v>
      </c>
      <c r="N44" s="305">
        <f>'2018 PGT BRO 0609 for 2015-17'!L124</f>
        <v>21.218246497480742</v>
      </c>
      <c r="O44" s="305">
        <f>'2018 PGT BRO 0609 for 2015-17'!M124</f>
        <v>23.075729881567451</v>
      </c>
      <c r="P44" s="305">
        <f>'2018 PGT BRO 0609 for 2015-17'!N124</f>
        <v>24.985383111039994</v>
      </c>
      <c r="Q44" s="305">
        <f>'2018 PGT BRO 0609 for 2015-17'!O124</f>
        <v>27.073705104268868</v>
      </c>
      <c r="R44" s="305">
        <f>'2018 PGT BRO 0609 for 2015-17'!P124</f>
        <v>29.424481891235828</v>
      </c>
      <c r="S44" s="307">
        <f>'2018 PGT BRO 0609 for 2015-17'!Q124</f>
        <v>31.971493653694289</v>
      </c>
      <c r="T44" s="3"/>
    </row>
    <row r="45" spans="2:22" x14ac:dyDescent="0.3">
      <c r="B45" s="275" t="s">
        <v>488</v>
      </c>
      <c r="C45" s="238" t="s">
        <v>391</v>
      </c>
      <c r="D45" s="240" t="s">
        <v>398</v>
      </c>
      <c r="E45" s="262">
        <f t="shared" ref="E45:S45" si="9">E17</f>
        <v>0</v>
      </c>
      <c r="F45" s="262">
        <f t="shared" si="9"/>
        <v>0</v>
      </c>
      <c r="G45" s="262">
        <f t="shared" si="9"/>
        <v>0</v>
      </c>
      <c r="H45" s="262">
        <f t="shared" si="9"/>
        <v>0</v>
      </c>
      <c r="I45" s="262">
        <f t="shared" si="9"/>
        <v>0</v>
      </c>
      <c r="J45" s="262">
        <f t="shared" si="9"/>
        <v>0</v>
      </c>
      <c r="K45" s="262">
        <f t="shared" si="9"/>
        <v>0</v>
      </c>
      <c r="L45" s="262">
        <f t="shared" si="9"/>
        <v>0</v>
      </c>
      <c r="M45" s="262">
        <f t="shared" si="9"/>
        <v>0</v>
      </c>
      <c r="N45" s="262">
        <f t="shared" si="9"/>
        <v>0</v>
      </c>
      <c r="O45" s="262">
        <f t="shared" si="9"/>
        <v>0</v>
      </c>
      <c r="P45" s="262">
        <f t="shared" si="9"/>
        <v>0</v>
      </c>
      <c r="Q45" s="262">
        <f t="shared" si="9"/>
        <v>0</v>
      </c>
      <c r="R45" s="262">
        <f t="shared" si="9"/>
        <v>0</v>
      </c>
      <c r="S45" s="223">
        <f t="shared" si="9"/>
        <v>0</v>
      </c>
      <c r="T45" s="3"/>
    </row>
    <row r="46" spans="2:22" x14ac:dyDescent="0.3">
      <c r="B46" s="249" t="s">
        <v>52</v>
      </c>
      <c r="C46" s="238" t="s">
        <v>392</v>
      </c>
      <c r="D46" s="211" t="s">
        <v>415</v>
      </c>
      <c r="E46" s="262">
        <f>E18</f>
        <v>0.32803900000000003</v>
      </c>
      <c r="F46" s="262">
        <f>F18</f>
        <v>0.33087100000000003</v>
      </c>
      <c r="G46" s="262">
        <f>G18</f>
        <v>0.33384459999999999</v>
      </c>
      <c r="H46" s="262">
        <f>H18</f>
        <v>0.33696688000000002</v>
      </c>
      <c r="I46" s="262">
        <f>'Res P4P'!AD8+'Smart Thermostat'!L10</f>
        <v>0.46689943951996837</v>
      </c>
      <c r="J46" s="262">
        <f>'Res P4P'!AE8+'Smart Thermostat'!M10</f>
        <v>0.95433092147421461</v>
      </c>
      <c r="K46" s="262">
        <f>'Res P4P'!AF8+'Smart Thermostat'!N10</f>
        <v>0.97460602046564293</v>
      </c>
      <c r="L46" s="262">
        <f>'Res P4P'!AG8+'Smart Thermostat'!O10</f>
        <v>0.99545899053431641</v>
      </c>
      <c r="M46" s="262">
        <f>'Res P4P'!AH8+'Smart Thermostat'!P10</f>
        <v>1.0169066165649758</v>
      </c>
      <c r="N46" s="262">
        <f>'Res P4P'!AI8+'Smart Thermostat'!Q10</f>
        <v>1.038354758707422</v>
      </c>
      <c r="O46" s="262">
        <f>'Res P4P'!AJ8+'Smart Thermostat'!R10</f>
        <v>1.0608205447698646</v>
      </c>
      <c r="P46" s="262">
        <f>'Res P4P'!AK8+'Smart Thermostat'!S10</f>
        <v>1.0832264145635349</v>
      </c>
      <c r="Q46" s="262">
        <f>'Res P4P'!AL8+'Smart Thermostat'!T10</f>
        <v>1.106311605077209</v>
      </c>
      <c r="R46" s="262">
        <f>'Res P4P'!AM8+'Smart Thermostat'!U10</f>
        <v>1.130469156575622</v>
      </c>
      <c r="S46" s="223">
        <f>'Res P4P'!AN8+'Smart Thermostat'!V10</f>
        <v>1.1554640727730703</v>
      </c>
      <c r="T46" s="3"/>
    </row>
    <row r="47" spans="2:22" x14ac:dyDescent="0.3">
      <c r="B47" s="249" t="s">
        <v>52</v>
      </c>
      <c r="C47" s="238" t="s">
        <v>394</v>
      </c>
      <c r="D47" s="213" t="s">
        <v>395</v>
      </c>
      <c r="E47" s="262">
        <f>'addl HER savings'!C16</f>
        <v>0</v>
      </c>
      <c r="F47" s="262">
        <f>'addl HER savings'!D16</f>
        <v>0</v>
      </c>
      <c r="G47" s="262">
        <f>'addl HER savings'!E16</f>
        <v>0</v>
      </c>
      <c r="H47" s="262">
        <f>'addl HER savings'!F16</f>
        <v>0</v>
      </c>
      <c r="I47" s="262">
        <f>'addl HER savings'!G16</f>
        <v>0.70508315165604829</v>
      </c>
      <c r="J47" s="262">
        <f>'addl HER savings'!H16</f>
        <v>1.4670265849867232</v>
      </c>
      <c r="K47" s="262">
        <f>'addl HER savings'!I16</f>
        <v>1.5248969208568592</v>
      </c>
      <c r="L47" s="262">
        <f>'addl HER savings'!J16</f>
        <v>1.5648188367302827</v>
      </c>
      <c r="M47" s="262">
        <f>'addl HER savings'!K16</f>
        <v>1.5982513752247876</v>
      </c>
      <c r="N47" s="262">
        <f>'addl HER savings'!L16</f>
        <v>1.6322494058973807</v>
      </c>
      <c r="O47" s="262">
        <f>'addl HER savings'!M16</f>
        <v>1.6647672151743889</v>
      </c>
      <c r="P47" s="262">
        <f>'addl HER savings'!N16</f>
        <v>1.7007768037696001</v>
      </c>
      <c r="Q47" s="262">
        <f>'addl HER savings'!O16</f>
        <v>1.7344711308485703</v>
      </c>
      <c r="R47" s="262">
        <f>'addl HER savings'!P16</f>
        <v>1.7691718566952463</v>
      </c>
      <c r="S47" s="223">
        <f>'addl HER savings'!Q16</f>
        <v>1.8041135539410587</v>
      </c>
      <c r="T47" s="3"/>
    </row>
    <row r="48" spans="2:22" ht="15" thickBot="1" x14ac:dyDescent="0.35">
      <c r="B48" s="244"/>
      <c r="C48" s="259" t="s">
        <v>478</v>
      </c>
      <c r="D48" s="208"/>
      <c r="E48" s="235">
        <f t="shared" ref="E48:S48" si="10">SUM(E45:E47)</f>
        <v>0.32803900000000003</v>
      </c>
      <c r="F48" s="235">
        <f t="shared" si="10"/>
        <v>0.33087100000000003</v>
      </c>
      <c r="G48" s="235">
        <f t="shared" si="10"/>
        <v>0.33384459999999999</v>
      </c>
      <c r="H48" s="235">
        <f t="shared" si="10"/>
        <v>0.33696688000000002</v>
      </c>
      <c r="I48" s="235">
        <f t="shared" si="10"/>
        <v>1.1719825911760167</v>
      </c>
      <c r="J48" s="235">
        <f t="shared" si="10"/>
        <v>2.4213575064609376</v>
      </c>
      <c r="K48" s="235">
        <f t="shared" si="10"/>
        <v>2.4995029413225023</v>
      </c>
      <c r="L48" s="235">
        <f t="shared" si="10"/>
        <v>2.5602778272645992</v>
      </c>
      <c r="M48" s="235">
        <f t="shared" si="10"/>
        <v>2.6151579917897632</v>
      </c>
      <c r="N48" s="235">
        <f t="shared" si="10"/>
        <v>2.6706041646048027</v>
      </c>
      <c r="O48" s="235">
        <f t="shared" si="10"/>
        <v>2.7255877599442533</v>
      </c>
      <c r="P48" s="235">
        <f t="shared" si="10"/>
        <v>2.7840032183331349</v>
      </c>
      <c r="Q48" s="235">
        <f t="shared" si="10"/>
        <v>2.8407827359257793</v>
      </c>
      <c r="R48" s="235">
        <f t="shared" si="10"/>
        <v>2.8996410132708683</v>
      </c>
      <c r="S48" s="268">
        <f t="shared" si="10"/>
        <v>2.9595776267141289</v>
      </c>
      <c r="T48" s="3"/>
    </row>
    <row r="49" spans="2:22" ht="18" x14ac:dyDescent="0.35">
      <c r="B49" s="279" t="s">
        <v>91</v>
      </c>
      <c r="C49" s="216" t="s">
        <v>482</v>
      </c>
      <c r="D49" s="217" t="s">
        <v>479</v>
      </c>
      <c r="E49" s="216">
        <v>2015</v>
      </c>
      <c r="F49" s="216">
        <v>2016</v>
      </c>
      <c r="G49" s="216">
        <v>2017</v>
      </c>
      <c r="H49" s="216">
        <v>2018</v>
      </c>
      <c r="I49" s="216">
        <v>2019</v>
      </c>
      <c r="J49" s="216">
        <v>2020</v>
      </c>
      <c r="K49" s="216">
        <v>2021</v>
      </c>
      <c r="L49" s="216">
        <v>2022</v>
      </c>
      <c r="M49" s="216">
        <v>2023</v>
      </c>
      <c r="N49" s="216">
        <v>2024</v>
      </c>
      <c r="O49" s="216">
        <v>2025</v>
      </c>
      <c r="P49" s="216">
        <v>2026</v>
      </c>
      <c r="Q49" s="192">
        <v>2027</v>
      </c>
      <c r="R49" s="192">
        <v>2028</v>
      </c>
      <c r="S49" s="218">
        <v>2029</v>
      </c>
      <c r="T49" s="20"/>
      <c r="U49" s="9"/>
    </row>
    <row r="50" spans="2:22" ht="18" x14ac:dyDescent="0.35">
      <c r="B50" s="246" t="s">
        <v>409</v>
      </c>
      <c r="C50" s="242"/>
      <c r="D50" s="215"/>
      <c r="E50" s="333" t="s">
        <v>481</v>
      </c>
      <c r="F50" s="333"/>
      <c r="G50" s="333"/>
      <c r="H50" s="333"/>
      <c r="I50" s="333"/>
      <c r="J50" s="333"/>
      <c r="K50" s="333"/>
      <c r="L50" s="333"/>
      <c r="M50" s="333"/>
      <c r="N50" s="333"/>
      <c r="O50" s="333"/>
      <c r="P50" s="333"/>
      <c r="Q50" s="333"/>
      <c r="R50" s="333"/>
      <c r="S50" s="334"/>
      <c r="T50" s="20"/>
      <c r="U50" s="9"/>
      <c r="V50" s="9"/>
    </row>
    <row r="51" spans="2:22" x14ac:dyDescent="0.3">
      <c r="B51" s="275" t="s">
        <v>488</v>
      </c>
      <c r="C51" s="238" t="str">
        <f t="shared" ref="C51:D55" si="11">C37</f>
        <v>Bottom Wedge: IOU Programs in 2018 PG</v>
      </c>
      <c r="D51" s="213" t="str">
        <f t="shared" si="11"/>
        <v>From 2018 PG: Aggressive</v>
      </c>
      <c r="E51" s="258">
        <f>'2018 PGT BRO 0609 for 2015-17'!C48</f>
        <v>160.03722872343201</v>
      </c>
      <c r="F51" s="258">
        <f>'2018 PGT BRO 0609 for 2015-17'!D48</f>
        <v>203.05869848810229</v>
      </c>
      <c r="G51" s="258">
        <f>'2018 PGT BRO 0609 for 2015-17'!E48</f>
        <v>250.40726447837631</v>
      </c>
      <c r="H51" s="258">
        <f>'2018 PGT BRO 0609 for 2015-17'!F48</f>
        <v>337.9645124667806</v>
      </c>
      <c r="I51" s="258">
        <f>'2018 PGT BRO 0609 for 2015-17'!G48</f>
        <v>412.73748762800625</v>
      </c>
      <c r="J51" s="258">
        <f>'2018 PGT BRO 0609 for 2015-17'!H48</f>
        <v>472.64731783092162</v>
      </c>
      <c r="K51" s="258">
        <f>'2018 PGT BRO 0609 for 2015-17'!I48</f>
        <v>549.11422655258082</v>
      </c>
      <c r="L51" s="258">
        <f>'2018 PGT BRO 0609 for 2015-17'!J48</f>
        <v>637.48333629138654</v>
      </c>
      <c r="M51" s="258">
        <f>'2018 PGT BRO 0609 for 2015-17'!K48</f>
        <v>732.95260693035891</v>
      </c>
      <c r="N51" s="258">
        <f>'2018 PGT BRO 0609 for 2015-17'!L48</f>
        <v>844.6279928134486</v>
      </c>
      <c r="O51" s="258">
        <f>'2018 PGT BRO 0609 for 2015-17'!M48</f>
        <v>981.22669886970891</v>
      </c>
      <c r="P51" s="258">
        <f>'2018 PGT BRO 0609 for 2015-17'!N48</f>
        <v>1131.3718669584175</v>
      </c>
      <c r="Q51" s="258">
        <f>'2018 PGT BRO 0609 for 2015-17'!O48</f>
        <v>1305.1109282830466</v>
      </c>
      <c r="R51" s="258">
        <f>'2018 PGT BRO 0609 for 2015-17'!P48</f>
        <v>1507.0636885640326</v>
      </c>
      <c r="S51" s="228">
        <f>'2018 PGT BRO 0609 for 2015-17'!Q48</f>
        <v>1742.9739313155951</v>
      </c>
      <c r="T51" s="3"/>
    </row>
    <row r="52" spans="2:22" x14ac:dyDescent="0.3">
      <c r="B52" s="249" t="s">
        <v>52</v>
      </c>
      <c r="C52" s="238" t="str">
        <f t="shared" si="11"/>
        <v>Middle Wedge: POU programs</v>
      </c>
      <c r="D52" s="211" t="str">
        <f t="shared" si="11"/>
        <v>POU BRO Savings, assuming similar increase as IOU Aggressive</v>
      </c>
      <c r="E52" s="266">
        <f>(E$51/E$22)*E23</f>
        <v>23.666630999999999</v>
      </c>
      <c r="F52" s="266">
        <f t="shared" ref="F52:S52" si="12">(F$51/F$22)*F23</f>
        <v>26.033294099999999</v>
      </c>
      <c r="G52" s="265">
        <f t="shared" si="12"/>
        <v>28.63662351</v>
      </c>
      <c r="H52" s="265">
        <f t="shared" si="12"/>
        <v>35.180657336005986</v>
      </c>
      <c r="I52" s="265">
        <f t="shared" si="12"/>
        <v>45.57265874602421</v>
      </c>
      <c r="J52" s="265">
        <f t="shared" si="12"/>
        <v>57.729894131958268</v>
      </c>
      <c r="K52" s="265">
        <f t="shared" si="12"/>
        <v>90.547848468567324</v>
      </c>
      <c r="L52" s="265">
        <f t="shared" si="12"/>
        <v>100.28257232677653</v>
      </c>
      <c r="M52" s="265">
        <f t="shared" si="12"/>
        <v>109.53200733226831</v>
      </c>
      <c r="N52" s="265">
        <f t="shared" si="12"/>
        <v>120.12830447075176</v>
      </c>
      <c r="O52" s="265">
        <f t="shared" si="12"/>
        <v>133.00502805236445</v>
      </c>
      <c r="P52" s="265">
        <f t="shared" si="12"/>
        <v>146.8901270679084</v>
      </c>
      <c r="Q52" s="265">
        <f t="shared" si="12"/>
        <v>162.42213344264772</v>
      </c>
      <c r="R52" s="265">
        <f t="shared" si="12"/>
        <v>179.37871142752996</v>
      </c>
      <c r="S52" s="229">
        <f t="shared" si="12"/>
        <v>198.08039109293122</v>
      </c>
      <c r="T52" s="3"/>
    </row>
    <row r="53" spans="2:22" s="236" customFormat="1" x14ac:dyDescent="0.3">
      <c r="B53" s="249" t="s">
        <v>483</v>
      </c>
      <c r="C53" s="238" t="str">
        <f t="shared" si="11"/>
        <v>Middle Wedge: POU programs</v>
      </c>
      <c r="D53" s="211" t="str">
        <f t="shared" si="11"/>
        <v>POU BRO Savings, assuming similar increase as IOU Aggressive</v>
      </c>
      <c r="E53" s="266">
        <f>(E$51/E$22)*E24</f>
        <v>4.7513925308843969</v>
      </c>
      <c r="F53" s="266">
        <f t="shared" ref="F53:S53" si="13">(F$51/F$22)*F24</f>
        <v>9.7198843706789688</v>
      </c>
      <c r="G53" s="265">
        <f t="shared" si="13"/>
        <v>14.915395160756832</v>
      </c>
      <c r="H53" s="265">
        <f t="shared" si="13"/>
        <v>22.725714141427886</v>
      </c>
      <c r="I53" s="265">
        <f t="shared" si="13"/>
        <v>29.554761920252957</v>
      </c>
      <c r="J53" s="265">
        <f t="shared" si="13"/>
        <v>38.52527672985839</v>
      </c>
      <c r="K53" s="265">
        <f t="shared" si="13"/>
        <v>60.372441104454417</v>
      </c>
      <c r="L53" s="265">
        <f t="shared" si="13"/>
        <v>85.6500876659357</v>
      </c>
      <c r="M53" s="265">
        <f t="shared" si="13"/>
        <v>115.23926672508547</v>
      </c>
      <c r="N53" s="265">
        <f t="shared" si="13"/>
        <v>150.98031614786487</v>
      </c>
      <c r="O53" s="265">
        <f t="shared" si="13"/>
        <v>191.90389934282237</v>
      </c>
      <c r="P53" s="265">
        <f t="shared" si="13"/>
        <v>229.62627982831182</v>
      </c>
      <c r="Q53" s="265">
        <f t="shared" si="13"/>
        <v>272.61484265170117</v>
      </c>
      <c r="R53" s="265">
        <f t="shared" si="13"/>
        <v>322.97585142714752</v>
      </c>
      <c r="S53" s="229">
        <f t="shared" si="13"/>
        <v>382.91091934560058</v>
      </c>
      <c r="T53" s="238"/>
    </row>
    <row r="54" spans="2:22" x14ac:dyDescent="0.3">
      <c r="B54" s="249" t="s">
        <v>52</v>
      </c>
      <c r="C54" s="238" t="str">
        <f t="shared" si="11"/>
        <v>Middle Wedge: Savings beyond claimed utility programs</v>
      </c>
      <c r="D54" s="211" t="str">
        <f t="shared" si="11"/>
        <v>from Manage Act Save (MAS, through 2018), Res Pay 4 Performance (P4P), and Smart thermostat</v>
      </c>
      <c r="E54" s="265">
        <f t="shared" ref="E54:S54" si="14">E40</f>
        <v>3.1432764999999998</v>
      </c>
      <c r="F54" s="265">
        <f t="shared" si="14"/>
        <v>3.1621644999999998</v>
      </c>
      <c r="G54" s="265">
        <f t="shared" si="14"/>
        <v>3.1819969000000001</v>
      </c>
      <c r="H54" s="265">
        <f t="shared" si="14"/>
        <v>3.2028209199999997</v>
      </c>
      <c r="I54" s="265">
        <f t="shared" si="14"/>
        <v>0.77529977054101828</v>
      </c>
      <c r="J54" s="265">
        <f t="shared" si="14"/>
        <v>1.6281295181361384</v>
      </c>
      <c r="K54" s="265">
        <f t="shared" si="14"/>
        <v>1.7095359940429453</v>
      </c>
      <c r="L54" s="265">
        <f t="shared" si="14"/>
        <v>1.7950127937450928</v>
      </c>
      <c r="M54" s="265">
        <f t="shared" si="14"/>
        <v>1.8847634334323473</v>
      </c>
      <c r="N54" s="265">
        <f t="shared" si="14"/>
        <v>1.9790016051039647</v>
      </c>
      <c r="O54" s="265">
        <f t="shared" si="14"/>
        <v>2.0779516853591629</v>
      </c>
      <c r="P54" s="265">
        <f t="shared" si="14"/>
        <v>2.1818492696271212</v>
      </c>
      <c r="Q54" s="265">
        <f t="shared" si="14"/>
        <v>2.2909417331084776</v>
      </c>
      <c r="R54" s="265">
        <f t="shared" si="14"/>
        <v>2.4054888197639013</v>
      </c>
      <c r="S54" s="229">
        <f t="shared" si="14"/>
        <v>2.5257632607520963</v>
      </c>
      <c r="T54" s="3"/>
    </row>
    <row r="55" spans="2:22" ht="18" x14ac:dyDescent="0.35">
      <c r="B55" s="249" t="s">
        <v>52</v>
      </c>
      <c r="C55" s="238" t="str">
        <f t="shared" si="11"/>
        <v>Middle Wedge: Savings beyond PG Aggressive scenario</v>
      </c>
      <c r="D55" s="211" t="str">
        <f t="shared" si="11"/>
        <v>Increase HER savings by decreasing control group</v>
      </c>
      <c r="E55" s="265">
        <f t="shared" ref="E55:S55" si="15">E41</f>
        <v>0</v>
      </c>
      <c r="F55" s="265">
        <f t="shared" si="15"/>
        <v>0</v>
      </c>
      <c r="G55" s="265">
        <f t="shared" si="15"/>
        <v>0</v>
      </c>
      <c r="H55" s="265">
        <f t="shared" si="15"/>
        <v>0</v>
      </c>
      <c r="I55" s="265">
        <f t="shared" si="15"/>
        <v>14.556868711289797</v>
      </c>
      <c r="J55" s="265">
        <f t="shared" si="15"/>
        <v>32.480130884499445</v>
      </c>
      <c r="K55" s="265">
        <f t="shared" si="15"/>
        <v>38.102906827555998</v>
      </c>
      <c r="L55" s="265">
        <f t="shared" si="15"/>
        <v>40.480304912705513</v>
      </c>
      <c r="M55" s="265">
        <f t="shared" si="15"/>
        <v>42.639810716367052</v>
      </c>
      <c r="N55" s="265">
        <f t="shared" si="15"/>
        <v>44.835068862617746</v>
      </c>
      <c r="O55" s="265">
        <f t="shared" si="15"/>
        <v>47.122398306260379</v>
      </c>
      <c r="P55" s="265">
        <f t="shared" si="15"/>
        <v>49.457630157630419</v>
      </c>
      <c r="Q55" s="265">
        <f t="shared" si="15"/>
        <v>51.874735196135539</v>
      </c>
      <c r="R55" s="265">
        <f t="shared" si="15"/>
        <v>54.05111841585466</v>
      </c>
      <c r="S55" s="229">
        <f t="shared" si="15"/>
        <v>56.280751766087079</v>
      </c>
      <c r="T55" s="20"/>
      <c r="U55" s="9"/>
    </row>
    <row r="56" spans="2:22" x14ac:dyDescent="0.3">
      <c r="B56" s="244"/>
      <c r="C56" s="259" t="s">
        <v>478</v>
      </c>
      <c r="D56" s="208"/>
      <c r="E56" s="261">
        <f t="shared" ref="E56:S56" si="16">SUM(E52:E55)</f>
        <v>31.561300030884397</v>
      </c>
      <c r="F56" s="261">
        <f t="shared" si="16"/>
        <v>38.915342970678971</v>
      </c>
      <c r="G56" s="261">
        <f t="shared" si="16"/>
        <v>46.734015570756831</v>
      </c>
      <c r="H56" s="261">
        <f t="shared" si="16"/>
        <v>61.109192397433873</v>
      </c>
      <c r="I56" s="261">
        <f t="shared" si="16"/>
        <v>90.459589148107995</v>
      </c>
      <c r="J56" s="261">
        <f t="shared" si="16"/>
        <v>130.36343126445223</v>
      </c>
      <c r="K56" s="261">
        <f t="shared" si="16"/>
        <v>190.73273239462065</v>
      </c>
      <c r="L56" s="261">
        <f t="shared" si="16"/>
        <v>228.20797769916283</v>
      </c>
      <c r="M56" s="261">
        <f t="shared" si="16"/>
        <v>269.29584820715314</v>
      </c>
      <c r="N56" s="261">
        <f t="shared" si="16"/>
        <v>317.92269108633832</v>
      </c>
      <c r="O56" s="261">
        <f t="shared" si="16"/>
        <v>374.10927738680635</v>
      </c>
      <c r="P56" s="261">
        <f t="shared" si="16"/>
        <v>428.15588632347777</v>
      </c>
      <c r="Q56" s="261">
        <f t="shared" si="16"/>
        <v>489.20265302359292</v>
      </c>
      <c r="R56" s="261">
        <f t="shared" si="16"/>
        <v>558.81117009029606</v>
      </c>
      <c r="S56" s="222">
        <f t="shared" si="16"/>
        <v>639.79782546537103</v>
      </c>
      <c r="T56" s="3"/>
    </row>
    <row r="57" spans="2:22" ht="18" x14ac:dyDescent="0.35">
      <c r="B57" s="246" t="s">
        <v>409</v>
      </c>
      <c r="C57" s="242"/>
      <c r="D57" s="215"/>
      <c r="E57" s="333" t="s">
        <v>480</v>
      </c>
      <c r="F57" s="333"/>
      <c r="G57" s="333"/>
      <c r="H57" s="333"/>
      <c r="I57" s="333"/>
      <c r="J57" s="333"/>
      <c r="K57" s="333"/>
      <c r="L57" s="333"/>
      <c r="M57" s="333"/>
      <c r="N57" s="333"/>
      <c r="O57" s="333"/>
      <c r="P57" s="333"/>
      <c r="Q57" s="333"/>
      <c r="R57" s="333"/>
      <c r="S57" s="334"/>
      <c r="T57" s="3"/>
    </row>
    <row r="58" spans="2:22" x14ac:dyDescent="0.3">
      <c r="B58" s="275" t="s">
        <v>488</v>
      </c>
      <c r="C58" s="238" t="str">
        <f>C44</f>
        <v>Bottom Wedge: IOU Programs in 2018 PG</v>
      </c>
      <c r="D58" s="213" t="s">
        <v>388</v>
      </c>
      <c r="E58" s="305">
        <f>'2018 PGT BRO 0609 for 2015-17'!C125</f>
        <v>12.676981035853919</v>
      </c>
      <c r="F58" s="305">
        <f>'2018 PGT BRO 0609 for 2015-17'!D125</f>
        <v>13.860272549321412</v>
      </c>
      <c r="G58" s="305">
        <f>'2018 PGT BRO 0609 for 2015-17'!E125</f>
        <v>15.043564062788905</v>
      </c>
      <c r="H58" s="305">
        <f>'2018 PGT BRO 0609 for 2015-17'!F125</f>
        <v>16.226855576256398</v>
      </c>
      <c r="I58" s="305">
        <f>'2018 PGT BRO 0609 for 2015-17'!G125</f>
        <v>18.702074517232809</v>
      </c>
      <c r="J58" s="305">
        <f>'2018 PGT BRO 0609 for 2015-17'!H125</f>
        <v>20.775444619771946</v>
      </c>
      <c r="K58" s="305">
        <f>'2018 PGT BRO 0609 for 2015-17'!I125</f>
        <v>23.533326543787343</v>
      </c>
      <c r="L58" s="305">
        <f>'2018 PGT BRO 0609 for 2015-17'!J125</f>
        <v>27.051012601905256</v>
      </c>
      <c r="M58" s="305">
        <f>'2018 PGT BRO 0609 for 2015-17'!K125</f>
        <v>31.328112414051738</v>
      </c>
      <c r="N58" s="305">
        <f>'2018 PGT BRO 0609 for 2015-17'!L125</f>
        <v>36.334187639345842</v>
      </c>
      <c r="O58" s="305">
        <f>'2018 PGT BRO 0609 for 2015-17'!M125</f>
        <v>41.883493128211619</v>
      </c>
      <c r="P58" s="305">
        <f>'2018 PGT BRO 0609 for 2015-17'!N125</f>
        <v>47.870912144894696</v>
      </c>
      <c r="Q58" s="305">
        <f>'2018 PGT BRO 0609 for 2015-17'!O125</f>
        <v>54.572671918066057</v>
      </c>
      <c r="R58" s="305">
        <f>'2018 PGT BRO 0609 for 2015-17'!P125</f>
        <v>62.189991042074553</v>
      </c>
      <c r="S58" s="307">
        <f>'2018 PGT BRO 0609 for 2015-17'!Q125</f>
        <v>70.777625898626226</v>
      </c>
      <c r="T58" s="3"/>
    </row>
    <row r="59" spans="2:22" x14ac:dyDescent="0.3">
      <c r="B59" s="275" t="s">
        <v>488</v>
      </c>
      <c r="C59" s="238" t="str">
        <f>C45</f>
        <v>Middle Wedge: POU programs</v>
      </c>
      <c r="D59" s="240" t="s">
        <v>398</v>
      </c>
      <c r="E59" s="206">
        <v>0</v>
      </c>
      <c r="F59" s="206">
        <v>0</v>
      </c>
      <c r="G59" s="206">
        <v>0</v>
      </c>
      <c r="H59" s="206">
        <v>0</v>
      </c>
      <c r="I59" s="206">
        <v>0</v>
      </c>
      <c r="J59" s="206">
        <v>0</v>
      </c>
      <c r="K59" s="206">
        <v>0</v>
      </c>
      <c r="L59" s="206">
        <v>0</v>
      </c>
      <c r="M59" s="206">
        <v>0</v>
      </c>
      <c r="N59" s="206">
        <v>0</v>
      </c>
      <c r="O59" s="206">
        <v>0</v>
      </c>
      <c r="P59" s="206">
        <v>0</v>
      </c>
      <c r="Q59" s="206">
        <v>0</v>
      </c>
      <c r="R59" s="206">
        <v>0</v>
      </c>
      <c r="S59" s="227">
        <v>0</v>
      </c>
      <c r="T59" s="3"/>
    </row>
    <row r="60" spans="2:22" x14ac:dyDescent="0.3">
      <c r="B60" s="249" t="s">
        <v>52</v>
      </c>
      <c r="C60" s="238" t="str">
        <f>C46</f>
        <v>Middle Wedge: Savings beyond claimed utility programs</v>
      </c>
      <c r="D60" s="211" t="s">
        <v>415</v>
      </c>
      <c r="E60" s="206">
        <f t="shared" ref="E60:S60" si="17">E46</f>
        <v>0.32803900000000003</v>
      </c>
      <c r="F60" s="206">
        <f t="shared" si="17"/>
        <v>0.33087100000000003</v>
      </c>
      <c r="G60" s="206">
        <f t="shared" si="17"/>
        <v>0.33384459999999999</v>
      </c>
      <c r="H60" s="206">
        <f t="shared" si="17"/>
        <v>0.33696688000000002</v>
      </c>
      <c r="I60" s="206">
        <f t="shared" si="17"/>
        <v>0.46689943951996837</v>
      </c>
      <c r="J60" s="206">
        <f t="shared" si="17"/>
        <v>0.95433092147421461</v>
      </c>
      <c r="K60" s="206">
        <f t="shared" si="17"/>
        <v>0.97460602046564293</v>
      </c>
      <c r="L60" s="206">
        <f t="shared" si="17"/>
        <v>0.99545899053431641</v>
      </c>
      <c r="M60" s="206">
        <f t="shared" si="17"/>
        <v>1.0169066165649758</v>
      </c>
      <c r="N60" s="206">
        <f t="shared" si="17"/>
        <v>1.038354758707422</v>
      </c>
      <c r="O60" s="206">
        <f t="shared" si="17"/>
        <v>1.0608205447698646</v>
      </c>
      <c r="P60" s="206">
        <f t="shared" si="17"/>
        <v>1.0832264145635349</v>
      </c>
      <c r="Q60" s="206">
        <f t="shared" si="17"/>
        <v>1.106311605077209</v>
      </c>
      <c r="R60" s="206">
        <f t="shared" si="17"/>
        <v>1.130469156575622</v>
      </c>
      <c r="S60" s="227">
        <f t="shared" si="17"/>
        <v>1.1554640727730703</v>
      </c>
      <c r="T60" s="3"/>
    </row>
    <row r="61" spans="2:22" x14ac:dyDescent="0.3">
      <c r="B61" s="249" t="s">
        <v>52</v>
      </c>
      <c r="C61" s="255" t="str">
        <f>C47</f>
        <v>Middle Wedge: Savings beyond PG Aggressive scenario</v>
      </c>
      <c r="D61" s="213" t="s">
        <v>395</v>
      </c>
      <c r="E61" s="206">
        <f t="shared" ref="E61:S61" si="18">E47</f>
        <v>0</v>
      </c>
      <c r="F61" s="206">
        <f t="shared" si="18"/>
        <v>0</v>
      </c>
      <c r="G61" s="206">
        <f t="shared" si="18"/>
        <v>0</v>
      </c>
      <c r="H61" s="206">
        <f t="shared" si="18"/>
        <v>0</v>
      </c>
      <c r="I61" s="206">
        <f t="shared" si="18"/>
        <v>0.70508315165604829</v>
      </c>
      <c r="J61" s="206">
        <f t="shared" si="18"/>
        <v>1.4670265849867232</v>
      </c>
      <c r="K61" s="206">
        <f t="shared" si="18"/>
        <v>1.5248969208568592</v>
      </c>
      <c r="L61" s="206">
        <f t="shared" si="18"/>
        <v>1.5648188367302827</v>
      </c>
      <c r="M61" s="206">
        <f t="shared" si="18"/>
        <v>1.5982513752247876</v>
      </c>
      <c r="N61" s="206">
        <f t="shared" si="18"/>
        <v>1.6322494058973807</v>
      </c>
      <c r="O61" s="206">
        <f t="shared" si="18"/>
        <v>1.6647672151743889</v>
      </c>
      <c r="P61" s="206">
        <f t="shared" si="18"/>
        <v>1.7007768037696001</v>
      </c>
      <c r="Q61" s="206">
        <f t="shared" si="18"/>
        <v>1.7344711308485703</v>
      </c>
      <c r="R61" s="206">
        <f t="shared" si="18"/>
        <v>1.7691718566952463</v>
      </c>
      <c r="S61" s="227">
        <f t="shared" si="18"/>
        <v>1.8041135539410587</v>
      </c>
      <c r="T61" s="3"/>
    </row>
    <row r="62" spans="2:22" ht="15" thickBot="1" x14ac:dyDescent="0.35">
      <c r="B62" s="247"/>
      <c r="C62" s="224" t="s">
        <v>478</v>
      </c>
      <c r="D62" s="225"/>
      <c r="E62" s="271">
        <f>SUM(E59:E61)</f>
        <v>0.32803900000000003</v>
      </c>
      <c r="F62" s="271">
        <f t="shared" ref="F62:S62" si="19">SUM(F59:F61)</f>
        <v>0.33087100000000003</v>
      </c>
      <c r="G62" s="271">
        <f t="shared" si="19"/>
        <v>0.33384459999999999</v>
      </c>
      <c r="H62" s="271">
        <f t="shared" si="19"/>
        <v>0.33696688000000002</v>
      </c>
      <c r="I62" s="271">
        <f t="shared" si="19"/>
        <v>1.1719825911760167</v>
      </c>
      <c r="J62" s="271">
        <f t="shared" si="19"/>
        <v>2.4213575064609376</v>
      </c>
      <c r="K62" s="271">
        <f t="shared" si="19"/>
        <v>2.4995029413225023</v>
      </c>
      <c r="L62" s="271">
        <f t="shared" si="19"/>
        <v>2.5602778272645992</v>
      </c>
      <c r="M62" s="271">
        <f t="shared" si="19"/>
        <v>2.6151579917897632</v>
      </c>
      <c r="N62" s="271">
        <f t="shared" si="19"/>
        <v>2.6706041646048027</v>
      </c>
      <c r="O62" s="271">
        <f t="shared" si="19"/>
        <v>2.7255877599442533</v>
      </c>
      <c r="P62" s="271">
        <f t="shared" si="19"/>
        <v>2.7840032183331349</v>
      </c>
      <c r="Q62" s="271">
        <f t="shared" si="19"/>
        <v>2.8407827359257793</v>
      </c>
      <c r="R62" s="271">
        <f t="shared" si="19"/>
        <v>2.8996410132708683</v>
      </c>
      <c r="S62" s="272">
        <f t="shared" si="19"/>
        <v>2.9595776267141289</v>
      </c>
      <c r="T62" s="3"/>
    </row>
    <row r="64" spans="2:22" ht="15" thickBot="1" x14ac:dyDescent="0.35"/>
    <row r="65" spans="2:19" s="236" customFormat="1" ht="18" x14ac:dyDescent="0.35">
      <c r="B65" s="250" t="s">
        <v>486</v>
      </c>
      <c r="C65" s="216"/>
      <c r="D65" s="217"/>
      <c r="E65" s="216">
        <v>2015</v>
      </c>
      <c r="F65" s="216">
        <v>2016</v>
      </c>
      <c r="G65" s="216">
        <v>2017</v>
      </c>
      <c r="H65" s="216">
        <v>2018</v>
      </c>
      <c r="I65" s="216">
        <v>2019</v>
      </c>
      <c r="J65" s="216">
        <v>2020</v>
      </c>
      <c r="K65" s="216">
        <v>2021</v>
      </c>
      <c r="L65" s="216">
        <v>2022</v>
      </c>
      <c r="M65" s="216">
        <v>2023</v>
      </c>
      <c r="N65" s="216">
        <v>2024</v>
      </c>
      <c r="O65" s="216">
        <v>2025</v>
      </c>
      <c r="P65" s="216">
        <v>2026</v>
      </c>
      <c r="Q65" s="192">
        <v>2027</v>
      </c>
      <c r="R65" s="192">
        <v>2028</v>
      </c>
      <c r="S65" s="218">
        <v>2029</v>
      </c>
    </row>
    <row r="66" spans="2:19" s="236" customFormat="1" ht="18" x14ac:dyDescent="0.35">
      <c r="B66" s="246" t="s">
        <v>483</v>
      </c>
      <c r="C66" s="242"/>
      <c r="D66" s="215"/>
      <c r="E66" s="333"/>
      <c r="F66" s="333"/>
      <c r="G66" s="333"/>
      <c r="H66" s="333"/>
      <c r="I66" s="333"/>
      <c r="J66" s="333"/>
      <c r="K66" s="333"/>
      <c r="L66" s="333"/>
      <c r="M66" s="333"/>
      <c r="N66" s="333"/>
      <c r="O66" s="333"/>
      <c r="P66" s="333"/>
      <c r="Q66" s="333"/>
      <c r="R66" s="333"/>
      <c r="S66" s="334"/>
    </row>
    <row r="67" spans="2:19" s="236" customFormat="1" x14ac:dyDescent="0.3">
      <c r="B67" s="275"/>
      <c r="C67" s="238" t="s">
        <v>484</v>
      </c>
      <c r="D67" s="211" t="s">
        <v>0</v>
      </c>
      <c r="E67" s="264">
        <f>SUMIF($B$51:$B$55, $B$66, E$51:E$55)</f>
        <v>4.7513925308843969</v>
      </c>
      <c r="F67" s="264">
        <f t="shared" ref="F67:S67" si="20">SUMIF($B$51:$B$55, $B$66, F$51:F$55)</f>
        <v>9.7198843706789688</v>
      </c>
      <c r="G67" s="264">
        <f t="shared" si="20"/>
        <v>14.915395160756832</v>
      </c>
      <c r="H67" s="264">
        <f t="shared" si="20"/>
        <v>22.725714141427886</v>
      </c>
      <c r="I67" s="264">
        <f t="shared" si="20"/>
        <v>29.554761920252957</v>
      </c>
      <c r="J67" s="264">
        <f t="shared" si="20"/>
        <v>38.52527672985839</v>
      </c>
      <c r="K67" s="264">
        <f t="shared" si="20"/>
        <v>60.372441104454417</v>
      </c>
      <c r="L67" s="264">
        <f t="shared" si="20"/>
        <v>85.6500876659357</v>
      </c>
      <c r="M67" s="264">
        <f t="shared" si="20"/>
        <v>115.23926672508547</v>
      </c>
      <c r="N67" s="264">
        <f t="shared" si="20"/>
        <v>150.98031614786487</v>
      </c>
      <c r="O67" s="264">
        <f t="shared" si="20"/>
        <v>191.90389934282237</v>
      </c>
      <c r="P67" s="264">
        <f t="shared" si="20"/>
        <v>229.62627982831182</v>
      </c>
      <c r="Q67" s="264">
        <f t="shared" si="20"/>
        <v>272.61484265170117</v>
      </c>
      <c r="R67" s="264">
        <f t="shared" si="20"/>
        <v>322.97585142714752</v>
      </c>
      <c r="S67" s="226">
        <f t="shared" si="20"/>
        <v>382.91091934560058</v>
      </c>
    </row>
    <row r="68" spans="2:19" s="236" customFormat="1" x14ac:dyDescent="0.3">
      <c r="B68" s="275"/>
      <c r="C68" s="238" t="s">
        <v>485</v>
      </c>
      <c r="D68" s="211" t="s">
        <v>4</v>
      </c>
      <c r="E68" s="264">
        <f>SUMIF($B$58:$B$61, $B$66, E$58:E$61)</f>
        <v>0</v>
      </c>
      <c r="F68" s="264">
        <f t="shared" ref="F68:S68" si="21">SUMIF($B$58:$B$61, $B$66, F$58:F$61)</f>
        <v>0</v>
      </c>
      <c r="G68" s="264">
        <f t="shared" si="21"/>
        <v>0</v>
      </c>
      <c r="H68" s="264">
        <f t="shared" si="21"/>
        <v>0</v>
      </c>
      <c r="I68" s="264">
        <f t="shared" si="21"/>
        <v>0</v>
      </c>
      <c r="J68" s="264">
        <f t="shared" si="21"/>
        <v>0</v>
      </c>
      <c r="K68" s="264">
        <f t="shared" si="21"/>
        <v>0</v>
      </c>
      <c r="L68" s="264">
        <f t="shared" si="21"/>
        <v>0</v>
      </c>
      <c r="M68" s="264">
        <f t="shared" si="21"/>
        <v>0</v>
      </c>
      <c r="N68" s="264">
        <f t="shared" si="21"/>
        <v>0</v>
      </c>
      <c r="O68" s="264">
        <f t="shared" si="21"/>
        <v>0</v>
      </c>
      <c r="P68" s="264">
        <f t="shared" si="21"/>
        <v>0</v>
      </c>
      <c r="Q68" s="264">
        <f t="shared" si="21"/>
        <v>0</v>
      </c>
      <c r="R68" s="264">
        <f t="shared" si="21"/>
        <v>0</v>
      </c>
      <c r="S68" s="226">
        <f t="shared" si="21"/>
        <v>0</v>
      </c>
    </row>
    <row r="69" spans="2:19" s="236" customFormat="1" ht="18" x14ac:dyDescent="0.35">
      <c r="B69" s="246" t="s">
        <v>52</v>
      </c>
      <c r="C69" s="242"/>
      <c r="D69" s="215"/>
      <c r="E69" s="333"/>
      <c r="F69" s="333"/>
      <c r="G69" s="333"/>
      <c r="H69" s="333"/>
      <c r="I69" s="333"/>
      <c r="J69" s="333"/>
      <c r="K69" s="333"/>
      <c r="L69" s="333"/>
      <c r="M69" s="333"/>
      <c r="N69" s="333"/>
      <c r="O69" s="333"/>
      <c r="P69" s="333"/>
      <c r="Q69" s="333"/>
      <c r="R69" s="333"/>
      <c r="S69" s="334"/>
    </row>
    <row r="70" spans="2:19" s="236" customFormat="1" x14ac:dyDescent="0.3">
      <c r="B70" s="275"/>
      <c r="C70" s="251" t="s">
        <v>484</v>
      </c>
      <c r="D70" s="251" t="s">
        <v>0</v>
      </c>
      <c r="E70" s="206">
        <f>SUMIF($B$51:$B$55, $B$69, E$51:E$55)</f>
        <v>26.809907499999998</v>
      </c>
      <c r="F70" s="310">
        <f t="shared" ref="F70:S70" si="22">SUMIF($B$51:$B$55, $B$69, F$51:F$55)</f>
        <v>29.195458599999998</v>
      </c>
      <c r="G70" s="310">
        <f t="shared" si="22"/>
        <v>31.818620410000001</v>
      </c>
      <c r="H70" s="310">
        <f t="shared" si="22"/>
        <v>38.383478256005986</v>
      </c>
      <c r="I70" s="310">
        <f t="shared" si="22"/>
        <v>60.904827227855023</v>
      </c>
      <c r="J70" s="310">
        <f t="shared" si="22"/>
        <v>91.838154534593855</v>
      </c>
      <c r="K70" s="310">
        <f t="shared" si="22"/>
        <v>130.36029129016629</v>
      </c>
      <c r="L70" s="310">
        <f t="shared" si="22"/>
        <v>142.55789003322712</v>
      </c>
      <c r="M70" s="310">
        <f t="shared" si="22"/>
        <v>154.05658148206771</v>
      </c>
      <c r="N70" s="310">
        <f t="shared" si="22"/>
        <v>166.94237493847345</v>
      </c>
      <c r="O70" s="310">
        <f t="shared" si="22"/>
        <v>182.20537804398398</v>
      </c>
      <c r="P70" s="310">
        <f t="shared" si="22"/>
        <v>198.52960649516592</v>
      </c>
      <c r="Q70" s="310">
        <f t="shared" si="22"/>
        <v>216.58781037189172</v>
      </c>
      <c r="R70" s="310">
        <f t="shared" si="22"/>
        <v>235.83531866314851</v>
      </c>
      <c r="S70" s="311">
        <f t="shared" si="22"/>
        <v>256.8869061197704</v>
      </c>
    </row>
    <row r="71" spans="2:19" s="236" customFormat="1" ht="15" thickBot="1" x14ac:dyDescent="0.35">
      <c r="B71" s="276"/>
      <c r="C71" s="277" t="s">
        <v>485</v>
      </c>
      <c r="D71" s="278" t="s">
        <v>4</v>
      </c>
      <c r="E71" s="309">
        <f>SUMIF($B$58:$B$61, $B$69, E$58:E$61)</f>
        <v>0.32803900000000003</v>
      </c>
      <c r="F71" s="309">
        <f t="shared" ref="F71:S71" si="23">SUMIF($B$58:$B$61, $B$69, F$58:F$61)</f>
        <v>0.33087100000000003</v>
      </c>
      <c r="G71" s="309">
        <f t="shared" si="23"/>
        <v>0.33384459999999999</v>
      </c>
      <c r="H71" s="309">
        <f t="shared" si="23"/>
        <v>0.33696688000000002</v>
      </c>
      <c r="I71" s="309">
        <f t="shared" si="23"/>
        <v>1.1719825911760167</v>
      </c>
      <c r="J71" s="309">
        <f t="shared" si="23"/>
        <v>2.4213575064609376</v>
      </c>
      <c r="K71" s="309">
        <f t="shared" si="23"/>
        <v>2.4995029413225023</v>
      </c>
      <c r="L71" s="309">
        <f t="shared" si="23"/>
        <v>2.5602778272645992</v>
      </c>
      <c r="M71" s="309">
        <f t="shared" si="23"/>
        <v>2.6151579917897632</v>
      </c>
      <c r="N71" s="309">
        <f t="shared" si="23"/>
        <v>2.6706041646048027</v>
      </c>
      <c r="O71" s="309">
        <f t="shared" si="23"/>
        <v>2.7255877599442533</v>
      </c>
      <c r="P71" s="309">
        <f t="shared" si="23"/>
        <v>2.7840032183331349</v>
      </c>
      <c r="Q71" s="309">
        <f t="shared" si="23"/>
        <v>2.8407827359257793</v>
      </c>
      <c r="R71" s="309">
        <f t="shared" si="23"/>
        <v>2.8996410132708683</v>
      </c>
      <c r="S71" s="312">
        <f t="shared" si="23"/>
        <v>2.9595776267141289</v>
      </c>
    </row>
  </sheetData>
  <mergeCells count="12">
    <mergeCell ref="B7:S7"/>
    <mergeCell ref="E66:S66"/>
    <mergeCell ref="E69:S69"/>
    <mergeCell ref="E9:S9"/>
    <mergeCell ref="E15:S15"/>
    <mergeCell ref="E50:S50"/>
    <mergeCell ref="E57:S57"/>
    <mergeCell ref="E36:S36"/>
    <mergeCell ref="E43:S43"/>
    <mergeCell ref="E21:S21"/>
    <mergeCell ref="E27:S27"/>
    <mergeCell ref="B34:S3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B12" sqref="B12"/>
    </sheetView>
  </sheetViews>
  <sheetFormatPr defaultColWidth="8.88671875" defaultRowHeight="14.4" x14ac:dyDescent="0.3"/>
  <cols>
    <col min="1" max="1" width="27.33203125" style="2" bestFit="1" customWidth="1"/>
    <col min="2" max="2" width="22.6640625" style="2" bestFit="1" customWidth="1"/>
    <col min="3" max="3" width="14.33203125" style="2" customWidth="1"/>
    <col min="4" max="4" width="11.33203125" style="2" customWidth="1"/>
    <col min="5" max="16384" width="8.88671875" style="2"/>
  </cols>
  <sheetData>
    <row r="1" spans="1:7" ht="18" x14ac:dyDescent="0.35">
      <c r="A1" s="27" t="s">
        <v>36</v>
      </c>
      <c r="B1" s="9"/>
      <c r="C1" s="9"/>
      <c r="D1" s="9"/>
    </row>
    <row r="2" spans="1:7" ht="18" x14ac:dyDescent="0.35">
      <c r="A2" s="5"/>
      <c r="B2" s="9"/>
      <c r="C2" s="9"/>
      <c r="D2" s="9"/>
    </row>
    <row r="3" spans="1:7" ht="15" thickBot="1" x14ac:dyDescent="0.35">
      <c r="A3" s="13" t="s">
        <v>58</v>
      </c>
      <c r="B3" s="13" t="s">
        <v>14</v>
      </c>
      <c r="C3" s="13" t="s">
        <v>27</v>
      </c>
      <c r="D3" s="13" t="s">
        <v>1</v>
      </c>
    </row>
    <row r="4" spans="1:7" x14ac:dyDescent="0.3">
      <c r="A4" s="28" t="s">
        <v>11</v>
      </c>
      <c r="B4" s="29" t="s">
        <v>10</v>
      </c>
      <c r="C4" s="28" t="s">
        <v>24</v>
      </c>
      <c r="D4" s="29" t="s">
        <v>2</v>
      </c>
      <c r="F4" s="25"/>
    </row>
    <row r="5" spans="1:7" x14ac:dyDescent="0.3">
      <c r="A5" s="28" t="s">
        <v>12</v>
      </c>
      <c r="B5" s="29" t="s">
        <v>10</v>
      </c>
      <c r="C5" s="28" t="s">
        <v>24</v>
      </c>
      <c r="D5" s="29" t="s">
        <v>5</v>
      </c>
      <c r="F5" s="25"/>
    </row>
    <row r="6" spans="1:7" x14ac:dyDescent="0.3">
      <c r="A6" s="28" t="s">
        <v>494</v>
      </c>
      <c r="B6" s="29" t="s">
        <v>10</v>
      </c>
      <c r="C6" s="28" t="s">
        <v>24</v>
      </c>
      <c r="D6" s="29" t="s">
        <v>5</v>
      </c>
      <c r="F6" s="25"/>
    </row>
    <row r="7" spans="1:7" x14ac:dyDescent="0.3">
      <c r="A7" s="28" t="s">
        <v>19</v>
      </c>
      <c r="B7" s="29" t="s">
        <v>10</v>
      </c>
      <c r="C7" s="28" t="s">
        <v>24</v>
      </c>
      <c r="D7" s="28" t="s">
        <v>15</v>
      </c>
      <c r="F7" s="25"/>
      <c r="G7" s="25"/>
    </row>
    <row r="8" spans="1:7" x14ac:dyDescent="0.3">
      <c r="A8" s="28" t="s">
        <v>495</v>
      </c>
      <c r="B8" s="28" t="s">
        <v>8</v>
      </c>
      <c r="C8" s="28" t="s">
        <v>24</v>
      </c>
      <c r="D8" s="28" t="s">
        <v>15</v>
      </c>
      <c r="F8" s="25"/>
      <c r="G8" s="25"/>
    </row>
    <row r="9" spans="1:7" x14ac:dyDescent="0.3">
      <c r="A9" s="30" t="s">
        <v>20</v>
      </c>
      <c r="B9" s="30" t="s">
        <v>8</v>
      </c>
      <c r="C9" s="30" t="s">
        <v>24</v>
      </c>
      <c r="D9" s="30" t="s">
        <v>2</v>
      </c>
      <c r="F9" s="25"/>
      <c r="G9" s="25"/>
    </row>
    <row r="10" spans="1:7" x14ac:dyDescent="0.3">
      <c r="A10" s="28" t="s">
        <v>33</v>
      </c>
      <c r="B10" s="28" t="s">
        <v>8</v>
      </c>
      <c r="C10" s="28" t="s">
        <v>26</v>
      </c>
      <c r="D10" s="28" t="s">
        <v>17</v>
      </c>
      <c r="F10" s="25"/>
      <c r="G10" s="25"/>
    </row>
    <row r="11" spans="1:7" x14ac:dyDescent="0.3">
      <c r="A11" s="28" t="s">
        <v>34</v>
      </c>
      <c r="B11" s="28" t="s">
        <v>8</v>
      </c>
      <c r="C11" s="28" t="s">
        <v>25</v>
      </c>
      <c r="D11" s="28" t="s">
        <v>16</v>
      </c>
      <c r="F11" s="25"/>
      <c r="G11" s="25"/>
    </row>
    <row r="12" spans="1:7" x14ac:dyDescent="0.3">
      <c r="A12" s="28" t="s">
        <v>32</v>
      </c>
      <c r="B12" s="28" t="s">
        <v>8</v>
      </c>
      <c r="C12" s="28" t="s">
        <v>24</v>
      </c>
      <c r="D12" s="28" t="s">
        <v>23</v>
      </c>
      <c r="F12" s="25"/>
      <c r="G12" s="25"/>
    </row>
    <row r="13" spans="1:7" x14ac:dyDescent="0.3">
      <c r="A13" s="28" t="s">
        <v>13</v>
      </c>
      <c r="B13" s="28" t="s">
        <v>8</v>
      </c>
      <c r="C13" s="28" t="s">
        <v>26</v>
      </c>
      <c r="D13" s="28" t="s">
        <v>18</v>
      </c>
      <c r="F13" s="25"/>
      <c r="G13" s="25"/>
    </row>
    <row r="14" spans="1:7" x14ac:dyDescent="0.3">
      <c r="A14" s="28" t="s">
        <v>21</v>
      </c>
      <c r="B14" s="28" t="s">
        <v>8</v>
      </c>
      <c r="C14" s="28" t="s">
        <v>24</v>
      </c>
      <c r="D14" s="28" t="s">
        <v>2</v>
      </c>
      <c r="F14" s="25"/>
      <c r="G14" s="25"/>
    </row>
    <row r="15" spans="1:7" x14ac:dyDescent="0.3">
      <c r="A15" s="28" t="s">
        <v>22</v>
      </c>
      <c r="B15" s="28" t="s">
        <v>8</v>
      </c>
      <c r="C15" s="28" t="s">
        <v>24</v>
      </c>
      <c r="D15" s="28" t="s">
        <v>15</v>
      </c>
      <c r="F15" s="25"/>
      <c r="G15" s="25"/>
    </row>
    <row r="16" spans="1:7" x14ac:dyDescent="0.3">
      <c r="A16" s="28" t="s">
        <v>459</v>
      </c>
      <c r="B16" s="28" t="s">
        <v>496</v>
      </c>
      <c r="C16" s="28" t="s">
        <v>24</v>
      </c>
      <c r="D16" s="28" t="s">
        <v>16</v>
      </c>
      <c r="F16" s="25"/>
      <c r="G16" s="25"/>
    </row>
    <row r="17" spans="1:7" x14ac:dyDescent="0.3">
      <c r="A17" s="28" t="s">
        <v>475</v>
      </c>
      <c r="B17" s="28" t="s">
        <v>496</v>
      </c>
      <c r="C17" s="28" t="s">
        <v>24</v>
      </c>
      <c r="D17" s="28" t="s">
        <v>16</v>
      </c>
      <c r="F17" s="25"/>
      <c r="G17" s="25"/>
    </row>
    <row r="18" spans="1:7" x14ac:dyDescent="0.3">
      <c r="A18" s="28" t="s">
        <v>9</v>
      </c>
      <c r="B18" s="28" t="s">
        <v>496</v>
      </c>
      <c r="C18" s="28" t="s">
        <v>24</v>
      </c>
      <c r="D18" s="28" t="s">
        <v>16</v>
      </c>
      <c r="F18" s="25"/>
      <c r="G18" s="25"/>
    </row>
    <row r="19" spans="1:7" x14ac:dyDescent="0.3">
      <c r="A19" s="28" t="s">
        <v>31</v>
      </c>
      <c r="B19" s="28" t="s">
        <v>496</v>
      </c>
      <c r="C19" s="28" t="s">
        <v>24</v>
      </c>
      <c r="D19" s="28" t="s">
        <v>16</v>
      </c>
      <c r="F19" s="25"/>
      <c r="G19" s="25"/>
    </row>
    <row r="20" spans="1:7" x14ac:dyDescent="0.3">
      <c r="A20" s="28" t="s">
        <v>497</v>
      </c>
      <c r="B20" s="28" t="s">
        <v>496</v>
      </c>
      <c r="C20" s="28" t="s">
        <v>24</v>
      </c>
      <c r="D20" s="28" t="s">
        <v>16</v>
      </c>
    </row>
    <row r="21" spans="1:7" x14ac:dyDescent="0.3">
      <c r="A21" s="28"/>
      <c r="B21" s="28"/>
      <c r="C21" s="28"/>
      <c r="D21" s="28"/>
    </row>
    <row r="22" spans="1:7" x14ac:dyDescent="0.3">
      <c r="A22" s="28"/>
      <c r="B22" s="28"/>
      <c r="C22" s="28"/>
      <c r="D22" s="28"/>
    </row>
    <row r="23" spans="1:7" ht="15" thickBot="1" x14ac:dyDescent="0.35">
      <c r="A23" s="13" t="s">
        <v>55</v>
      </c>
      <c r="B23" s="13" t="s">
        <v>57</v>
      </c>
      <c r="C23" s="13" t="s">
        <v>52</v>
      </c>
      <c r="D23" s="28"/>
    </row>
    <row r="24" spans="1:7" x14ac:dyDescent="0.3">
      <c r="A24" s="31" t="s">
        <v>57</v>
      </c>
      <c r="B24" s="17" t="s">
        <v>48</v>
      </c>
      <c r="C24" s="17" t="s">
        <v>35</v>
      </c>
      <c r="D24" s="28"/>
    </row>
    <row r="25" spans="1:7" x14ac:dyDescent="0.3">
      <c r="A25" s="32" t="s">
        <v>52</v>
      </c>
      <c r="B25" s="17" t="s">
        <v>49</v>
      </c>
      <c r="C25" s="17" t="s">
        <v>53</v>
      </c>
      <c r="D25" s="28"/>
    </row>
    <row r="26" spans="1:7" x14ac:dyDescent="0.3">
      <c r="A26" s="32"/>
      <c r="B26" s="17" t="s">
        <v>50</v>
      </c>
      <c r="C26" s="17" t="s">
        <v>54</v>
      </c>
      <c r="D26" s="28"/>
    </row>
    <row r="27" spans="1:7" x14ac:dyDescent="0.3">
      <c r="A27" s="32"/>
      <c r="B27" s="17" t="s">
        <v>45</v>
      </c>
      <c r="C27" s="17"/>
      <c r="D27" s="28"/>
    </row>
    <row r="28" spans="1:7" x14ac:dyDescent="0.3">
      <c r="A28" s="32"/>
      <c r="B28" s="17" t="s">
        <v>51</v>
      </c>
      <c r="C28" s="17"/>
      <c r="D28" s="28"/>
    </row>
    <row r="29" spans="1:7" x14ac:dyDescent="0.3">
      <c r="A29" s="32"/>
      <c r="B29" s="17" t="s">
        <v>41</v>
      </c>
      <c r="C29" s="17"/>
      <c r="D29" s="28"/>
    </row>
    <row r="30" spans="1:7" x14ac:dyDescent="0.3">
      <c r="A30" s="32"/>
      <c r="B30" s="17" t="s">
        <v>46</v>
      </c>
      <c r="C30" s="17"/>
      <c r="D30" s="28"/>
    </row>
    <row r="31" spans="1:7" x14ac:dyDescent="0.3">
      <c r="A31" s="32"/>
      <c r="B31" s="17" t="s">
        <v>42</v>
      </c>
      <c r="C31" s="17"/>
      <c r="D31" s="28"/>
    </row>
    <row r="32" spans="1:7" x14ac:dyDescent="0.3">
      <c r="A32" s="32"/>
      <c r="B32" s="17" t="s">
        <v>43</v>
      </c>
      <c r="C32" s="17"/>
      <c r="D32" s="28"/>
    </row>
    <row r="33" spans="1:4" x14ac:dyDescent="0.3">
      <c r="A33" s="32"/>
      <c r="B33" s="17" t="s">
        <v>47</v>
      </c>
      <c r="C33" s="17"/>
      <c r="D33" s="28"/>
    </row>
    <row r="34" spans="1:4" x14ac:dyDescent="0.3">
      <c r="A34" s="32"/>
      <c r="B34" s="17" t="s">
        <v>44</v>
      </c>
      <c r="C34" s="17"/>
      <c r="D34" s="28"/>
    </row>
    <row r="35" spans="1:4" x14ac:dyDescent="0.3">
      <c r="A35" s="32"/>
      <c r="B35" s="17" t="s">
        <v>56</v>
      </c>
      <c r="C35" s="17"/>
      <c r="D35" s="28"/>
    </row>
    <row r="36" spans="1:4" x14ac:dyDescent="0.3">
      <c r="A36" s="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35"/>
  <sheetViews>
    <sheetView zoomScale="85" zoomScaleNormal="85" workbookViewId="0">
      <selection activeCell="D13" sqref="D13"/>
    </sheetView>
  </sheetViews>
  <sheetFormatPr defaultRowHeight="14.4" x14ac:dyDescent="0.3"/>
  <cols>
    <col min="4" max="4" width="16.6640625" bestFit="1" customWidth="1"/>
    <col min="8" max="8" width="12" customWidth="1"/>
    <col min="10" max="12" width="9.109375" customWidth="1"/>
    <col min="13" max="13" width="8.88671875" customWidth="1"/>
    <col min="14" max="22" width="9.5546875" customWidth="1"/>
    <col min="23" max="23" width="9.109375" customWidth="1"/>
  </cols>
  <sheetData>
    <row r="1" spans="1:24" x14ac:dyDescent="0.3">
      <c r="A1" s="1" t="s">
        <v>377</v>
      </c>
      <c r="N1" t="s">
        <v>385</v>
      </c>
    </row>
    <row r="2" spans="1:24" x14ac:dyDescent="0.3">
      <c r="A2" t="s">
        <v>422</v>
      </c>
      <c r="E2">
        <v>0.25</v>
      </c>
      <c r="F2" s="39" t="s">
        <v>424</v>
      </c>
      <c r="L2" t="s">
        <v>362</v>
      </c>
      <c r="M2" t="s">
        <v>363</v>
      </c>
      <c r="N2" t="s">
        <v>366</v>
      </c>
    </row>
    <row r="3" spans="1:24" s="236" customFormat="1" x14ac:dyDescent="0.3">
      <c r="F3" s="252"/>
    </row>
    <row r="4" spans="1:24" s="236" customFormat="1" x14ac:dyDescent="0.3">
      <c r="F4" s="252"/>
    </row>
    <row r="5" spans="1:24" x14ac:dyDescent="0.3">
      <c r="A5" s="253" t="s">
        <v>423</v>
      </c>
      <c r="B5" s="231"/>
      <c r="C5" s="231"/>
      <c r="D5" s="231"/>
      <c r="E5" s="303">
        <f>E2/0.75</f>
        <v>0.33333333333333331</v>
      </c>
      <c r="F5" s="231"/>
      <c r="G5" s="231"/>
      <c r="H5" s="231">
        <v>2015</v>
      </c>
      <c r="I5" s="231">
        <v>2016</v>
      </c>
      <c r="J5" s="231">
        <v>2017</v>
      </c>
      <c r="K5" s="231">
        <v>2018</v>
      </c>
      <c r="L5" s="231">
        <v>2019</v>
      </c>
      <c r="M5" s="231">
        <v>2020</v>
      </c>
      <c r="N5" s="231">
        <v>2021</v>
      </c>
      <c r="O5" s="231">
        <v>2022</v>
      </c>
      <c r="P5" s="231">
        <v>2023</v>
      </c>
      <c r="Q5" s="231">
        <v>2024</v>
      </c>
      <c r="R5" s="231">
        <v>2025</v>
      </c>
      <c r="S5" s="231">
        <v>2026</v>
      </c>
      <c r="T5" s="231">
        <v>2027</v>
      </c>
      <c r="U5" s="231">
        <v>2028</v>
      </c>
      <c r="V5" s="254">
        <v>2029</v>
      </c>
      <c r="X5" t="s">
        <v>92</v>
      </c>
    </row>
    <row r="6" spans="1:24" x14ac:dyDescent="0.3">
      <c r="A6" s="280" t="s">
        <v>376</v>
      </c>
      <c r="B6" s="231"/>
      <c r="C6" s="231"/>
      <c r="D6" s="231"/>
      <c r="E6" s="231"/>
      <c r="F6" s="231"/>
      <c r="G6" s="231"/>
      <c r="H6" s="231"/>
      <c r="I6" s="231"/>
      <c r="J6" s="231"/>
      <c r="K6" s="231"/>
      <c r="L6" s="231"/>
      <c r="M6" s="231"/>
      <c r="N6" s="231"/>
      <c r="O6" s="231"/>
      <c r="P6" s="231"/>
      <c r="Q6" s="231"/>
      <c r="R6" s="231"/>
      <c r="S6" s="231"/>
      <c r="T6" s="231"/>
      <c r="U6" s="231"/>
      <c r="V6" s="254"/>
    </row>
    <row r="7" spans="1:24" x14ac:dyDescent="0.3">
      <c r="A7" s="290" t="s">
        <v>365</v>
      </c>
      <c r="B7" s="238"/>
      <c r="C7" s="238"/>
      <c r="D7" s="238"/>
      <c r="E7" s="238"/>
      <c r="F7" s="238" t="s">
        <v>364</v>
      </c>
      <c r="G7" s="238"/>
      <c r="H7" s="238"/>
      <c r="I7" s="238"/>
      <c r="J7" s="238"/>
      <c r="K7" s="238"/>
      <c r="L7" s="238"/>
      <c r="M7" s="238"/>
      <c r="N7" s="238"/>
      <c r="O7" s="238"/>
      <c r="P7" s="238"/>
      <c r="Q7" s="238"/>
      <c r="R7" s="238"/>
      <c r="S7" s="238"/>
      <c r="T7" s="238"/>
      <c r="U7" s="238"/>
      <c r="V7" s="282"/>
    </row>
    <row r="8" spans="1:24" x14ac:dyDescent="0.3">
      <c r="A8" s="297"/>
      <c r="B8" s="238"/>
      <c r="C8" s="238" t="s">
        <v>358</v>
      </c>
      <c r="D8" s="238" t="s">
        <v>359</v>
      </c>
      <c r="E8" s="238"/>
      <c r="F8" s="238"/>
      <c r="G8" s="238"/>
      <c r="H8" s="238"/>
      <c r="I8" s="238"/>
      <c r="J8" s="238"/>
      <c r="K8" s="238"/>
      <c r="L8" s="238"/>
      <c r="M8" s="238"/>
      <c r="N8" s="238"/>
      <c r="O8" s="238"/>
      <c r="P8" s="238"/>
      <c r="Q8" s="238"/>
      <c r="R8" s="238"/>
      <c r="S8" s="238"/>
      <c r="T8" s="238"/>
      <c r="U8" s="238"/>
      <c r="V8" s="282"/>
    </row>
    <row r="9" spans="1:24" x14ac:dyDescent="0.3">
      <c r="A9" s="290" t="s">
        <v>387</v>
      </c>
      <c r="B9" s="238"/>
      <c r="C9" s="238">
        <f>23666631</f>
        <v>23666631</v>
      </c>
      <c r="D9" s="266">
        <f>C9/1000000</f>
        <v>23.666630999999999</v>
      </c>
      <c r="E9" s="238" t="s">
        <v>361</v>
      </c>
      <c r="F9" s="238"/>
      <c r="G9" s="238"/>
      <c r="H9" s="266">
        <f>D9</f>
        <v>23.666630999999999</v>
      </c>
      <c r="I9" s="266">
        <f>H9*1.1</f>
        <v>26.033294099999999</v>
      </c>
      <c r="J9" s="266">
        <f>I9*1.1</f>
        <v>28.63662351</v>
      </c>
      <c r="K9" s="266">
        <f>J9*1.1</f>
        <v>31.500285861000002</v>
      </c>
      <c r="L9" s="266">
        <f>K9*(1+(0.5/2))</f>
        <v>39.375357326250004</v>
      </c>
      <c r="M9" s="266">
        <f>L9*(1+(0.5/2))</f>
        <v>49.219196657812503</v>
      </c>
      <c r="N9" s="266">
        <f>'2018 PGT BRO 0609 for 2015-17'!I12*$E5</f>
        <v>76.205813655111996</v>
      </c>
      <c r="O9" s="266">
        <f>'2018 PGT BRO 0609 for 2015-17'!J12*$E5</f>
        <v>80.960609825411026</v>
      </c>
      <c r="P9" s="266">
        <f>'2018 PGT BRO 0609 for 2015-17'!K12*$E5</f>
        <v>85.279621432734103</v>
      </c>
      <c r="Q9" s="266">
        <f>'2018 PGT BRO 0609 for 2015-17'!L12*$E5</f>
        <v>89.670137725235492</v>
      </c>
      <c r="R9" s="266">
        <f>'2018 PGT BRO 0609 for 2015-17'!M12*$E5</f>
        <v>94.244796612520759</v>
      </c>
      <c r="S9" s="266">
        <f>'2018 PGT BRO 0609 for 2015-17'!N12*$E5</f>
        <v>98.915260315260838</v>
      </c>
      <c r="T9" s="266">
        <f>'2018 PGT BRO 0609 for 2015-17'!O12*$E5</f>
        <v>103.74947039227108</v>
      </c>
      <c r="U9" s="266">
        <f>'2018 PGT BRO 0609 for 2015-17'!P12*$E5</f>
        <v>108.10223683170932</v>
      </c>
      <c r="V9" s="292">
        <f>'2018 PGT BRO 0609 for 2015-17'!Q12*$E5</f>
        <v>112.56150353217416</v>
      </c>
      <c r="X9">
        <v>1</v>
      </c>
    </row>
    <row r="10" spans="1:24" x14ac:dyDescent="0.3">
      <c r="A10" s="290" t="s">
        <v>222</v>
      </c>
      <c r="B10" s="238"/>
      <c r="C10" s="238"/>
      <c r="D10" s="238"/>
      <c r="E10" s="238"/>
      <c r="F10" s="238"/>
      <c r="G10" s="238"/>
      <c r="H10" s="206">
        <f>'2018 PGT BRO 0609 for 2015-17'!C15*$E5</f>
        <v>0</v>
      </c>
      <c r="I10" s="206">
        <f>'2018 PGT BRO 0609 for 2015-17'!D15*$E5</f>
        <v>0</v>
      </c>
      <c r="J10" s="206">
        <f>'2018 PGT BRO 0609 for 2015-17'!E15*$E5</f>
        <v>0</v>
      </c>
      <c r="K10" s="206">
        <f>'2018 PGT BRO 0609 for 2015-17'!F15*$E5</f>
        <v>0</v>
      </c>
      <c r="L10" s="206">
        <f>'2018 PGT BRO 0609 for 2015-17'!G15*$E5</f>
        <v>0.40258438648149558</v>
      </c>
      <c r="M10" s="206">
        <f>'2018 PGT BRO 0609 for 2015-17'!H15*$E5</f>
        <v>0.40891861701890519</v>
      </c>
      <c r="N10" s="206">
        <f>'2018 PGT BRO 0609 for 2015-17'!I15*$E5</f>
        <v>0.41611511527298495</v>
      </c>
      <c r="O10" s="206">
        <f>'2018 PGT BRO 0609 for 2015-17'!J15*$E5</f>
        <v>0.63758547647300989</v>
      </c>
      <c r="P10" s="206">
        <f>'2018 PGT BRO 0609 for 2015-17'!K15*$E5</f>
        <v>0.65214636270865523</v>
      </c>
      <c r="Q10" s="206">
        <f>'2018 PGT BRO 0609 for 2015-17'!L15*$E5</f>
        <v>0.66651701023198284</v>
      </c>
      <c r="R10" s="206">
        <f>'2018 PGT BRO 0609 for 2015-17'!M15*$E5</f>
        <v>0.9087082139980236</v>
      </c>
      <c r="S10" s="206">
        <f>'2018 PGT BRO 0609 for 2015-17'!N15*$E5</f>
        <v>0.92851260344163333</v>
      </c>
      <c r="T10" s="206">
        <f>'2018 PGT BRO 0609 for 2015-17'!O15*$E5</f>
        <v>0.94882906795743449</v>
      </c>
      <c r="U10" s="206">
        <f>'2018 PGT BRO 0609 for 2015-17'!P15*$E5</f>
        <v>1.2048422905939937</v>
      </c>
      <c r="V10" s="291">
        <f>'2018 PGT BRO 0609 for 2015-17'!Q15*$E5</f>
        <v>1.2239489111353228</v>
      </c>
      <c r="X10">
        <v>1</v>
      </c>
    </row>
    <row r="11" spans="1:24" x14ac:dyDescent="0.3">
      <c r="A11" s="290" t="s">
        <v>221</v>
      </c>
      <c r="B11" s="238"/>
      <c r="C11" s="238"/>
      <c r="D11" s="238"/>
      <c r="E11" s="238"/>
      <c r="F11" s="238"/>
      <c r="G11" s="238"/>
      <c r="H11" s="206">
        <f>'2018 PGT BRO 0609 for 2015-17'!C18*$E5</f>
        <v>0</v>
      </c>
      <c r="I11" s="206">
        <f>'2018 PGT BRO 0609 for 2015-17'!D18*$E5</f>
        <v>0</v>
      </c>
      <c r="J11" s="206">
        <f>'2018 PGT BRO 0609 for 2015-17'!E18*$E5</f>
        <v>0</v>
      </c>
      <c r="K11" s="206">
        <f>'2018 PGT BRO 0609 for 2015-17'!F18*$E5</f>
        <v>0</v>
      </c>
      <c r="L11" s="206">
        <f>'2018 PGT BRO 0609 for 2015-17'!G18*$E5</f>
        <v>0.34203722566399264</v>
      </c>
      <c r="M11" s="206">
        <f>'2018 PGT BRO 0609 for 2015-17'!H18*$E5</f>
        <v>0.34732528165502752</v>
      </c>
      <c r="N11" s="206">
        <f>'2018 PGT BRO 0609 for 2015-17'!I18*$E5</f>
        <v>0.3534716640414855</v>
      </c>
      <c r="O11" s="206">
        <f>'2018 PGT BRO 0609 for 2015-17'!J18*$E5</f>
        <v>0.36117716325007088</v>
      </c>
      <c r="P11" s="206">
        <f>'2018 PGT BRO 0609 for 2015-17'!K18*$E5</f>
        <v>0.36934808471818187</v>
      </c>
      <c r="Q11" s="206">
        <f>'2018 PGT BRO 0609 for 2015-17'!L18*$E5</f>
        <v>0.37751132944706872</v>
      </c>
      <c r="R11" s="206">
        <f>'2018 PGT BRO 0609 for 2015-17'!M18*$E5</f>
        <v>0.38604280555471104</v>
      </c>
      <c r="S11" s="206">
        <f>'2018 PGT BRO 0609 for 2015-17'!N18*$E5</f>
        <v>0.39450732839514802</v>
      </c>
      <c r="T11" s="206">
        <f>'2018 PGT BRO 0609 for 2015-17'!O18*$E5</f>
        <v>0.4031828414025318</v>
      </c>
      <c r="U11" s="206">
        <f>'2018 PGT BRO 0609 for 2015-17'!P18*$E5</f>
        <v>0.40954858452879317</v>
      </c>
      <c r="V11" s="291">
        <f>'2018 PGT BRO 0609 for 2015-17'!Q18*$E5</f>
        <v>0.41601547680009021</v>
      </c>
      <c r="X11">
        <v>1</v>
      </c>
    </row>
    <row r="12" spans="1:24" s="237" customFormat="1" x14ac:dyDescent="0.3">
      <c r="A12" s="293" t="s">
        <v>493</v>
      </c>
      <c r="B12" s="243"/>
      <c r="C12" s="243"/>
      <c r="D12" s="243"/>
      <c r="E12" s="243"/>
      <c r="F12" s="243"/>
      <c r="G12" s="243"/>
      <c r="H12" s="294">
        <f>SUM(H9:H11)</f>
        <v>23.666630999999999</v>
      </c>
      <c r="I12" s="294">
        <f t="shared" ref="I12:V12" si="0">SUM(I9:I11)</f>
        <v>26.033294099999999</v>
      </c>
      <c r="J12" s="294">
        <f t="shared" si="0"/>
        <v>28.63662351</v>
      </c>
      <c r="K12" s="294">
        <f t="shared" si="0"/>
        <v>31.500285861000002</v>
      </c>
      <c r="L12" s="294">
        <f t="shared" si="0"/>
        <v>40.119978938395491</v>
      </c>
      <c r="M12" s="294">
        <f t="shared" si="0"/>
        <v>49.975440556486433</v>
      </c>
      <c r="N12" s="294">
        <f t="shared" si="0"/>
        <v>76.975400434426462</v>
      </c>
      <c r="O12" s="294">
        <f t="shared" si="0"/>
        <v>81.959372465134109</v>
      </c>
      <c r="P12" s="294">
        <f t="shared" si="0"/>
        <v>86.301115880160935</v>
      </c>
      <c r="Q12" s="294">
        <f t="shared" si="0"/>
        <v>90.714166064914551</v>
      </c>
      <c r="R12" s="294">
        <f t="shared" si="0"/>
        <v>95.539547632073493</v>
      </c>
      <c r="S12" s="294">
        <f t="shared" si="0"/>
        <v>100.23828024709762</v>
      </c>
      <c r="T12" s="294">
        <f t="shared" si="0"/>
        <v>105.10148230163104</v>
      </c>
      <c r="U12" s="294">
        <f t="shared" si="0"/>
        <v>109.7166277068321</v>
      </c>
      <c r="V12" s="295">
        <f t="shared" si="0"/>
        <v>114.20146792010956</v>
      </c>
    </row>
    <row r="13" spans="1:24" s="236" customFormat="1" x14ac:dyDescent="0.3">
      <c r="A13" s="298"/>
      <c r="B13" s="238"/>
      <c r="C13" s="238"/>
      <c r="D13" s="238"/>
      <c r="E13" s="238"/>
      <c r="F13" s="238"/>
      <c r="G13" s="238"/>
      <c r="H13" s="299"/>
      <c r="I13" s="299"/>
      <c r="J13" s="299"/>
      <c r="K13" s="299"/>
      <c r="L13" s="299"/>
      <c r="M13" s="299"/>
      <c r="N13" s="299"/>
      <c r="O13" s="299"/>
      <c r="P13" s="299"/>
      <c r="Q13" s="299"/>
      <c r="R13" s="299"/>
      <c r="S13" s="299"/>
      <c r="T13" s="299"/>
      <c r="U13" s="299"/>
      <c r="V13" s="300"/>
    </row>
    <row r="14" spans="1:24" x14ac:dyDescent="0.3">
      <c r="A14" s="297" t="s">
        <v>422</v>
      </c>
      <c r="B14" s="238"/>
      <c r="C14" s="238"/>
      <c r="D14" s="238"/>
      <c r="E14" s="238">
        <v>0.25</v>
      </c>
      <c r="F14" s="301" t="s">
        <v>424</v>
      </c>
      <c r="G14" s="238"/>
      <c r="H14" s="238"/>
      <c r="I14" s="238"/>
      <c r="J14" s="238"/>
      <c r="K14" s="238"/>
      <c r="L14" s="238"/>
      <c r="M14" s="238"/>
      <c r="N14" s="238"/>
      <c r="O14" s="238"/>
      <c r="P14" s="238"/>
      <c r="Q14" s="238"/>
      <c r="R14" s="238"/>
      <c r="S14" s="238"/>
      <c r="T14" s="238"/>
      <c r="U14" s="238"/>
      <c r="V14" s="282"/>
    </row>
    <row r="15" spans="1:24" x14ac:dyDescent="0.3">
      <c r="A15" s="297" t="s">
        <v>423</v>
      </c>
      <c r="B15" s="238"/>
      <c r="C15" s="238"/>
      <c r="D15" s="238"/>
      <c r="E15" s="302">
        <f>E14/0.75</f>
        <v>0.33333333333333331</v>
      </c>
      <c r="F15" s="238"/>
      <c r="G15" s="238"/>
      <c r="H15" s="238"/>
      <c r="I15" s="238"/>
      <c r="J15" s="238"/>
      <c r="K15" s="238"/>
      <c r="L15" s="238"/>
      <c r="M15" s="238"/>
      <c r="N15" s="238"/>
      <c r="O15" s="238"/>
      <c r="P15" s="238"/>
      <c r="Q15" s="238"/>
      <c r="R15" s="238"/>
      <c r="S15" s="238"/>
      <c r="T15" s="238"/>
      <c r="U15" s="238"/>
      <c r="V15" s="282"/>
    </row>
    <row r="16" spans="1:24" x14ac:dyDescent="0.3">
      <c r="A16" s="297" t="s">
        <v>379</v>
      </c>
      <c r="B16" s="238"/>
      <c r="C16" s="238"/>
      <c r="D16" s="238"/>
      <c r="E16" s="238"/>
      <c r="F16" s="238"/>
      <c r="G16" s="238"/>
      <c r="H16" s="238"/>
      <c r="I16" s="238"/>
      <c r="J16" s="238"/>
      <c r="K16" s="238"/>
      <c r="L16" s="238"/>
      <c r="M16" s="238"/>
      <c r="N16" s="238"/>
      <c r="O16" s="238"/>
      <c r="P16" s="238"/>
      <c r="Q16" s="238"/>
      <c r="R16" s="238"/>
      <c r="S16" s="238"/>
      <c r="T16" s="238"/>
      <c r="U16" s="238"/>
      <c r="V16" s="282"/>
    </row>
    <row r="17" spans="1:24" s="236" customFormat="1" x14ac:dyDescent="0.3">
      <c r="A17" s="284"/>
      <c r="B17" s="285"/>
      <c r="C17" s="285"/>
      <c r="D17" s="285"/>
      <c r="E17" s="286"/>
      <c r="F17" s="285"/>
      <c r="G17" s="285"/>
      <c r="H17" s="287"/>
      <c r="I17" s="287"/>
      <c r="J17" s="287"/>
      <c r="K17" s="287"/>
      <c r="L17" s="287"/>
      <c r="M17" s="287"/>
      <c r="N17" s="287"/>
      <c r="O17" s="287"/>
      <c r="P17" s="287"/>
      <c r="Q17" s="287"/>
      <c r="R17" s="287"/>
      <c r="S17" s="287"/>
      <c r="T17" s="287"/>
      <c r="U17" s="287"/>
      <c r="V17" s="288"/>
    </row>
    <row r="18" spans="1:24" x14ac:dyDescent="0.3">
      <c r="A18" s="289" t="s">
        <v>375</v>
      </c>
      <c r="B18" s="231"/>
      <c r="C18" s="231"/>
      <c r="D18" s="231"/>
      <c r="E18" s="231"/>
      <c r="F18" s="231"/>
      <c r="G18" s="231"/>
      <c r="H18" s="231"/>
      <c r="I18" s="231"/>
      <c r="J18" s="231"/>
      <c r="K18" s="231"/>
      <c r="L18" s="231"/>
      <c r="M18" s="231" t="s">
        <v>386</v>
      </c>
      <c r="N18" s="231"/>
      <c r="O18" s="231"/>
      <c r="P18" s="231"/>
      <c r="Q18" s="231"/>
      <c r="R18" s="231"/>
      <c r="S18" s="231"/>
      <c r="T18" s="231"/>
      <c r="U18" s="231"/>
      <c r="V18" s="254"/>
    </row>
    <row r="19" spans="1:24" x14ac:dyDescent="0.3">
      <c r="A19" s="290" t="s">
        <v>227</v>
      </c>
      <c r="B19" s="238"/>
      <c r="C19" s="238"/>
      <c r="D19" s="238"/>
      <c r="E19" s="238"/>
      <c r="F19" s="238"/>
      <c r="G19" s="238"/>
      <c r="H19" s="206">
        <v>0</v>
      </c>
      <c r="I19" s="206">
        <v>0</v>
      </c>
      <c r="J19" s="206">
        <v>0</v>
      </c>
      <c r="K19" s="206">
        <v>0</v>
      </c>
      <c r="L19" s="206">
        <v>0</v>
      </c>
      <c r="M19" s="206">
        <f>'2018 PGT BRO 0609 for 2015-17'!H4*E15/2</f>
        <v>3.3916376371355708</v>
      </c>
      <c r="N19" s="206">
        <f>'2018 PGT BRO 0609 for 2015-17'!I4*$E15</f>
        <v>7.6620065279334959</v>
      </c>
      <c r="O19" s="206">
        <f>'2018 PGT BRO 0609 for 2015-17'!J4*$E15</f>
        <v>8.6917739039666415</v>
      </c>
      <c r="P19" s="206">
        <f>'2018 PGT BRO 0609 for 2015-17'!K4*$E15</f>
        <v>9.8351777868670442</v>
      </c>
      <c r="Q19" s="206">
        <f>'2018 PGT BRO 0609 for 2015-17'!L4*$E15</f>
        <v>11.10671984080817</v>
      </c>
      <c r="R19" s="206">
        <f>'2018 PGT BRO 0609 for 2015-17'!M4*$E15</f>
        <v>12.545512447398879</v>
      </c>
      <c r="S19" s="206">
        <f>'2018 PGT BRO 0609 for 2015-17'!N4*$E15</f>
        <v>14.148683911130178</v>
      </c>
      <c r="T19" s="206">
        <f>'2018 PGT BRO 0609 for 2015-17'!O4*$E15</f>
        <v>15.956447461497007</v>
      </c>
      <c r="U19" s="206">
        <f>'2018 PGT BRO 0609 for 2015-17'!P4*$E15</f>
        <v>18.038587150738636</v>
      </c>
      <c r="V19" s="291">
        <f>'2018 PGT BRO 0609 for 2015-17'!Q4*$E15</f>
        <v>20.392403361843343</v>
      </c>
      <c r="X19">
        <v>5</v>
      </c>
    </row>
    <row r="20" spans="1:24" x14ac:dyDescent="0.3">
      <c r="A20" s="290" t="s">
        <v>380</v>
      </c>
      <c r="B20" s="238"/>
      <c r="C20" s="238"/>
      <c r="D20" s="238"/>
      <c r="E20" s="238"/>
      <c r="F20" s="238"/>
      <c r="G20" s="238"/>
      <c r="H20" s="206">
        <v>0</v>
      </c>
      <c r="I20" s="206">
        <v>0</v>
      </c>
      <c r="J20" s="206">
        <v>0</v>
      </c>
      <c r="K20" s="206">
        <v>0</v>
      </c>
      <c r="L20" s="206">
        <v>0</v>
      </c>
      <c r="M20" s="206">
        <f>'2018 PGT BRO 0609 for 2015-17'!H7*E15/2</f>
        <v>0.82918632779503443</v>
      </c>
      <c r="N20" s="206">
        <f>'2018 PGT BRO 0609 for 2015-17'!I7*$E15</f>
        <v>1.8896461053422542</v>
      </c>
      <c r="O20" s="206">
        <f>'2018 PGT BRO 0609 for 2015-17'!J7*$E15</f>
        <v>2.1519053015523122</v>
      </c>
      <c r="P20" s="206">
        <f>'2018 PGT BRO 0609 for 2015-17'!K7*$E15</f>
        <v>2.4510165388886498</v>
      </c>
      <c r="Q20" s="206">
        <f>'2018 PGT BRO 0609 for 2015-17'!L7*$E15</f>
        <v>2.7923746646463337</v>
      </c>
      <c r="R20" s="206">
        <f>'2018 PGT BRO 0609 for 2015-17'!M7*$E15</f>
        <v>3.1810455776612097</v>
      </c>
      <c r="S20" s="206">
        <f>'2018 PGT BRO 0609 for 2015-17'!N7*$E15</f>
        <v>3.6225896350199678</v>
      </c>
      <c r="T20" s="206">
        <f>'2018 PGT BRO 0609 for 2015-17'!O7*$E15</f>
        <v>4.1244254154240494</v>
      </c>
      <c r="U20" s="206">
        <f>'2018 PGT BRO 0609 for 2015-17'!P7*$E15</f>
        <v>4.6954251206030637</v>
      </c>
      <c r="V20" s="291">
        <f>'2018 PGT BRO 0609 for 2015-17'!Q7*$E15</f>
        <v>5.3452633722400202</v>
      </c>
      <c r="X20">
        <v>6.5</v>
      </c>
    </row>
    <row r="21" spans="1:24" x14ac:dyDescent="0.3">
      <c r="A21" s="290" t="s">
        <v>381</v>
      </c>
      <c r="B21" s="238"/>
      <c r="C21" s="238"/>
      <c r="D21" s="238"/>
      <c r="E21" s="238"/>
      <c r="F21" s="238"/>
      <c r="G21" s="238"/>
      <c r="H21" s="206">
        <v>0</v>
      </c>
      <c r="I21" s="206">
        <v>0</v>
      </c>
      <c r="J21" s="206">
        <v>0</v>
      </c>
      <c r="K21" s="206">
        <v>0</v>
      </c>
      <c r="L21" s="206">
        <v>0</v>
      </c>
      <c r="M21" s="206">
        <f>'2018 PGT BRO 0609 for 2015-17'!H9*E15/2</f>
        <v>0.13708957599902111</v>
      </c>
      <c r="N21" s="206">
        <f>'2018 PGT BRO 0609 for 2015-17'!I9*$E15</f>
        <v>0.41504918474231722</v>
      </c>
      <c r="O21" s="206">
        <f>'2018 PGT BRO 0609 for 2015-17'!J9*$E15</f>
        <v>0.56068394205928285</v>
      </c>
      <c r="P21" s="206">
        <f>'2018 PGT BRO 0609 for 2015-17'!K9*$E15</f>
        <v>0.70801750387787321</v>
      </c>
      <c r="Q21" s="206">
        <f>'2018 PGT BRO 0609 for 2015-17'!L9*$E15</f>
        <v>0.85643808595710313</v>
      </c>
      <c r="R21" s="206">
        <f>'2018 PGT BRO 0609 for 2015-17'!M9*$E15</f>
        <v>1.0074483841083117</v>
      </c>
      <c r="S21" s="206">
        <f>'2018 PGT BRO 0609 for 2015-17'!N9*$E15</f>
        <v>1.15930206636334</v>
      </c>
      <c r="T21" s="206">
        <f>'2018 PGT BRO 0609 for 2015-17'!O9*$E15</f>
        <v>1.3132216513688375</v>
      </c>
      <c r="U21" s="206">
        <f>'2018 PGT BRO 0609 for 2015-17'!P9*$E15</f>
        <v>1.4727061921526901</v>
      </c>
      <c r="V21" s="291">
        <f>'2018 PGT BRO 0609 for 2015-17'!Q9*$E15</f>
        <v>1.6350066552183296</v>
      </c>
      <c r="X21">
        <v>2</v>
      </c>
    </row>
    <row r="22" spans="1:24" x14ac:dyDescent="0.3">
      <c r="A22" s="290" t="s">
        <v>383</v>
      </c>
      <c r="B22" s="238"/>
      <c r="C22" s="238"/>
      <c r="D22" s="238"/>
      <c r="E22" s="238"/>
      <c r="F22" s="238"/>
      <c r="G22" s="238"/>
      <c r="H22" s="206">
        <v>0</v>
      </c>
      <c r="I22" s="206">
        <v>0</v>
      </c>
      <c r="J22" s="206">
        <v>0</v>
      </c>
      <c r="K22" s="206">
        <v>0</v>
      </c>
      <c r="L22" s="206">
        <v>0</v>
      </c>
      <c r="M22" s="206">
        <f>'2018 PGT BRO 0609 for 2015-17'!H11*E15/2</f>
        <v>0.25481400167234847</v>
      </c>
      <c r="N22" s="206">
        <f>'2018 PGT BRO 0609 for 2015-17'!I11*$E15</f>
        <v>1.6635096469176331</v>
      </c>
      <c r="O22" s="206">
        <f>'2018 PGT BRO 0609 for 2015-17'!J11*$E15</f>
        <v>1.6873381556854414</v>
      </c>
      <c r="P22" s="206">
        <f>'2018 PGT BRO 0609 for 2015-17'!K11*$E15</f>
        <v>1.7058962479660771</v>
      </c>
      <c r="Q22" s="206">
        <f>'2018 PGT BRO 0609 for 2015-17'!L11*$E15</f>
        <v>1.7227519243081715</v>
      </c>
      <c r="R22" s="206">
        <f>'2018 PGT BRO 0609 for 2015-17'!M11*$E15</f>
        <v>1.7384790085688229</v>
      </c>
      <c r="S22" s="206">
        <f>'2018 PGT BRO 0609 for 2015-17'!N11*$E15</f>
        <v>1.7521017854699885</v>
      </c>
      <c r="T22" s="206">
        <f>'2018 PGT BRO 0609 for 2015-17'!O11*$E15</f>
        <v>1.7656501319053266</v>
      </c>
      <c r="U22" s="206">
        <f>'2018 PGT BRO 0609 for 2015-17'!P11*$E15</f>
        <v>1.7840089955677956</v>
      </c>
      <c r="V22" s="291">
        <f>'2018 PGT BRO 0609 for 2015-17'!Q11*$E15</f>
        <v>1.8027090019641394</v>
      </c>
      <c r="X22">
        <v>1</v>
      </c>
    </row>
    <row r="23" spans="1:24" x14ac:dyDescent="0.3">
      <c r="A23" s="290" t="s">
        <v>181</v>
      </c>
      <c r="B23" s="238" t="s">
        <v>378</v>
      </c>
      <c r="C23" s="238"/>
      <c r="D23" s="238"/>
      <c r="E23" s="238"/>
      <c r="F23" s="238"/>
      <c r="G23" s="238"/>
      <c r="H23" s="206">
        <f>'2018 PGT BRO 0609 for 2015-17'!C16*$E15</f>
        <v>4.7513925308843969</v>
      </c>
      <c r="I23" s="206">
        <f>'2018 PGT BRO 0609 for 2015-17'!D16*$E15</f>
        <v>4.9684918397945719</v>
      </c>
      <c r="J23" s="206">
        <f>'2018 PGT BRO 0609 for 2015-17'!E16*$E15</f>
        <v>5.1955107900778632</v>
      </c>
      <c r="K23" s="206">
        <f>'2018 PGT BRO 0609 for 2015-17'!F16*$E15</f>
        <v>5.4329026272349825</v>
      </c>
      <c r="L23" s="206">
        <f>'2018 PGT BRO 0609 for 2015-17'!G16*$E15</f>
        <v>5.6702944643921018</v>
      </c>
      <c r="M23" s="206">
        <f>'2018 PGT BRO 0609 for 2015-17'!H16*$E15</f>
        <v>5.9028515212895671</v>
      </c>
      <c r="N23" s="206">
        <f>'2018 PGT BRO 0609 for 2015-17'!I16*$E15</f>
        <v>7.3491635959162416</v>
      </c>
      <c r="O23" s="206">
        <f>'2018 PGT BRO 0609 for 2015-17'!J16*$E15</f>
        <v>7.6429875047984241</v>
      </c>
      <c r="P23" s="206">
        <f>'2018 PGT BRO 0609 for 2015-17'!K16*$E15</f>
        <v>7.9663310690028002</v>
      </c>
      <c r="Q23" s="206">
        <f>'2018 PGT BRO 0609 for 2015-17'!L16*$E15</f>
        <v>8.2868152901374099</v>
      </c>
      <c r="R23" s="206">
        <f>'2018 PGT BRO 0609 for 2015-17'!M16*$E15</f>
        <v>8.6203378411978662</v>
      </c>
      <c r="S23" s="206">
        <f>'2018 PGT BRO 0609 for 2015-17'!N16*$E15</f>
        <v>9.19230935921499</v>
      </c>
      <c r="T23" s="206">
        <f>'2018 PGT BRO 0609 for 2015-17'!O16*$E15</f>
        <v>9.5414356609809943</v>
      </c>
      <c r="U23" s="206">
        <f>'2018 PGT BRO 0609 for 2015-17'!P16*$E15</f>
        <v>9.9341785164083838</v>
      </c>
      <c r="V23" s="291">
        <f>'2018 PGT BRO 0609 for 2015-17'!Q16*$E15</f>
        <v>10.3432436351316</v>
      </c>
      <c r="X23">
        <v>5</v>
      </c>
    </row>
    <row r="24" spans="1:24" x14ac:dyDescent="0.3">
      <c r="A24" s="290" t="s">
        <v>382</v>
      </c>
      <c r="B24" s="238"/>
      <c r="C24" s="238"/>
      <c r="D24" s="238"/>
      <c r="E24" s="238"/>
      <c r="F24" s="238"/>
      <c r="G24" s="238"/>
      <c r="H24" s="206">
        <v>0</v>
      </c>
      <c r="I24" s="206">
        <v>0</v>
      </c>
      <c r="J24" s="206">
        <v>0</v>
      </c>
      <c r="K24" s="206">
        <v>0</v>
      </c>
      <c r="L24" s="206">
        <v>0</v>
      </c>
      <c r="M24" s="206">
        <f>'2018 PGT BRO 0609 for 2015-17'!H19*E15/2</f>
        <v>1.1877452417777641</v>
      </c>
      <c r="N24" s="206">
        <f>'2018 PGT BRO 0609 for 2015-17'!I19*$E15</f>
        <v>2.4438571651262855</v>
      </c>
      <c r="O24" s="206">
        <f>'2018 PGT BRO 0609 for 2015-17'!J19*$E15</f>
        <v>2.5252093502509578</v>
      </c>
      <c r="P24" s="206">
        <f>'2018 PGT BRO 0609 for 2015-17'!K19*$E15</f>
        <v>2.606233478296363</v>
      </c>
      <c r="Q24" s="206">
        <f>'2018 PGT BRO 0609 for 2015-17'!L19*$E15</f>
        <v>2.6848581268089449</v>
      </c>
      <c r="R24" s="206">
        <f>'2018 PGT BRO 0609 for 2015-17'!M19*$E15</f>
        <v>2.7653890023713972</v>
      </c>
      <c r="S24" s="206">
        <f>'2018 PGT BRO 0609 for 2015-17'!N19*$E15</f>
        <v>2.8438263287581869</v>
      </c>
      <c r="T24" s="206">
        <f>'2018 PGT BRO 0609 for 2015-17'!O19*$E15</f>
        <v>2.9240774057084939</v>
      </c>
      <c r="U24" s="206">
        <f>'2018 PGT BRO 0609 for 2015-17'!P19*$E15</f>
        <v>3.0139223758321254</v>
      </c>
      <c r="V24" s="291">
        <f>'2018 PGT BRO 0609 for 2015-17'!Q19*$E15</f>
        <v>3.1066843570226759</v>
      </c>
      <c r="X24">
        <v>5</v>
      </c>
    </row>
    <row r="25" spans="1:24" x14ac:dyDescent="0.3">
      <c r="A25" s="290" t="s">
        <v>384</v>
      </c>
      <c r="B25" s="238"/>
      <c r="C25" s="238"/>
      <c r="D25" s="238"/>
      <c r="E25" s="238"/>
      <c r="F25" s="238"/>
      <c r="G25" s="238"/>
      <c r="H25" s="206">
        <v>0</v>
      </c>
      <c r="I25" s="206">
        <v>0</v>
      </c>
      <c r="J25" s="206">
        <v>0</v>
      </c>
      <c r="K25" s="206">
        <v>0</v>
      </c>
      <c r="L25" s="206">
        <v>0</v>
      </c>
      <c r="M25" s="206">
        <f>'2018 PGT BRO 0609 for 2015-17'!H20*E15/2</f>
        <v>0.37992128517422563</v>
      </c>
      <c r="N25" s="266">
        <f>'2018 PGT BRO 0609 for 2015-17'!I20*$E15</f>
        <v>1.7726901739357397</v>
      </c>
      <c r="O25" s="266">
        <f>'2018 PGT BRO 0609 for 2015-17'!J20*$E15</f>
        <v>2.4136223871051632</v>
      </c>
      <c r="P25" s="266">
        <f>'2018 PGT BRO 0609 for 2015-17'!K20*$E15</f>
        <v>3.0600546447663231</v>
      </c>
      <c r="Q25" s="266">
        <f>'2018 PGT BRO 0609 for 2015-17'!L20*$E15</f>
        <v>3.7008840001594132</v>
      </c>
      <c r="R25" s="266">
        <f>'2018 PGT BRO 0609 for 2015-17'!M20*$E15</f>
        <v>7.2703443464766053</v>
      </c>
      <c r="S25" s="266">
        <f>'2018 PGT BRO 0609 for 2015-17'!N20*$E15</f>
        <v>8.3685947563582435</v>
      </c>
      <c r="T25" s="266">
        <f>'2018 PGT BRO 0609 for 2015-17'!O20*$E15</f>
        <v>9.4755220123133714</v>
      </c>
      <c r="U25" s="266">
        <f>'2018 PGT BRO 0609 for 2015-17'!P20*$E15</f>
        <v>10.616317011345494</v>
      </c>
      <c r="V25" s="292">
        <f>'2018 PGT BRO 0609 for 2015-17'!Q20*$E15</f>
        <v>11.768975744802063</v>
      </c>
      <c r="X25">
        <v>5</v>
      </c>
    </row>
    <row r="26" spans="1:24" s="237" customFormat="1" x14ac:dyDescent="0.3">
      <c r="A26" s="293" t="s">
        <v>489</v>
      </c>
      <c r="B26" s="243"/>
      <c r="C26" s="243"/>
      <c r="D26" s="243"/>
      <c r="E26" s="243"/>
      <c r="F26" s="243"/>
      <c r="G26" s="243"/>
      <c r="H26" s="294">
        <f t="shared" ref="H26:V26" si="1">SUM(H19:H25)</f>
        <v>4.7513925308843969</v>
      </c>
      <c r="I26" s="294">
        <f t="shared" si="1"/>
        <v>4.9684918397945719</v>
      </c>
      <c r="J26" s="294">
        <f t="shared" si="1"/>
        <v>5.1955107900778632</v>
      </c>
      <c r="K26" s="294">
        <f t="shared" si="1"/>
        <v>5.4329026272349825</v>
      </c>
      <c r="L26" s="294">
        <f t="shared" si="1"/>
        <v>5.6702944643921018</v>
      </c>
      <c r="M26" s="294">
        <f t="shared" si="1"/>
        <v>12.08324559084353</v>
      </c>
      <c r="N26" s="294">
        <f t="shared" si="1"/>
        <v>23.195922399913968</v>
      </c>
      <c r="O26" s="294">
        <f t="shared" si="1"/>
        <v>25.673520545418224</v>
      </c>
      <c r="P26" s="294">
        <f t="shared" si="1"/>
        <v>28.332727269665128</v>
      </c>
      <c r="Q26" s="294">
        <f t="shared" si="1"/>
        <v>31.150841932825546</v>
      </c>
      <c r="R26" s="294">
        <f t="shared" si="1"/>
        <v>37.128556607783096</v>
      </c>
      <c r="S26" s="294">
        <f t="shared" si="1"/>
        <v>41.087407842314896</v>
      </c>
      <c r="T26" s="294">
        <f t="shared" si="1"/>
        <v>45.100779739198082</v>
      </c>
      <c r="U26" s="294">
        <f t="shared" si="1"/>
        <v>49.555145362648183</v>
      </c>
      <c r="V26" s="295">
        <f t="shared" si="1"/>
        <v>54.394286128222163</v>
      </c>
    </row>
    <row r="27" spans="1:24" s="236" customFormat="1" x14ac:dyDescent="0.3">
      <c r="A27" s="296" t="s">
        <v>490</v>
      </c>
      <c r="B27" s="285"/>
      <c r="C27" s="285"/>
      <c r="D27" s="285"/>
      <c r="E27" s="286"/>
      <c r="F27" s="285"/>
      <c r="G27" s="285"/>
      <c r="H27" s="287">
        <f>SUM(H19:H25)</f>
        <v>4.7513925308843969</v>
      </c>
      <c r="I27" s="287">
        <f>SUM(I19:I25)+SUM(H19,H20,H21,H23,H24,H25)</f>
        <v>9.7198843706789688</v>
      </c>
      <c r="J27" s="287">
        <f>SUM(J19:J25)+SUM(I19,I20,I21,I23,I24,I25)+SUM(H19,H20,H23,H24,H25)</f>
        <v>14.915395160756832</v>
      </c>
      <c r="K27" s="287">
        <f>SUM(K19:K25)+SUM(J19,J20,J21,J23,J24,J25)+SUM(I19,I20,I23,I24,I25)+SUM(H19,H20,H23,H24,H25)</f>
        <v>20.348297787991815</v>
      </c>
      <c r="L27" s="287">
        <f>SUM(L19:L25)+SUM(K19,K20,K21,K23,K24,K25)+SUM(J19,J20,J23,J24,J25)+SUM(I19,I20,I23,I24,I25)+SUM(H19,H20,H23,H24,H25)</f>
        <v>26.018592252383918</v>
      </c>
      <c r="M27" s="287">
        <f>SUM(M19:M25)+SUM(L19,L20,L21,L23,L24,L25)+SUM(K19,K20,K23,K24,K25)+SUM(J19,J20,J23,J24,J25)+SUM(I19,I20,I23,I24,I25)+H20</f>
        <v>33.350445312343048</v>
      </c>
      <c r="N27" s="287">
        <f t="shared" ref="N27:V27" si="2">SUM(N19:N25)+SUM(M19,M20,M21,M23,M24,M25)+SUM(L19,L20,L23,L24,L25)+SUM(K19,K20,K23,K24,K25)+SUM(J19,J20,J23,J24,J25)+I20+0.5*H20</f>
        <v>51.323061870790092</v>
      </c>
      <c r="O27" s="287">
        <f t="shared" si="2"/>
        <v>70.000472403213806</v>
      </c>
      <c r="P27" s="287">
        <f t="shared" si="2"/>
        <v>90.797909705216185</v>
      </c>
      <c r="Q27" s="287">
        <f t="shared" si="2"/>
        <v>114.01187698362429</v>
      </c>
      <c r="R27" s="287">
        <f t="shared" si="2"/>
        <v>137.8475084778442</v>
      </c>
      <c r="S27" s="287">
        <f t="shared" si="2"/>
        <v>156.69768859882387</v>
      </c>
      <c r="T27" s="287">
        <f t="shared" si="2"/>
        <v>176.40590880575385</v>
      </c>
      <c r="U27" s="287">
        <f t="shared" si="2"/>
        <v>197.54752928775352</v>
      </c>
      <c r="V27" s="288">
        <f t="shared" si="2"/>
        <v>220.76384659090468</v>
      </c>
    </row>
    <row r="28" spans="1:24" x14ac:dyDescent="0.3">
      <c r="A28" s="280" t="s">
        <v>360</v>
      </c>
      <c r="B28" s="231"/>
      <c r="C28" s="231"/>
      <c r="D28" s="231"/>
      <c r="E28" s="231"/>
      <c r="F28" s="231"/>
      <c r="G28" s="231"/>
      <c r="H28" s="231"/>
      <c r="I28" s="231"/>
      <c r="J28" s="231"/>
      <c r="K28" s="231"/>
      <c r="L28" s="231"/>
      <c r="M28" s="231"/>
      <c r="N28" s="231"/>
      <c r="O28" s="231"/>
      <c r="P28" s="231"/>
      <c r="Q28" s="231"/>
      <c r="R28" s="231"/>
      <c r="S28" s="231"/>
      <c r="T28" s="231"/>
      <c r="U28" s="231"/>
      <c r="V28" s="254"/>
    </row>
    <row r="29" spans="1:24" x14ac:dyDescent="0.3">
      <c r="A29" s="281" t="s">
        <v>373</v>
      </c>
      <c r="B29" s="238"/>
      <c r="C29" s="238"/>
      <c r="D29" s="238"/>
      <c r="E29" s="206"/>
      <c r="F29" s="238"/>
      <c r="G29" s="238"/>
      <c r="H29" s="206"/>
      <c r="I29" s="238"/>
      <c r="J29" s="238"/>
      <c r="K29" s="238"/>
      <c r="L29" s="238"/>
      <c r="M29" s="238"/>
      <c r="N29" s="238"/>
      <c r="O29" s="238"/>
      <c r="P29" s="238"/>
      <c r="Q29" s="238"/>
      <c r="R29" s="238"/>
      <c r="S29" s="238"/>
      <c r="T29" s="238"/>
      <c r="U29" s="238"/>
      <c r="V29" s="282"/>
    </row>
    <row r="30" spans="1:24" x14ac:dyDescent="0.3">
      <c r="A30" s="281" t="s">
        <v>491</v>
      </c>
      <c r="B30" s="238"/>
      <c r="C30" s="238"/>
      <c r="D30" s="238"/>
      <c r="E30" s="206"/>
      <c r="F30" s="238"/>
      <c r="G30" s="238"/>
      <c r="H30" s="207">
        <f t="shared" ref="H30:V30" si="3">SUM(H9,H10:H11,H26)</f>
        <v>28.418023530884398</v>
      </c>
      <c r="I30" s="207">
        <f t="shared" si="3"/>
        <v>31.001785939794573</v>
      </c>
      <c r="J30" s="207">
        <f t="shared" si="3"/>
        <v>33.832134300077861</v>
      </c>
      <c r="K30" s="207">
        <f t="shared" si="3"/>
        <v>36.933188488234983</v>
      </c>
      <c r="L30" s="207">
        <f t="shared" si="3"/>
        <v>45.790273402787591</v>
      </c>
      <c r="M30" s="207">
        <f t="shared" si="3"/>
        <v>62.058686147329965</v>
      </c>
      <c r="N30" s="207">
        <f t="shared" si="3"/>
        <v>100.17132283434043</v>
      </c>
      <c r="O30" s="207">
        <f t="shared" si="3"/>
        <v>107.63289301055234</v>
      </c>
      <c r="P30" s="207">
        <f t="shared" si="3"/>
        <v>114.63384314982606</v>
      </c>
      <c r="Q30" s="207">
        <f t="shared" si="3"/>
        <v>121.86500799774009</v>
      </c>
      <c r="R30" s="207">
        <f t="shared" si="3"/>
        <v>132.66810423985658</v>
      </c>
      <c r="S30" s="207">
        <f t="shared" si="3"/>
        <v>141.32568808941252</v>
      </c>
      <c r="T30" s="207">
        <f t="shared" si="3"/>
        <v>150.20226204082911</v>
      </c>
      <c r="U30" s="207">
        <f t="shared" si="3"/>
        <v>159.27177306948028</v>
      </c>
      <c r="V30" s="283">
        <f t="shared" si="3"/>
        <v>168.59575404833174</v>
      </c>
    </row>
    <row r="31" spans="1:24" x14ac:dyDescent="0.3">
      <c r="A31" s="284" t="s">
        <v>492</v>
      </c>
      <c r="B31" s="285"/>
      <c r="C31" s="285"/>
      <c r="D31" s="285"/>
      <c r="E31" s="286"/>
      <c r="F31" s="285"/>
      <c r="G31" s="285"/>
      <c r="H31" s="287">
        <f>SUM(H27,H12)</f>
        <v>28.418023530884398</v>
      </c>
      <c r="I31" s="287">
        <f t="shared" ref="I31:V31" si="4">SUM(I27,I12)</f>
        <v>35.753178470678968</v>
      </c>
      <c r="J31" s="287">
        <f t="shared" si="4"/>
        <v>43.55201867075683</v>
      </c>
      <c r="K31" s="287">
        <f t="shared" si="4"/>
        <v>51.84858364899182</v>
      </c>
      <c r="L31" s="287">
        <f t="shared" si="4"/>
        <v>66.138571190779402</v>
      </c>
      <c r="M31" s="287">
        <f t="shared" si="4"/>
        <v>83.325885868829488</v>
      </c>
      <c r="N31" s="287">
        <f t="shared" si="4"/>
        <v>128.29846230521656</v>
      </c>
      <c r="O31" s="287">
        <f t="shared" si="4"/>
        <v>151.95984486834791</v>
      </c>
      <c r="P31" s="287">
        <f t="shared" si="4"/>
        <v>177.09902558537712</v>
      </c>
      <c r="Q31" s="287">
        <f t="shared" si="4"/>
        <v>204.72604304853883</v>
      </c>
      <c r="R31" s="287">
        <f t="shared" si="4"/>
        <v>233.38705610991769</v>
      </c>
      <c r="S31" s="287">
        <f t="shared" si="4"/>
        <v>256.93596884592148</v>
      </c>
      <c r="T31" s="287">
        <f t="shared" si="4"/>
        <v>281.50739110738488</v>
      </c>
      <c r="U31" s="287">
        <f t="shared" si="4"/>
        <v>307.26415699458562</v>
      </c>
      <c r="V31" s="288">
        <f t="shared" si="4"/>
        <v>334.96531451101424</v>
      </c>
    </row>
    <row r="35" spans="1:1" x14ac:dyDescent="0.3">
      <c r="A35" t="s">
        <v>357</v>
      </c>
    </row>
  </sheetData>
  <hyperlinks>
    <hyperlink ref="F2" r:id="rId1" display="http://energy.nv.gov/uploadedFiles/energynvgov/content/Programs/TaskForces/2017/Agenda%20item%204%20-%20California%20Presentation.pdf"/>
    <hyperlink ref="F14" r:id="rId2" display="http://energy.nv.gov/uploadedFiles/energynvgov/content/Programs/TaskForces/2017/Agenda%20item%204%20-%20California%20Presentation.pdf"/>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A153"/>
  <sheetViews>
    <sheetView zoomScale="60" zoomScaleNormal="60" workbookViewId="0">
      <selection activeCell="W46" sqref="W46"/>
    </sheetView>
  </sheetViews>
  <sheetFormatPr defaultRowHeight="14.4" x14ac:dyDescent="0.3"/>
  <cols>
    <col min="2" max="2" width="43.33203125" customWidth="1"/>
    <col min="3" max="3" width="13.44140625" style="59" customWidth="1"/>
    <col min="4" max="4" width="9.33203125" style="59" customWidth="1"/>
    <col min="5" max="5" width="9.88671875" style="59" customWidth="1"/>
    <col min="6" max="18" width="9.109375" customWidth="1"/>
    <col min="19" max="22" width="9.109375" hidden="1" customWidth="1"/>
    <col min="23" max="23" width="30.5546875" customWidth="1"/>
    <col min="24" max="24" width="23.109375" customWidth="1"/>
    <col min="26" max="26" width="9.109375" customWidth="1"/>
  </cols>
  <sheetData>
    <row r="2" spans="1:27" ht="47.4" x14ac:dyDescent="0.35">
      <c r="B2" s="89" t="s">
        <v>288</v>
      </c>
      <c r="C2" s="102" t="s">
        <v>302</v>
      </c>
      <c r="D2" s="102" t="s">
        <v>302</v>
      </c>
      <c r="E2" s="102" t="s">
        <v>302</v>
      </c>
      <c r="F2" s="26"/>
      <c r="H2" s="26"/>
      <c r="I2" s="26"/>
      <c r="J2" s="26"/>
      <c r="K2" s="26"/>
      <c r="L2" s="26"/>
      <c r="M2" s="26"/>
      <c r="N2" s="26"/>
      <c r="O2" s="26"/>
      <c r="P2" s="26"/>
      <c r="Q2" s="26"/>
      <c r="R2" s="26"/>
      <c r="U2" t="s">
        <v>298</v>
      </c>
      <c r="X2" t="s">
        <v>92</v>
      </c>
      <c r="AA2" t="s">
        <v>91</v>
      </c>
    </row>
    <row r="3" spans="1:27" x14ac:dyDescent="0.3">
      <c r="B3" s="86"/>
      <c r="C3" s="94">
        <v>2015</v>
      </c>
      <c r="D3" s="94">
        <v>2016</v>
      </c>
      <c r="E3" s="94">
        <v>2017</v>
      </c>
      <c r="F3" s="87" t="s">
        <v>275</v>
      </c>
      <c r="G3" s="87" t="s">
        <v>276</v>
      </c>
      <c r="H3" s="87" t="s">
        <v>277</v>
      </c>
      <c r="I3" s="87" t="s">
        <v>278</v>
      </c>
      <c r="J3" s="87" t="s">
        <v>279</v>
      </c>
      <c r="K3" s="87" t="s">
        <v>280</v>
      </c>
      <c r="L3" s="87" t="s">
        <v>281</v>
      </c>
      <c r="M3" s="87" t="s">
        <v>282</v>
      </c>
      <c r="N3" s="87" t="s">
        <v>283</v>
      </c>
      <c r="O3" s="87" t="s">
        <v>284</v>
      </c>
      <c r="P3" s="87" t="s">
        <v>285</v>
      </c>
      <c r="Q3" s="87" t="s">
        <v>286</v>
      </c>
      <c r="R3" s="87" t="s">
        <v>287</v>
      </c>
      <c r="W3" t="s">
        <v>6</v>
      </c>
      <c r="Y3">
        <v>2018</v>
      </c>
      <c r="AA3" t="s">
        <v>89</v>
      </c>
    </row>
    <row r="4" spans="1:27" x14ac:dyDescent="0.3">
      <c r="B4" s="90" t="s">
        <v>227</v>
      </c>
      <c r="C4" s="95">
        <f>D4*(100%-$U5)</f>
        <v>10.3421179505156</v>
      </c>
      <c r="D4" s="95">
        <f>E4*(100%-$U5)</f>
        <v>11.932038819791076</v>
      </c>
      <c r="E4" s="95">
        <f>F4*(100%-$U5)</f>
        <v>13.766382386878817</v>
      </c>
      <c r="F4" s="88">
        <v>15.8827243930376</v>
      </c>
      <c r="G4" s="88">
        <v>17.999066399196384</v>
      </c>
      <c r="H4" s="88">
        <v>20.349825822813425</v>
      </c>
      <c r="I4" s="88">
        <v>22.986019583800488</v>
      </c>
      <c r="J4" s="88">
        <v>26.075321711899928</v>
      </c>
      <c r="K4" s="88">
        <v>29.505533360601135</v>
      </c>
      <c r="L4" s="88">
        <v>33.320159522424511</v>
      </c>
      <c r="M4" s="88">
        <v>37.63653734219664</v>
      </c>
      <c r="N4" s="88">
        <v>42.446051733390533</v>
      </c>
      <c r="O4" s="88">
        <v>47.86934238449102</v>
      </c>
      <c r="P4" s="88">
        <v>54.115761452215907</v>
      </c>
      <c r="Q4" s="88">
        <v>61.177210085530028</v>
      </c>
      <c r="R4" s="88">
        <v>69.160392426900245</v>
      </c>
      <c r="S4" s="57">
        <f>SUM(F4:R4)</f>
        <v>478.52394621849783</v>
      </c>
      <c r="U4" s="26"/>
      <c r="W4" t="s">
        <v>135</v>
      </c>
      <c r="X4" s="59">
        <v>5</v>
      </c>
      <c r="Y4" s="57">
        <v>173.63543280128738</v>
      </c>
      <c r="Z4" t="s">
        <v>293</v>
      </c>
      <c r="AA4" t="s">
        <v>89</v>
      </c>
    </row>
    <row r="5" spans="1:27" s="59" customFormat="1" x14ac:dyDescent="0.3">
      <c r="B5" s="96" t="s">
        <v>297</v>
      </c>
      <c r="C5" s="95"/>
      <c r="D5" s="95"/>
      <c r="E5" s="95"/>
      <c r="F5" s="93"/>
      <c r="G5" s="97">
        <f t="shared" ref="G5:R5" si="0">(G4-F4)/F4</f>
        <v>0.13324804698408726</v>
      </c>
      <c r="H5" s="97">
        <f t="shared" si="0"/>
        <v>0.13060451978342599</v>
      </c>
      <c r="I5" s="97">
        <f t="shared" si="0"/>
        <v>0.12954379973275862</v>
      </c>
      <c r="J5" s="97">
        <f t="shared" si="0"/>
        <v>0.13439917758865225</v>
      </c>
      <c r="K5" s="97">
        <f t="shared" si="0"/>
        <v>0.1315501180235015</v>
      </c>
      <c r="L5" s="97">
        <f t="shared" si="0"/>
        <v>0.12928511120958291</v>
      </c>
      <c r="M5" s="97">
        <f t="shared" si="0"/>
        <v>0.12954253165766511</v>
      </c>
      <c r="N5" s="97">
        <f t="shared" si="0"/>
        <v>0.12778843992647673</v>
      </c>
      <c r="O5" s="97">
        <f t="shared" si="0"/>
        <v>0.12776902514195945</v>
      </c>
      <c r="P5" s="97">
        <f t="shared" si="0"/>
        <v>0.13048892582549113</v>
      </c>
      <c r="Q5" s="97">
        <f t="shared" si="0"/>
        <v>0.13048783651597259</v>
      </c>
      <c r="R5" s="97">
        <f t="shared" si="0"/>
        <v>0.13049274934586211</v>
      </c>
      <c r="S5" s="98"/>
      <c r="U5" s="99">
        <f>G5</f>
        <v>0.13324804698408726</v>
      </c>
      <c r="Y5" s="98"/>
      <c r="AA5" t="s">
        <v>89</v>
      </c>
    </row>
    <row r="6" spans="1:27" x14ac:dyDescent="0.3">
      <c r="B6" s="90" t="s">
        <v>225</v>
      </c>
      <c r="C6" s="94"/>
      <c r="D6" s="94"/>
      <c r="E6" s="94"/>
      <c r="F6" s="88">
        <v>0</v>
      </c>
      <c r="G6" s="88">
        <v>0</v>
      </c>
      <c r="H6" s="88">
        <v>0</v>
      </c>
      <c r="I6" s="88">
        <v>0</v>
      </c>
      <c r="J6" s="88">
        <v>0</v>
      </c>
      <c r="K6" s="88">
        <v>0</v>
      </c>
      <c r="L6" s="88">
        <v>0</v>
      </c>
      <c r="M6" s="88">
        <v>0</v>
      </c>
      <c r="N6" s="88">
        <v>0</v>
      </c>
      <c r="O6" s="88">
        <v>0</v>
      </c>
      <c r="P6" s="88">
        <v>0</v>
      </c>
      <c r="Q6" s="88">
        <v>0</v>
      </c>
      <c r="R6" s="88">
        <v>0</v>
      </c>
      <c r="S6" s="57">
        <f>SUM(F6:R6)</f>
        <v>0</v>
      </c>
      <c r="T6" s="7" t="s">
        <v>290</v>
      </c>
      <c r="AA6" t="s">
        <v>89</v>
      </c>
    </row>
    <row r="7" spans="1:27" x14ac:dyDescent="0.3">
      <c r="B7" s="90" t="s">
        <v>184</v>
      </c>
      <c r="C7" s="95">
        <f>D7*(100%-$U8)</f>
        <v>2.4073713904614022</v>
      </c>
      <c r="D7" s="95">
        <f>E7*(100%-$U8)</f>
        <v>2.8075585905302431</v>
      </c>
      <c r="E7" s="95">
        <f>F7*(100%-$U8)</f>
        <v>3.2742705469094284</v>
      </c>
      <c r="F7" s="88">
        <v>3.8185659421390019</v>
      </c>
      <c r="G7" s="88">
        <v>4.3628613373685754</v>
      </c>
      <c r="H7" s="88">
        <v>4.975117966770207</v>
      </c>
      <c r="I7" s="88">
        <v>5.6689383160267628</v>
      </c>
      <c r="J7" s="88">
        <v>6.4557159046569375</v>
      </c>
      <c r="K7" s="88">
        <v>7.3530496166659498</v>
      </c>
      <c r="L7" s="88">
        <v>8.3771239939390014</v>
      </c>
      <c r="M7" s="88">
        <v>9.5431367329836299</v>
      </c>
      <c r="N7" s="88">
        <v>10.867768905059904</v>
      </c>
      <c r="O7" s="88">
        <v>12.37327624627215</v>
      </c>
      <c r="P7" s="88">
        <v>14.086275361809191</v>
      </c>
      <c r="Q7" s="88">
        <v>16.035790116720062</v>
      </c>
      <c r="R7" s="88">
        <v>18.254753051176895</v>
      </c>
      <c r="S7" s="57">
        <f>SUM(F7:R7)</f>
        <v>122.17237349158827</v>
      </c>
      <c r="U7" s="26"/>
      <c r="W7" t="s">
        <v>112</v>
      </c>
      <c r="X7">
        <v>6.5</v>
      </c>
      <c r="Y7" s="57">
        <v>7.7026629758576641</v>
      </c>
      <c r="Z7" t="s">
        <v>294</v>
      </c>
      <c r="AA7" t="s">
        <v>89</v>
      </c>
    </row>
    <row r="8" spans="1:27" s="59" customFormat="1" x14ac:dyDescent="0.3">
      <c r="B8" s="96" t="s">
        <v>299</v>
      </c>
      <c r="C8" s="94"/>
      <c r="D8" s="94"/>
      <c r="E8" s="94"/>
      <c r="F8" s="93"/>
      <c r="G8" s="97">
        <f t="shared" ref="G8:R8" si="1">(G7-F7)/F7</f>
        <v>0.14253921589335755</v>
      </c>
      <c r="H8" s="97">
        <f t="shared" si="1"/>
        <v>0.14033373560547521</v>
      </c>
      <c r="I8" s="97">
        <f t="shared" si="1"/>
        <v>0.13945806991728008</v>
      </c>
      <c r="J8" s="97">
        <f t="shared" si="1"/>
        <v>0.13878746685351309</v>
      </c>
      <c r="K8" s="97">
        <f t="shared" si="1"/>
        <v>0.13899832725936806</v>
      </c>
      <c r="L8" s="97">
        <f t="shared" si="1"/>
        <v>0.13927206134335751</v>
      </c>
      <c r="M8" s="97">
        <f t="shared" si="1"/>
        <v>0.13919010150598934</v>
      </c>
      <c r="N8" s="97">
        <f t="shared" si="1"/>
        <v>0.13880469379611754</v>
      </c>
      <c r="O8" s="97">
        <f t="shared" si="1"/>
        <v>0.13852956888982976</v>
      </c>
      <c r="P8" s="97">
        <f t="shared" si="1"/>
        <v>0.13844345518860759</v>
      </c>
      <c r="Q8" s="97">
        <f t="shared" si="1"/>
        <v>0.13839817161294521</v>
      </c>
      <c r="R8" s="97">
        <f t="shared" si="1"/>
        <v>0.1383756533545038</v>
      </c>
      <c r="S8" s="98"/>
      <c r="U8" s="99">
        <f>G8</f>
        <v>0.14253921589335755</v>
      </c>
      <c r="Y8" s="98"/>
      <c r="AA8" t="s">
        <v>110</v>
      </c>
    </row>
    <row r="9" spans="1:27" x14ac:dyDescent="0.3">
      <c r="B9" s="90" t="s">
        <v>224</v>
      </c>
      <c r="C9" s="94">
        <v>0</v>
      </c>
      <c r="D9" s="94">
        <v>0</v>
      </c>
      <c r="E9" s="94">
        <v>0</v>
      </c>
      <c r="F9" s="88">
        <v>0</v>
      </c>
      <c r="G9" s="88">
        <v>0.40711216215981594</v>
      </c>
      <c r="H9" s="88">
        <v>0.82253745599412675</v>
      </c>
      <c r="I9" s="88">
        <v>1.2451475542269517</v>
      </c>
      <c r="J9" s="88">
        <v>1.6820518261778485</v>
      </c>
      <c r="K9" s="88">
        <v>2.1240525116336197</v>
      </c>
      <c r="L9" s="88">
        <v>2.5693142578713095</v>
      </c>
      <c r="M9" s="88">
        <v>3.0223451523249354</v>
      </c>
      <c r="N9" s="88">
        <v>3.4779061990900204</v>
      </c>
      <c r="O9" s="88">
        <v>3.939664954106513</v>
      </c>
      <c r="P9" s="88">
        <v>4.4181185764580704</v>
      </c>
      <c r="Q9" s="88">
        <v>4.9050199656549891</v>
      </c>
      <c r="R9" s="88">
        <v>5.4005410715333264</v>
      </c>
      <c r="S9" s="57">
        <f>SUM(F9:R9)</f>
        <v>34.013811687231531</v>
      </c>
      <c r="U9" t="s">
        <v>301</v>
      </c>
      <c r="W9" t="s">
        <v>150</v>
      </c>
      <c r="X9">
        <v>2</v>
      </c>
      <c r="Y9" s="57"/>
      <c r="Z9" t="s">
        <v>295</v>
      </c>
      <c r="AA9" t="s">
        <v>110</v>
      </c>
    </row>
    <row r="10" spans="1:27" s="59" customFormat="1" x14ac:dyDescent="0.3">
      <c r="B10" s="96" t="s">
        <v>300</v>
      </c>
      <c r="C10" s="94"/>
      <c r="D10" s="94"/>
      <c r="E10" s="94"/>
      <c r="F10" s="93"/>
      <c r="G10" s="97"/>
      <c r="H10" s="100">
        <f t="shared" ref="H10:R10" si="2">H9-G9</f>
        <v>0.41542529383431082</v>
      </c>
      <c r="I10" s="100">
        <f t="shared" si="2"/>
        <v>0.42261009823282492</v>
      </c>
      <c r="J10" s="100">
        <f t="shared" si="2"/>
        <v>0.43690427195089687</v>
      </c>
      <c r="K10" s="100">
        <f t="shared" si="2"/>
        <v>0.4420006854557712</v>
      </c>
      <c r="L10" s="100">
        <f t="shared" si="2"/>
        <v>0.44526174623768977</v>
      </c>
      <c r="M10" s="100">
        <f t="shared" si="2"/>
        <v>0.45303089445362588</v>
      </c>
      <c r="N10" s="100">
        <f t="shared" si="2"/>
        <v>0.45556104676508502</v>
      </c>
      <c r="O10" s="100">
        <f t="shared" si="2"/>
        <v>0.46175875501649255</v>
      </c>
      <c r="P10" s="100">
        <f t="shared" si="2"/>
        <v>0.47845362235155742</v>
      </c>
      <c r="Q10" s="100">
        <f t="shared" si="2"/>
        <v>0.48690138919691872</v>
      </c>
      <c r="R10" s="100">
        <f t="shared" si="2"/>
        <v>0.49552110587833731</v>
      </c>
      <c r="S10" s="98"/>
      <c r="U10" s="99"/>
      <c r="Y10" s="98"/>
      <c r="AA10" t="s">
        <v>110</v>
      </c>
    </row>
    <row r="11" spans="1:27" x14ac:dyDescent="0.3">
      <c r="B11" s="90" t="s">
        <v>223</v>
      </c>
      <c r="C11" s="94">
        <v>0</v>
      </c>
      <c r="D11" s="94">
        <v>0</v>
      </c>
      <c r="E11" s="94">
        <v>0</v>
      </c>
      <c r="F11" s="88">
        <v>0</v>
      </c>
      <c r="G11" s="88">
        <v>1.5111463098201718</v>
      </c>
      <c r="H11" s="88">
        <v>1.5288840100340908</v>
      </c>
      <c r="I11" s="88">
        <v>4.9905289407528999</v>
      </c>
      <c r="J11" s="88">
        <v>5.0620144670563247</v>
      </c>
      <c r="K11" s="88">
        <v>5.1176887438982313</v>
      </c>
      <c r="L11" s="88">
        <v>5.1682557729245149</v>
      </c>
      <c r="M11" s="88">
        <v>5.2154370257064686</v>
      </c>
      <c r="N11" s="88">
        <v>5.2563053564099658</v>
      </c>
      <c r="O11" s="88">
        <v>5.2969503957159798</v>
      </c>
      <c r="P11" s="88">
        <v>5.3520269867033869</v>
      </c>
      <c r="Q11" s="88">
        <v>5.4081270058924185</v>
      </c>
      <c r="R11" s="88">
        <v>5.4650264416062653</v>
      </c>
      <c r="S11" s="57">
        <f>SUM(F11:R11)</f>
        <v>55.372391456520717</v>
      </c>
      <c r="U11" t="s">
        <v>301</v>
      </c>
      <c r="X11">
        <v>1</v>
      </c>
      <c r="AA11" t="s">
        <v>110</v>
      </c>
    </row>
    <row r="12" spans="1:27" x14ac:dyDescent="0.3">
      <c r="B12" s="90" t="s">
        <v>212</v>
      </c>
      <c r="C12" s="95">
        <f>D12*(100%-$U13)</f>
        <v>133.03356178980181</v>
      </c>
      <c r="D12" s="95">
        <f>E12*(100%-$U13)</f>
        <v>146.40995862476706</v>
      </c>
      <c r="E12" s="95">
        <f>F12*(100%-$U13)</f>
        <v>161.13133931101925</v>
      </c>
      <c r="F12" s="88">
        <v>177.332940682703</v>
      </c>
      <c r="G12" s="88">
        <v>193.53454205438675</v>
      </c>
      <c r="H12" s="88">
        <v>210.62185041818307</v>
      </c>
      <c r="I12" s="88">
        <v>228.61744096533602</v>
      </c>
      <c r="J12" s="88">
        <v>242.88182947623309</v>
      </c>
      <c r="K12" s="88">
        <v>255.83886429820234</v>
      </c>
      <c r="L12" s="88">
        <v>269.0104131757065</v>
      </c>
      <c r="M12" s="88">
        <v>282.73438983756228</v>
      </c>
      <c r="N12" s="88">
        <v>296.74578094578254</v>
      </c>
      <c r="O12" s="88">
        <v>311.24841117681325</v>
      </c>
      <c r="P12" s="88">
        <v>324.30671049512796</v>
      </c>
      <c r="Q12" s="88">
        <v>337.6845105965225</v>
      </c>
      <c r="R12" s="88">
        <v>345.95402119271745</v>
      </c>
      <c r="S12" s="57">
        <f>SUM(F12:R12)</f>
        <v>3476.5117053152767</v>
      </c>
      <c r="W12" t="s">
        <v>90</v>
      </c>
      <c r="X12">
        <v>1</v>
      </c>
      <c r="Y12" s="57">
        <v>152.2888583183194</v>
      </c>
      <c r="Z12" t="s">
        <v>296</v>
      </c>
      <c r="AA12" t="s">
        <v>110</v>
      </c>
    </row>
    <row r="13" spans="1:27" s="59" customFormat="1" x14ac:dyDescent="0.3">
      <c r="B13" s="96" t="s">
        <v>306</v>
      </c>
      <c r="C13" s="97"/>
      <c r="D13" s="97">
        <f t="shared" ref="D13:R13" si="3">(D12-C12)/C12</f>
        <v>0.10054903931761577</v>
      </c>
      <c r="E13" s="97">
        <f t="shared" si="3"/>
        <v>0.10054903931761569</v>
      </c>
      <c r="F13" s="97">
        <f t="shared" si="3"/>
        <v>0.1005490393176157</v>
      </c>
      <c r="G13" s="97">
        <f t="shared" si="3"/>
        <v>9.1362616044769904E-2</v>
      </c>
      <c r="H13" s="97">
        <f t="shared" si="3"/>
        <v>8.8290742223134919E-2</v>
      </c>
      <c r="I13" s="97">
        <f t="shared" si="3"/>
        <v>8.5440283196749359E-2</v>
      </c>
      <c r="J13" s="97">
        <f t="shared" si="3"/>
        <v>6.239413953137507E-2</v>
      </c>
      <c r="K13" s="97">
        <f t="shared" si="3"/>
        <v>5.3347073553878757E-2</v>
      </c>
      <c r="L13" s="97">
        <f t="shared" si="3"/>
        <v>5.1483768557350942E-2</v>
      </c>
      <c r="M13" s="97">
        <f t="shared" si="3"/>
        <v>5.101652571676412E-2</v>
      </c>
      <c r="N13" s="97">
        <f t="shared" si="3"/>
        <v>4.9556727486423383E-2</v>
      </c>
      <c r="O13" s="97">
        <f t="shared" si="3"/>
        <v>4.8872237323166645E-2</v>
      </c>
      <c r="P13" s="97">
        <f t="shared" si="3"/>
        <v>4.1954589483499664E-2</v>
      </c>
      <c r="Q13" s="97">
        <f t="shared" si="3"/>
        <v>4.125045726303439E-2</v>
      </c>
      <c r="R13" s="97">
        <f t="shared" si="3"/>
        <v>2.4488865602946337E-2</v>
      </c>
      <c r="S13" s="98"/>
      <c r="U13" s="101">
        <f>G13</f>
        <v>9.1362616044769904E-2</v>
      </c>
      <c r="X13" s="98"/>
      <c r="Y13" s="98"/>
    </row>
    <row r="14" spans="1:27" x14ac:dyDescent="0.3">
      <c r="A14" t="s">
        <v>29</v>
      </c>
      <c r="B14" s="90" t="s">
        <v>220</v>
      </c>
      <c r="C14" s="94"/>
      <c r="D14" s="94"/>
      <c r="E14" s="94"/>
      <c r="F14" s="88">
        <v>0</v>
      </c>
      <c r="G14" s="88">
        <v>0</v>
      </c>
      <c r="H14" s="88">
        <v>0</v>
      </c>
      <c r="I14" s="88">
        <v>0</v>
      </c>
      <c r="J14" s="88">
        <v>0</v>
      </c>
      <c r="K14" s="88">
        <v>0</v>
      </c>
      <c r="L14" s="88">
        <v>0</v>
      </c>
      <c r="M14" s="88">
        <v>0</v>
      </c>
      <c r="N14" s="88">
        <v>0</v>
      </c>
      <c r="O14" s="88">
        <v>0</v>
      </c>
      <c r="P14" s="88">
        <v>0</v>
      </c>
      <c r="Q14" s="88">
        <v>0</v>
      </c>
      <c r="R14" s="88">
        <v>0</v>
      </c>
      <c r="S14" s="57">
        <f>SUM(F14:R14)</f>
        <v>0</v>
      </c>
      <c r="T14" s="7" t="s">
        <v>290</v>
      </c>
      <c r="W14" t="s">
        <v>270</v>
      </c>
      <c r="X14">
        <v>1</v>
      </c>
      <c r="Y14" s="57">
        <v>91.982446669948501</v>
      </c>
    </row>
    <row r="15" spans="1:27" x14ac:dyDescent="0.3">
      <c r="B15" s="90" t="s">
        <v>222</v>
      </c>
      <c r="C15" s="94">
        <v>0</v>
      </c>
      <c r="D15" s="94">
        <v>0</v>
      </c>
      <c r="E15" s="94">
        <v>0</v>
      </c>
      <c r="F15" s="88">
        <v>0</v>
      </c>
      <c r="G15" s="88">
        <v>1.2077531594444868</v>
      </c>
      <c r="H15" s="88">
        <v>1.2267558510567156</v>
      </c>
      <c r="I15" s="88">
        <v>1.2483453458189548</v>
      </c>
      <c r="J15" s="88">
        <v>1.9127564294190298</v>
      </c>
      <c r="K15" s="88">
        <v>1.9564390881259659</v>
      </c>
      <c r="L15" s="88">
        <v>1.9995510306959485</v>
      </c>
      <c r="M15" s="88">
        <v>2.7261246419940708</v>
      </c>
      <c r="N15" s="88">
        <v>2.7855378103249002</v>
      </c>
      <c r="O15" s="88">
        <v>2.8464872038723037</v>
      </c>
      <c r="P15" s="88">
        <v>3.6145268717819814</v>
      </c>
      <c r="Q15" s="88">
        <v>3.6718467334059688</v>
      </c>
      <c r="R15" s="88">
        <v>3.7300831257164546</v>
      </c>
      <c r="S15" s="57">
        <f>SUM(F15:R15)</f>
        <v>28.926207291656784</v>
      </c>
      <c r="U15" t="s">
        <v>301</v>
      </c>
      <c r="W15" t="s">
        <v>105</v>
      </c>
      <c r="X15">
        <v>1</v>
      </c>
      <c r="Y15" s="57">
        <v>34.366034303748009</v>
      </c>
    </row>
    <row r="16" spans="1:27" x14ac:dyDescent="0.3">
      <c r="B16" s="90" t="s">
        <v>181</v>
      </c>
      <c r="C16" s="95">
        <f>D16*(100%-$U17)</f>
        <v>14.254177592653193</v>
      </c>
      <c r="D16" s="95">
        <f>E16*(100%-$U17)</f>
        <v>14.905475519383717</v>
      </c>
      <c r="E16" s="95">
        <f>F16*(100%-$U17)</f>
        <v>15.586532370233591</v>
      </c>
      <c r="F16" s="88">
        <v>16.298707881704949</v>
      </c>
      <c r="G16" s="88">
        <v>17.010883393176307</v>
      </c>
      <c r="H16" s="88">
        <v>17.708554563868702</v>
      </c>
      <c r="I16" s="88">
        <v>22.047490787748725</v>
      </c>
      <c r="J16" s="88">
        <v>22.928962514395273</v>
      </c>
      <c r="K16" s="88">
        <v>23.898993207008402</v>
      </c>
      <c r="L16" s="88">
        <v>24.860445870412232</v>
      </c>
      <c r="M16" s="88">
        <v>25.861013523593599</v>
      </c>
      <c r="N16" s="88">
        <v>27.576928077644972</v>
      </c>
      <c r="O16" s="88">
        <v>28.624306982942983</v>
      </c>
      <c r="P16" s="88">
        <v>29.802535549225151</v>
      </c>
      <c r="Q16" s="88">
        <v>31.0297309053948</v>
      </c>
      <c r="R16" s="88">
        <v>32.307827638744357</v>
      </c>
      <c r="S16" s="57">
        <f>SUM(F16:R16)</f>
        <v>319.95638089586043</v>
      </c>
      <c r="W16" t="s">
        <v>181</v>
      </c>
      <c r="X16">
        <v>5</v>
      </c>
      <c r="Y16" s="57">
        <v>62.385974900414773</v>
      </c>
    </row>
    <row r="17" spans="1:25" s="59" customFormat="1" x14ac:dyDescent="0.3">
      <c r="B17" s="96" t="s">
        <v>303</v>
      </c>
      <c r="C17" s="94"/>
      <c r="D17" s="94"/>
      <c r="E17" s="94"/>
      <c r="F17" s="93"/>
      <c r="G17" s="97">
        <f t="shared" ref="G17:R17" si="4">(G16-F16)/F16</f>
        <v>4.3695212935914024E-2</v>
      </c>
      <c r="H17" s="97">
        <f t="shared" si="4"/>
        <v>4.1013223979435229E-2</v>
      </c>
      <c r="I17" s="97">
        <f t="shared" si="4"/>
        <v>0.24501921984829211</v>
      </c>
      <c r="J17" s="97">
        <f t="shared" si="4"/>
        <v>3.998059167514708E-2</v>
      </c>
      <c r="K17" s="97">
        <f t="shared" si="4"/>
        <v>4.2305912969421267E-2</v>
      </c>
      <c r="L17" s="97">
        <f t="shared" si="4"/>
        <v>4.0229839603531173E-2</v>
      </c>
      <c r="M17" s="97">
        <f t="shared" si="4"/>
        <v>4.0247373614975948E-2</v>
      </c>
      <c r="N17" s="97">
        <f t="shared" si="4"/>
        <v>6.6351403918717453E-2</v>
      </c>
      <c r="O17" s="97">
        <f t="shared" si="4"/>
        <v>3.7980260250490359E-2</v>
      </c>
      <c r="P17" s="97">
        <f t="shared" si="4"/>
        <v>4.1161819812240916E-2</v>
      </c>
      <c r="Q17" s="97">
        <f t="shared" si="4"/>
        <v>4.1177548606314972E-2</v>
      </c>
      <c r="R17" s="97">
        <f t="shared" si="4"/>
        <v>4.1189423693240863E-2</v>
      </c>
      <c r="S17" s="98"/>
      <c r="U17" s="101">
        <f>G17</f>
        <v>4.3695212935914024E-2</v>
      </c>
      <c r="Y17" s="98"/>
    </row>
    <row r="18" spans="1:25" x14ac:dyDescent="0.3">
      <c r="B18" s="90" t="s">
        <v>221</v>
      </c>
      <c r="C18" s="94">
        <v>0</v>
      </c>
      <c r="D18" s="94">
        <v>0</v>
      </c>
      <c r="E18" s="94">
        <v>0</v>
      </c>
      <c r="F18" s="88">
        <v>0</v>
      </c>
      <c r="G18" s="88">
        <v>1.026111676991978</v>
      </c>
      <c r="H18" s="88">
        <v>1.0419758449650827</v>
      </c>
      <c r="I18" s="88">
        <v>1.0604149921244566</v>
      </c>
      <c r="J18" s="88">
        <v>1.0835314897502126</v>
      </c>
      <c r="K18" s="88">
        <v>1.1080442541545457</v>
      </c>
      <c r="L18" s="88">
        <v>1.1325339883412062</v>
      </c>
      <c r="M18" s="88">
        <v>1.1581284166641332</v>
      </c>
      <c r="N18" s="88">
        <v>1.1835219851854442</v>
      </c>
      <c r="O18" s="88">
        <v>1.2095485242075954</v>
      </c>
      <c r="P18" s="88">
        <v>1.2286457535863795</v>
      </c>
      <c r="Q18" s="88">
        <v>1.2480464304002707</v>
      </c>
      <c r="R18" s="88">
        <v>1.2677554062581187</v>
      </c>
      <c r="S18" s="57">
        <f>SUM(F18:R18)</f>
        <v>13.748258762629423</v>
      </c>
      <c r="U18" t="s">
        <v>301</v>
      </c>
      <c r="W18" t="s">
        <v>104</v>
      </c>
      <c r="X18">
        <v>1</v>
      </c>
      <c r="Y18" s="57">
        <v>0</v>
      </c>
    </row>
    <row r="19" spans="1:25" x14ac:dyDescent="0.3">
      <c r="B19" s="90" t="s">
        <v>226</v>
      </c>
      <c r="C19" s="94">
        <v>0</v>
      </c>
      <c r="D19" s="94">
        <v>0</v>
      </c>
      <c r="E19" s="94">
        <v>0</v>
      </c>
      <c r="F19" s="88">
        <v>0</v>
      </c>
      <c r="G19" s="88">
        <v>0</v>
      </c>
      <c r="H19" s="88">
        <v>7.1264714506665854</v>
      </c>
      <c r="I19" s="88">
        <v>7.3315714953788564</v>
      </c>
      <c r="J19" s="88">
        <v>7.5756280507528739</v>
      </c>
      <c r="K19" s="88">
        <v>7.8187004348890898</v>
      </c>
      <c r="L19" s="88">
        <v>8.0545743804268355</v>
      </c>
      <c r="M19" s="88">
        <v>8.2961670071141924</v>
      </c>
      <c r="N19" s="88">
        <v>8.5314789862745606</v>
      </c>
      <c r="O19" s="88">
        <v>8.7722322171254827</v>
      </c>
      <c r="P19" s="88">
        <v>9.0417671274963762</v>
      </c>
      <c r="Q19" s="88">
        <v>9.3200530710680276</v>
      </c>
      <c r="R19" s="88">
        <v>9.607097494466986</v>
      </c>
      <c r="S19" s="57">
        <f>SUM(F19:R19)</f>
        <v>91.475741715659865</v>
      </c>
      <c r="U19" t="s">
        <v>301</v>
      </c>
      <c r="W19" t="s">
        <v>113</v>
      </c>
      <c r="X19">
        <v>5</v>
      </c>
      <c r="Y19" s="57">
        <v>31.110027377201515</v>
      </c>
    </row>
    <row r="20" spans="1:25" x14ac:dyDescent="0.3">
      <c r="B20" s="90" t="s">
        <v>273</v>
      </c>
      <c r="C20" s="94">
        <v>0</v>
      </c>
      <c r="D20" s="94">
        <v>0</v>
      </c>
      <c r="E20" s="94">
        <v>0</v>
      </c>
      <c r="F20" s="88">
        <v>0</v>
      </c>
      <c r="G20" s="88">
        <v>1.0188516933319312</v>
      </c>
      <c r="H20" s="88">
        <v>2.279527711045354</v>
      </c>
      <c r="I20" s="88">
        <v>5.3180705218072193</v>
      </c>
      <c r="J20" s="88">
        <v>7.2408671613154896</v>
      </c>
      <c r="K20" s="88">
        <v>9.1801639342989692</v>
      </c>
      <c r="L20" s="88">
        <v>11.102652000478241</v>
      </c>
      <c r="M20" s="88">
        <v>21.811033039429816</v>
      </c>
      <c r="N20" s="88">
        <v>25.105784269074732</v>
      </c>
      <c r="O20" s="88">
        <v>28.426566036940116</v>
      </c>
      <c r="P20" s="88">
        <v>31.848951034036485</v>
      </c>
      <c r="Q20" s="88">
        <v>35.306927234406189</v>
      </c>
      <c r="R20" s="88">
        <v>38.802797552929562</v>
      </c>
      <c r="S20" s="57">
        <f>SUM(F20:R20)</f>
        <v>217.4421921890941</v>
      </c>
      <c r="U20" t="s">
        <v>301</v>
      </c>
      <c r="X20">
        <v>5</v>
      </c>
    </row>
    <row r="21" spans="1:25" x14ac:dyDescent="0.3">
      <c r="A21" t="s">
        <v>29</v>
      </c>
      <c r="B21" s="90" t="s">
        <v>219</v>
      </c>
      <c r="C21" s="94"/>
      <c r="D21" s="94"/>
      <c r="E21" s="94"/>
      <c r="F21" s="88">
        <v>0</v>
      </c>
      <c r="G21" s="88">
        <v>32.091849973906484</v>
      </c>
      <c r="H21" s="88">
        <v>35.068491870807271</v>
      </c>
      <c r="I21" s="88">
        <v>38.389685284447928</v>
      </c>
      <c r="J21" s="88">
        <v>42.168404539931842</v>
      </c>
      <c r="K21" s="88">
        <v>46.400078957231464</v>
      </c>
      <c r="L21" s="88">
        <v>51.005312202607186</v>
      </c>
      <c r="M21" s="88">
        <v>56.079423127457801</v>
      </c>
      <c r="N21" s="88">
        <v>61.629502306020349</v>
      </c>
      <c r="O21" s="88">
        <v>67.734752362197597</v>
      </c>
      <c r="P21" s="88">
        <v>74.012407506928753</v>
      </c>
      <c r="Q21" s="88">
        <v>80.872012352681793</v>
      </c>
      <c r="R21" s="88">
        <v>88.367527138230713</v>
      </c>
      <c r="S21" s="57">
        <f>SUM(F21:R21)</f>
        <v>673.81944762244916</v>
      </c>
      <c r="T21" s="7" t="s">
        <v>290</v>
      </c>
      <c r="W21" t="s">
        <v>101</v>
      </c>
      <c r="X21">
        <v>1</v>
      </c>
      <c r="Y21" s="57">
        <v>129.97519638144894</v>
      </c>
    </row>
    <row r="22" spans="1:25" x14ac:dyDescent="0.3">
      <c r="B22" s="90" t="s">
        <v>274</v>
      </c>
      <c r="C22" s="94"/>
      <c r="D22" s="94"/>
      <c r="E22" s="94"/>
      <c r="F22" s="88">
        <v>213.33293889958455</v>
      </c>
      <c r="G22" s="88">
        <v>270.17017815978284</v>
      </c>
      <c r="H22" s="88">
        <v>302.74999296620467</v>
      </c>
      <c r="I22" s="88">
        <v>338.90365378746924</v>
      </c>
      <c r="J22" s="88">
        <v>365.0670835715888</v>
      </c>
      <c r="K22" s="88">
        <v>390.3016084067097</v>
      </c>
      <c r="L22" s="88">
        <v>416.60033619582748</v>
      </c>
      <c r="M22" s="88">
        <v>454.08373584702764</v>
      </c>
      <c r="N22" s="88">
        <v>485.60656657425795</v>
      </c>
      <c r="O22" s="88">
        <v>518.34153848468497</v>
      </c>
      <c r="P22" s="88">
        <v>551.82772671536964</v>
      </c>
      <c r="Q22" s="88">
        <v>586.65927449767696</v>
      </c>
      <c r="R22" s="88">
        <v>618.3178225402803</v>
      </c>
      <c r="S22" s="57">
        <f>SUM(F22:R22)</f>
        <v>5511.9624566464645</v>
      </c>
      <c r="Y22" s="57">
        <v>692.16485792460742</v>
      </c>
    </row>
    <row r="23" spans="1:25" x14ac:dyDescent="0.3">
      <c r="B23" s="92" t="s">
        <v>291</v>
      </c>
      <c r="C23" s="93">
        <f>SUM(C4,C7,C9,C11,C12,C15,C16,C18,C19,C20)</f>
        <v>160.03722872343201</v>
      </c>
      <c r="D23" s="93">
        <f t="shared" ref="D23:Q23" si="5">SUM(D4,D7,D9,D11,D12,D15,D16,D18,D19,D20)</f>
        <v>176.05503155447209</v>
      </c>
      <c r="E23" s="93">
        <f t="shared" si="5"/>
        <v>193.75852461504107</v>
      </c>
      <c r="F23" s="93">
        <f t="shared" si="5"/>
        <v>213.33293889958455</v>
      </c>
      <c r="G23" s="93">
        <f t="shared" si="5"/>
        <v>238.07832818587636</v>
      </c>
      <c r="H23" s="93">
        <f t="shared" si="5"/>
        <v>267.68150109539738</v>
      </c>
      <c r="I23" s="93">
        <f t="shared" si="5"/>
        <v>300.51396850302132</v>
      </c>
      <c r="J23" s="93">
        <f t="shared" si="5"/>
        <v>322.89867903165697</v>
      </c>
      <c r="K23" s="93">
        <f t="shared" si="5"/>
        <v>343.90152944947823</v>
      </c>
      <c r="L23" s="93">
        <f t="shared" si="5"/>
        <v>365.59502399322031</v>
      </c>
      <c r="M23" s="93">
        <f t="shared" si="5"/>
        <v>398.00431271956984</v>
      </c>
      <c r="N23" s="93">
        <f t="shared" si="5"/>
        <v>423.9770642682376</v>
      </c>
      <c r="O23" s="93">
        <f t="shared" si="5"/>
        <v>450.60678612248739</v>
      </c>
      <c r="P23" s="93">
        <f t="shared" si="5"/>
        <v>477.81531920844083</v>
      </c>
      <c r="Q23" s="93">
        <f t="shared" si="5"/>
        <v>505.78726214499522</v>
      </c>
      <c r="R23" s="93">
        <f>SUM(R4,R7,R9,R11,R12,R15,R16,R18,R19,R20)</f>
        <v>529.95029540204962</v>
      </c>
      <c r="S23" s="57"/>
    </row>
    <row r="24" spans="1:25" x14ac:dyDescent="0.3">
      <c r="B24" s="92" t="s">
        <v>409</v>
      </c>
      <c r="C24" s="93">
        <f>SUM(C4,C7,C9,C11,C12,C15,C16,C18, C19,C20)</f>
        <v>160.03722872343201</v>
      </c>
      <c r="D24" s="93">
        <f>SUM(D4,D7,D9,D11,D12,D15,D16,D18, D19,D20)+SUM(C4,C7,C9,C16,C19,C20)</f>
        <v>203.05869848810229</v>
      </c>
      <c r="E24" s="93">
        <f>SUM(E4,E7,E9,E11,E12,E15,E16,E18, E19,E20)+SUM(D4,D7,D9,D16,D19,D20)+SUM(C4,C7,C16,C19,C20)</f>
        <v>250.40726447837631</v>
      </c>
      <c r="F24" s="93">
        <f>SUM(F4,F7,F9,F11,F12,F15,F16,F18, F19, F20)+SUM(E4,E7,E9,E16,E19,E20)+SUM(D4,D7,D16,D19,D20)+SUM(C4,C7,C16,C19,C20)</f>
        <v>302.60886406694163</v>
      </c>
      <c r="G24" s="93">
        <f>SUM(G4,G7,G9,G11,G12,G15,G16,G18, G19, G20)+SUM(F4,F7,F9,F16,F19,F20)+SUM(E4,E7,E16,E19,E20)+SUM(D4,D7,D16,D19,D20)+SUM(C4,C7,C16,C19,C20)</f>
        <v>363.35425157011497</v>
      </c>
      <c r="H24" s="93">
        <f>SUM(H4,H7,H9,H11,H12,H15,H16,H18, H19, H20)+SUM(G4,G7,G9,G16,G19,G20)+SUM(F4,F7,F16,F19,F20)+SUM(E4,E7,E16,E19,E20)+SUM(D4,D7,D16,D19,D20)+C7</f>
        <v>409.15990392170028</v>
      </c>
      <c r="I24" s="93">
        <f t="shared" ref="I24:Q24" si="6">SUM(I4,I7,I9,I11,I12,I15,I16,I18, I19, I20)+SUM(H4,H7,H9,H16,H19,H20)+SUM(G4,G7,G16,G19,G20)+SUM(F4,F7,F16,F19,F20)+SUM(E4,E7,E16,E19,E20)+D7+C7/2</f>
        <v>466.80609410391725</v>
      </c>
      <c r="J24" s="93">
        <f t="shared" si="6"/>
        <v>521.00512568793954</v>
      </c>
      <c r="K24" s="93">
        <f>SUM(K4,K7,K9,K11,K12,K15,K16,K18, K19, K20)+SUM(J4,J7,J9,J16,J19,J20)+SUM(I4,I7,I16,I19,I20)+SUM(H4,H7,H16,H19,H20)+SUM(G4,G7,G16,G19,G20)+F7+E7/2</f>
        <v>577.49902887726989</v>
      </c>
      <c r="L24" s="93">
        <f t="shared" si="6"/>
        <v>637.81574492970242</v>
      </c>
      <c r="M24" s="93">
        <f t="shared" si="6"/>
        <v>704.83015798182259</v>
      </c>
      <c r="N24" s="93">
        <f t="shared" si="6"/>
        <v>772.0516860294573</v>
      </c>
      <c r="O24" s="93">
        <f t="shared" si="6"/>
        <v>844.52217332215469</v>
      </c>
      <c r="P24" s="93">
        <f t="shared" si="6"/>
        <v>921.79247098375697</v>
      </c>
      <c r="Q24" s="93">
        <f t="shared" si="6"/>
        <v>1004.8959435330426</v>
      </c>
      <c r="R24" s="93">
        <f>SUM(R4,R7,R9,R11,R12,R15,R16,R18, R19, R20)+SUM(Q4,Q7,Q9,Q16,Q19,Q20)+SUM(P4,P7,P16,P19,P20)+SUM(O4,O7,O16,O19,O20)+SUM(N4,N7,N16,N19,N20)+M7+L7/2</f>
        <v>1080.9457518747768</v>
      </c>
      <c r="S24" s="57"/>
      <c r="W24">
        <f>R24/R23</f>
        <v>2.0397115753180426</v>
      </c>
    </row>
    <row r="25" spans="1:25" x14ac:dyDescent="0.3">
      <c r="B25" s="92"/>
      <c r="C25" s="92"/>
      <c r="D25" s="92"/>
      <c r="E25" s="92"/>
      <c r="F25" s="93"/>
      <c r="G25" s="93"/>
      <c r="H25" s="93"/>
      <c r="I25" s="93"/>
      <c r="J25" s="93"/>
      <c r="K25" s="93"/>
      <c r="L25" s="93"/>
      <c r="M25" s="93"/>
      <c r="N25" s="93"/>
      <c r="O25" s="93"/>
      <c r="P25" s="93"/>
      <c r="Q25" s="93"/>
      <c r="R25" s="93">
        <f>R23/4</f>
        <v>132.4875738505124</v>
      </c>
      <c r="S25" s="57"/>
    </row>
    <row r="26" spans="1:25" ht="18" x14ac:dyDescent="0.35">
      <c r="B26" s="91" t="s">
        <v>289</v>
      </c>
      <c r="C26" s="91"/>
      <c r="D26" s="91"/>
      <c r="E26" s="91"/>
      <c r="S26" s="57"/>
    </row>
    <row r="27" spans="1:25" x14ac:dyDescent="0.3">
      <c r="B27" s="90"/>
      <c r="C27" s="94">
        <v>2015</v>
      </c>
      <c r="D27" s="94">
        <v>2016</v>
      </c>
      <c r="E27" s="94">
        <v>2017</v>
      </c>
      <c r="F27" s="87" t="s">
        <v>275</v>
      </c>
      <c r="G27" s="87" t="s">
        <v>276</v>
      </c>
      <c r="H27" s="87" t="s">
        <v>277</v>
      </c>
      <c r="I27" s="87" t="s">
        <v>278</v>
      </c>
      <c r="J27" s="87" t="s">
        <v>279</v>
      </c>
      <c r="K27" s="87" t="s">
        <v>280</v>
      </c>
      <c r="L27" s="87" t="s">
        <v>281</v>
      </c>
      <c r="M27" s="87" t="s">
        <v>282</v>
      </c>
      <c r="N27" s="87" t="s">
        <v>283</v>
      </c>
      <c r="O27" s="87" t="s">
        <v>284</v>
      </c>
      <c r="P27" s="87" t="s">
        <v>285</v>
      </c>
      <c r="Q27" s="87" t="s">
        <v>286</v>
      </c>
      <c r="R27" s="87" t="s">
        <v>287</v>
      </c>
      <c r="S27" s="57"/>
    </row>
    <row r="28" spans="1:25" x14ac:dyDescent="0.3">
      <c r="B28" s="90" t="s">
        <v>227</v>
      </c>
      <c r="C28" s="95">
        <f>C4</f>
        <v>10.3421179505156</v>
      </c>
      <c r="D28" s="95">
        <f>D4</f>
        <v>11.932038819791076</v>
      </c>
      <c r="E28" s="95">
        <f>E4</f>
        <v>13.766382386878817</v>
      </c>
      <c r="F28" s="88">
        <v>17.584444863720197</v>
      </c>
      <c r="G28" s="88">
        <v>22.06263113472923</v>
      </c>
      <c r="H28" s="88">
        <v>27.616693744872194</v>
      </c>
      <c r="I28" s="88">
        <v>34.536507887421585</v>
      </c>
      <c r="J28" s="88">
        <v>43.375848945447387</v>
      </c>
      <c r="K28" s="88">
        <v>54.34072702861809</v>
      </c>
      <c r="L28" s="88">
        <v>67.941121176335699</v>
      </c>
      <c r="M28" s="88">
        <v>84.964784519019034</v>
      </c>
      <c r="N28" s="88">
        <v>106.08897697225727</v>
      </c>
      <c r="O28" s="88">
        <v>132.46284736741509</v>
      </c>
      <c r="P28" s="88">
        <v>165.79218724990812</v>
      </c>
      <c r="Q28" s="88">
        <v>207.50741369062106</v>
      </c>
      <c r="R28" s="88">
        <v>259.71980089269789</v>
      </c>
      <c r="S28" s="57">
        <f>SUM(F28:R28)</f>
        <v>1223.9939854730628</v>
      </c>
    </row>
    <row r="29" spans="1:25" s="59" customFormat="1" x14ac:dyDescent="0.3">
      <c r="B29" s="96" t="s">
        <v>297</v>
      </c>
      <c r="C29" s="95"/>
      <c r="D29" s="95"/>
      <c r="E29" s="95"/>
      <c r="F29" s="93"/>
      <c r="G29" s="97">
        <f t="shared" ref="G29:R29" si="7">(G28-F28)/F28</f>
        <v>0.25466748058952482</v>
      </c>
      <c r="H29" s="97">
        <f t="shared" si="7"/>
        <v>0.25174071833165007</v>
      </c>
      <c r="I29" s="97">
        <f t="shared" si="7"/>
        <v>0.25056634970412589</v>
      </c>
      <c r="J29" s="97">
        <f t="shared" si="7"/>
        <v>0.25594194661600822</v>
      </c>
      <c r="K29" s="97">
        <f t="shared" si="7"/>
        <v>0.25278763066887588</v>
      </c>
      <c r="L29" s="97">
        <f t="shared" si="7"/>
        <v>0.25027994455346675</v>
      </c>
      <c r="M29" s="97">
        <f t="shared" si="7"/>
        <v>0.25056494576384442</v>
      </c>
      <c r="N29" s="97">
        <f t="shared" si="7"/>
        <v>0.248622915632884</v>
      </c>
      <c r="O29" s="97">
        <f t="shared" si="7"/>
        <v>0.2486014206928841</v>
      </c>
      <c r="P29" s="97">
        <f t="shared" si="7"/>
        <v>0.25161273930679379</v>
      </c>
      <c r="Q29" s="97">
        <f t="shared" si="7"/>
        <v>0.2516115332855412</v>
      </c>
      <c r="R29" s="97">
        <f t="shared" si="7"/>
        <v>0.2516169724900616</v>
      </c>
      <c r="S29" s="98"/>
      <c r="U29" s="99">
        <f>G29</f>
        <v>0.25466748058952482</v>
      </c>
      <c r="Y29" s="98"/>
    </row>
    <row r="30" spans="1:25" x14ac:dyDescent="0.3">
      <c r="B30" s="90" t="s">
        <v>225</v>
      </c>
      <c r="C30" s="94"/>
      <c r="D30" s="94"/>
      <c r="E30" s="94"/>
      <c r="F30" s="88">
        <v>21.702167039003879</v>
      </c>
      <c r="G30" s="88">
        <v>50.650681451502983</v>
      </c>
      <c r="H30" s="88">
        <v>73.40154318319793</v>
      </c>
      <c r="I30" s="88">
        <v>74.097398059786016</v>
      </c>
      <c r="J30" s="88">
        <v>75.065165289830531</v>
      </c>
      <c r="K30" s="88">
        <v>75.990630307108816</v>
      </c>
      <c r="L30" s="88">
        <v>106.67527502922337</v>
      </c>
      <c r="M30" s="88">
        <v>131.32267473665621</v>
      </c>
      <c r="N30" s="88">
        <v>132.39789079960187</v>
      </c>
      <c r="O30" s="88">
        <v>133.46439412221474</v>
      </c>
      <c r="P30" s="88">
        <v>134.86196838743919</v>
      </c>
      <c r="Q30" s="88">
        <v>136.27931679116276</v>
      </c>
      <c r="R30" s="88">
        <v>137.71384636079139</v>
      </c>
      <c r="S30" s="57">
        <f>SUM(F30:R30)</f>
        <v>1283.6229515575196</v>
      </c>
      <c r="T30" s="7" t="s">
        <v>290</v>
      </c>
    </row>
    <row r="31" spans="1:25" x14ac:dyDescent="0.3">
      <c r="B31" s="90" t="s">
        <v>184</v>
      </c>
      <c r="C31" s="95">
        <f t="shared" ref="C31:E31" si="8">C7</f>
        <v>2.4073713904614022</v>
      </c>
      <c r="D31" s="95">
        <f t="shared" si="8"/>
        <v>2.8075585905302431</v>
      </c>
      <c r="E31" s="95">
        <f t="shared" si="8"/>
        <v>3.2742705469094284</v>
      </c>
      <c r="F31" s="88">
        <v>4.0052513881991292</v>
      </c>
      <c r="G31" s="88">
        <v>4.7998800009102256</v>
      </c>
      <c r="H31" s="88">
        <v>5.7410567186108823</v>
      </c>
      <c r="I31" s="88">
        <v>6.8615095300367175</v>
      </c>
      <c r="J31" s="88">
        <v>8.1958091081529485</v>
      </c>
      <c r="K31" s="88">
        <v>9.7913912714431053</v>
      </c>
      <c r="L31" s="88">
        <v>11.700416933634573</v>
      </c>
      <c r="M31" s="88">
        <v>13.980639112943715</v>
      </c>
      <c r="N31" s="88">
        <v>16.699588074689846</v>
      </c>
      <c r="O31" s="88">
        <v>19.942498024311963</v>
      </c>
      <c r="P31" s="88">
        <v>23.813350666622068</v>
      </c>
      <c r="Q31" s="88">
        <v>28.434407407515863</v>
      </c>
      <c r="R31" s="88">
        <v>33.951523369003795</v>
      </c>
      <c r="S31" s="57">
        <f>SUM(F31:R31)</f>
        <v>187.91732160607484</v>
      </c>
    </row>
    <row r="32" spans="1:25" s="59" customFormat="1" x14ac:dyDescent="0.3">
      <c r="B32" s="96" t="s">
        <v>299</v>
      </c>
      <c r="C32" s="94"/>
      <c r="D32" s="94"/>
      <c r="E32" s="94"/>
      <c r="F32" s="93"/>
      <c r="G32" s="97">
        <f t="shared" ref="G32:R32" si="9">(G31-F31)/F31</f>
        <v>0.19839668867036664</v>
      </c>
      <c r="H32" s="97">
        <f t="shared" si="9"/>
        <v>0.19608338490174265</v>
      </c>
      <c r="I32" s="97">
        <f t="shared" si="9"/>
        <v>0.19516490889101376</v>
      </c>
      <c r="J32" s="97">
        <f t="shared" si="9"/>
        <v>0.19446152078857359</v>
      </c>
      <c r="K32" s="97">
        <f t="shared" si="9"/>
        <v>0.19468268992538135</v>
      </c>
      <c r="L32" s="97">
        <f t="shared" si="9"/>
        <v>0.19496980656458904</v>
      </c>
      <c r="M32" s="97">
        <f t="shared" si="9"/>
        <v>0.19488383980183707</v>
      </c>
      <c r="N32" s="97">
        <f t="shared" si="9"/>
        <v>0.19447958993726133</v>
      </c>
      <c r="O32" s="97">
        <f t="shared" si="9"/>
        <v>0.19419101447999915</v>
      </c>
      <c r="P32" s="97">
        <f t="shared" si="9"/>
        <v>0.19410069077560574</v>
      </c>
      <c r="Q32" s="97">
        <f t="shared" si="9"/>
        <v>0.19405319333624435</v>
      </c>
      <c r="R32" s="97">
        <f t="shared" si="9"/>
        <v>0.19402957418516947</v>
      </c>
      <c r="S32" s="98"/>
      <c r="U32" s="99">
        <f>G32</f>
        <v>0.19839668867036664</v>
      </c>
      <c r="Y32" s="98"/>
    </row>
    <row r="33" spans="2:25" x14ac:dyDescent="0.3">
      <c r="B33" s="90" t="s">
        <v>224</v>
      </c>
      <c r="C33" s="94"/>
      <c r="D33" s="94"/>
      <c r="E33" s="94"/>
      <c r="F33" s="88">
        <v>0</v>
      </c>
      <c r="G33" s="88">
        <v>0.81422432431963176</v>
      </c>
      <c r="H33" s="88">
        <v>1.6450749119882533</v>
      </c>
      <c r="I33" s="88">
        <v>2.4902951084539033</v>
      </c>
      <c r="J33" s="88">
        <v>3.3641036523556975</v>
      </c>
      <c r="K33" s="88">
        <v>4.2481050232672395</v>
      </c>
      <c r="L33" s="88">
        <v>5.138628515742619</v>
      </c>
      <c r="M33" s="88">
        <v>6.0446903046498708</v>
      </c>
      <c r="N33" s="88">
        <v>6.9558123981800408</v>
      </c>
      <c r="O33" s="88">
        <v>7.8793299082130259</v>
      </c>
      <c r="P33" s="88">
        <v>8.8362371529161425</v>
      </c>
      <c r="Q33" s="88">
        <v>9.8100399313099782</v>
      </c>
      <c r="R33" s="88">
        <v>10.801082143066653</v>
      </c>
      <c r="S33" s="57">
        <f>SUM(F33:R33)</f>
        <v>68.027623374463062</v>
      </c>
    </row>
    <row r="34" spans="2:25" x14ac:dyDescent="0.3">
      <c r="B34" s="90"/>
      <c r="C34" s="94"/>
      <c r="D34" s="94"/>
      <c r="E34" s="94"/>
      <c r="F34" s="88"/>
      <c r="G34" s="88"/>
      <c r="H34" s="88"/>
      <c r="I34" s="88"/>
      <c r="J34" s="88"/>
      <c r="K34" s="88"/>
      <c r="L34" s="88"/>
      <c r="M34" s="88"/>
      <c r="N34" s="88"/>
      <c r="O34" s="88"/>
      <c r="P34" s="88"/>
      <c r="Q34" s="88"/>
      <c r="R34" s="88"/>
      <c r="S34" s="57"/>
    </row>
    <row r="35" spans="2:25" x14ac:dyDescent="0.3">
      <c r="B35" s="90" t="s">
        <v>223</v>
      </c>
      <c r="C35" s="94"/>
      <c r="D35" s="94"/>
      <c r="E35" s="94"/>
      <c r="F35" s="88">
        <v>0</v>
      </c>
      <c r="G35" s="88">
        <v>4.902725598811962</v>
      </c>
      <c r="H35" s="88">
        <v>4.9463268379294485</v>
      </c>
      <c r="I35" s="88">
        <v>4.9905289407528999</v>
      </c>
      <c r="J35" s="88">
        <v>5.0620144670563247</v>
      </c>
      <c r="K35" s="88">
        <v>5.1176887438982313</v>
      </c>
      <c r="L35" s="88">
        <v>6.9823052926782605</v>
      </c>
      <c r="M35" s="88">
        <v>7.0456838142488722</v>
      </c>
      <c r="N35" s="88">
        <v>7.1013364969815438</v>
      </c>
      <c r="O35" s="88">
        <v>7.1566339865655717</v>
      </c>
      <c r="P35" s="88">
        <v>7.2308189385996009</v>
      </c>
      <c r="Q35" s="88">
        <v>7.3062811589850201</v>
      </c>
      <c r="R35" s="88">
        <v>7.3828054674766603</v>
      </c>
      <c r="S35" s="57">
        <f>SUM(F35:R35)</f>
        <v>75.225149743984389</v>
      </c>
    </row>
    <row r="36" spans="2:25" x14ac:dyDescent="0.3">
      <c r="B36" s="90" t="s">
        <v>212</v>
      </c>
      <c r="C36" s="95">
        <f>C12</f>
        <v>133.03356178980181</v>
      </c>
      <c r="D36" s="95">
        <f>D12</f>
        <v>146.40995862476706</v>
      </c>
      <c r="E36" s="95">
        <f>E12</f>
        <v>161.13133931101925</v>
      </c>
      <c r="F36" s="88">
        <f t="shared" ref="F36:R36" si="10">F12*(1+37.5%/2)</f>
        <v>210.58286706070982</v>
      </c>
      <c r="G36" s="88">
        <f t="shared" si="10"/>
        <v>229.82226868958426</v>
      </c>
      <c r="H36" s="88">
        <f t="shared" si="10"/>
        <v>250.1134473715924</v>
      </c>
      <c r="I36" s="88">
        <f t="shared" si="10"/>
        <v>271.48321114633654</v>
      </c>
      <c r="J36" s="88">
        <f t="shared" si="10"/>
        <v>288.42217250302679</v>
      </c>
      <c r="K36" s="88">
        <f t="shared" si="10"/>
        <v>303.80865135411528</v>
      </c>
      <c r="L36" s="88">
        <f t="shared" si="10"/>
        <v>319.44986564615147</v>
      </c>
      <c r="M36" s="88">
        <f t="shared" si="10"/>
        <v>335.74708793210522</v>
      </c>
      <c r="N36" s="88">
        <f t="shared" si="10"/>
        <v>352.38561487311677</v>
      </c>
      <c r="O36" s="88">
        <f t="shared" si="10"/>
        <v>369.60748827246573</v>
      </c>
      <c r="P36" s="88">
        <f t="shared" si="10"/>
        <v>385.11421871296443</v>
      </c>
      <c r="Q36" s="88">
        <f t="shared" si="10"/>
        <v>401.00035633337046</v>
      </c>
      <c r="R36" s="88">
        <f t="shared" si="10"/>
        <v>410.82040016635199</v>
      </c>
      <c r="S36" s="57">
        <f>SUM(F36:R36)</f>
        <v>4128.357650061891</v>
      </c>
    </row>
    <row r="37" spans="2:25" s="59" customFormat="1" x14ac:dyDescent="0.3">
      <c r="B37" s="96" t="s">
        <v>306</v>
      </c>
      <c r="F37" s="93"/>
      <c r="G37" s="97">
        <f t="shared" ref="G37:R37" si="11">(G36-F36)/F36</f>
        <v>9.1362616044769862E-2</v>
      </c>
      <c r="H37" s="97">
        <f t="shared" si="11"/>
        <v>8.8290742223134933E-2</v>
      </c>
      <c r="I37" s="97">
        <f t="shared" si="11"/>
        <v>8.5440283196749442E-2</v>
      </c>
      <c r="J37" s="97">
        <f t="shared" si="11"/>
        <v>6.2394139531374924E-2</v>
      </c>
      <c r="K37" s="97">
        <f t="shared" si="11"/>
        <v>5.3347073553878827E-2</v>
      </c>
      <c r="L37" s="97">
        <f t="shared" si="11"/>
        <v>5.1483768557350901E-2</v>
      </c>
      <c r="M37" s="97">
        <f t="shared" si="11"/>
        <v>5.101652571676419E-2</v>
      </c>
      <c r="N37" s="97">
        <f t="shared" si="11"/>
        <v>4.9556727486423327E-2</v>
      </c>
      <c r="O37" s="97">
        <f t="shared" si="11"/>
        <v>4.8872237323166645E-2</v>
      </c>
      <c r="P37" s="97">
        <f t="shared" si="11"/>
        <v>4.1954589483499623E-2</v>
      </c>
      <c r="Q37" s="97">
        <f t="shared" si="11"/>
        <v>4.1250457263034425E-2</v>
      </c>
      <c r="R37" s="97">
        <f t="shared" si="11"/>
        <v>2.44888656029464E-2</v>
      </c>
      <c r="S37" s="98"/>
      <c r="U37" s="101">
        <v>0.1</v>
      </c>
      <c r="Y37" s="98"/>
    </row>
    <row r="38" spans="2:25" x14ac:dyDescent="0.3">
      <c r="B38" s="90" t="s">
        <v>220</v>
      </c>
      <c r="C38" s="94"/>
      <c r="D38" s="94"/>
      <c r="E38" s="94"/>
      <c r="F38" s="88">
        <v>0</v>
      </c>
      <c r="G38" s="88">
        <v>0.97029569301256735</v>
      </c>
      <c r="H38" s="88">
        <v>1.2316185697990929</v>
      </c>
      <c r="I38" s="88">
        <v>1.5667638207374777</v>
      </c>
      <c r="J38" s="88">
        <v>2.0011460954295455</v>
      </c>
      <c r="K38" s="88">
        <v>2.5580174647271212</v>
      </c>
      <c r="L38" s="88">
        <v>3.2456425274129401</v>
      </c>
      <c r="M38" s="88">
        <v>4.0763350638471163</v>
      </c>
      <c r="N38" s="88">
        <v>5.0825650797672584</v>
      </c>
      <c r="O38" s="88">
        <v>6.3138109433875025</v>
      </c>
      <c r="P38" s="88">
        <v>7.7826240888405138</v>
      </c>
      <c r="Q38" s="88">
        <v>9.5906012284783131</v>
      </c>
      <c r="R38" s="88">
        <v>11.637695745539849</v>
      </c>
      <c r="S38" s="57">
        <f>SUM(F38:R38)</f>
        <v>56.057116320979297</v>
      </c>
      <c r="T38" s="7" t="s">
        <v>290</v>
      </c>
    </row>
    <row r="39" spans="2:25" x14ac:dyDescent="0.3">
      <c r="B39" s="90" t="s">
        <v>222</v>
      </c>
      <c r="C39" s="94"/>
      <c r="D39" s="94"/>
      <c r="E39" s="94"/>
      <c r="F39" s="88">
        <v>0</v>
      </c>
      <c r="G39" s="88">
        <v>2.4155063188889736</v>
      </c>
      <c r="H39" s="88">
        <v>2.4535117021134312</v>
      </c>
      <c r="I39" s="88">
        <v>2.4966906916379097</v>
      </c>
      <c r="J39" s="88">
        <v>3.8255128588380596</v>
      </c>
      <c r="K39" s="88">
        <v>3.9128781762519318</v>
      </c>
      <c r="L39" s="88">
        <v>3.9991020613918971</v>
      </c>
      <c r="M39" s="88">
        <v>5.4522492839881416</v>
      </c>
      <c r="N39" s="88">
        <v>5.5710756206498004</v>
      </c>
      <c r="O39" s="88">
        <v>5.6929744077446074</v>
      </c>
      <c r="P39" s="88">
        <v>7.2290537435639628</v>
      </c>
      <c r="Q39" s="88">
        <v>7.3436934668119376</v>
      </c>
      <c r="R39" s="88">
        <v>7.4601662514329092</v>
      </c>
      <c r="S39" s="57">
        <f>SUM(F39:R39)</f>
        <v>57.852414583313568</v>
      </c>
    </row>
    <row r="40" spans="2:25" x14ac:dyDescent="0.3">
      <c r="B40" s="90" t="s">
        <v>181</v>
      </c>
      <c r="C40" s="95">
        <f>C16</f>
        <v>14.254177592653193</v>
      </c>
      <c r="D40" s="95">
        <f>D16</f>
        <v>14.905475519383717</v>
      </c>
      <c r="E40" s="95">
        <f>E16</f>
        <v>15.586532370233591</v>
      </c>
      <c r="F40" s="88">
        <v>16.516023986794348</v>
      </c>
      <c r="G40" s="88">
        <v>17.467531107375347</v>
      </c>
      <c r="H40" s="88">
        <v>18.426383284690548</v>
      </c>
      <c r="I40" s="88">
        <v>23.347977270753361</v>
      </c>
      <c r="J40" s="88">
        <v>24.569740855115921</v>
      </c>
      <c r="K40" s="88">
        <v>25.950641989059207</v>
      </c>
      <c r="L40" s="88">
        <v>27.354560582606208</v>
      </c>
      <c r="M40" s="88">
        <v>28.834916599813834</v>
      </c>
      <c r="N40" s="88">
        <v>31.124113777548715</v>
      </c>
      <c r="O40" s="88">
        <v>32.731363437009101</v>
      </c>
      <c r="P40" s="88">
        <v>34.533027866625716</v>
      </c>
      <c r="Q40" s="88">
        <v>36.434413477461966</v>
      </c>
      <c r="R40" s="88">
        <v>38.440927650815865</v>
      </c>
      <c r="S40" s="57">
        <f>SUM(F40:R40)</f>
        <v>355.73162188567011</v>
      </c>
    </row>
    <row r="41" spans="2:25" s="59" customFormat="1" x14ac:dyDescent="0.3">
      <c r="B41" s="96" t="s">
        <v>303</v>
      </c>
      <c r="C41" s="94"/>
      <c r="D41" s="94"/>
      <c r="E41" s="94"/>
      <c r="F41" s="93"/>
      <c r="G41" s="97">
        <f t="shared" ref="G41:R41" si="12">(G40-F40)/F40</f>
        <v>5.7611149108392649E-2</v>
      </c>
      <c r="H41" s="97">
        <f t="shared" si="12"/>
        <v>5.4893400299160948E-2</v>
      </c>
      <c r="I41" s="107">
        <f t="shared" si="12"/>
        <v>0.26709495347097717</v>
      </c>
      <c r="J41" s="97">
        <f t="shared" si="12"/>
        <v>5.23284552744957E-2</v>
      </c>
      <c r="K41" s="97">
        <f t="shared" si="12"/>
        <v>5.620332514234698E-2</v>
      </c>
      <c r="L41" s="97">
        <f t="shared" si="12"/>
        <v>5.4099570798244338E-2</v>
      </c>
      <c r="M41" s="97">
        <f t="shared" si="12"/>
        <v>5.4117338596509267E-2</v>
      </c>
      <c r="N41" s="97">
        <f t="shared" si="12"/>
        <v>7.9389762401797973E-2</v>
      </c>
      <c r="O41" s="97">
        <f t="shared" si="12"/>
        <v>5.1640013622484923E-2</v>
      </c>
      <c r="P41" s="97">
        <f t="shared" si="12"/>
        <v>5.5043977409736829E-2</v>
      </c>
      <c r="Q41" s="97">
        <f t="shared" si="12"/>
        <v>5.5059915921066266E-2</v>
      </c>
      <c r="R41" s="97">
        <f t="shared" si="12"/>
        <v>5.5071949342483939E-2</v>
      </c>
      <c r="S41" s="98"/>
      <c r="U41" s="101">
        <f>G41</f>
        <v>5.7611149108392649E-2</v>
      </c>
      <c r="Y41" s="98"/>
    </row>
    <row r="42" spans="2:25" x14ac:dyDescent="0.3">
      <c r="B42" s="90" t="s">
        <v>221</v>
      </c>
      <c r="C42" s="94"/>
      <c r="D42" s="94"/>
      <c r="E42" s="94"/>
      <c r="F42" s="88">
        <v>0</v>
      </c>
      <c r="G42" s="88">
        <v>2.0522233539839561</v>
      </c>
      <c r="H42" s="88">
        <v>2.0839516899301653</v>
      </c>
      <c r="I42" s="88">
        <v>2.1208299842489131</v>
      </c>
      <c r="J42" s="88">
        <v>5.4176574487510623</v>
      </c>
      <c r="K42" s="88">
        <v>5.5402212707727276</v>
      </c>
      <c r="L42" s="88">
        <v>5.6626699417060307</v>
      </c>
      <c r="M42" s="88">
        <v>5.790642083320666</v>
      </c>
      <c r="N42" s="88">
        <v>5.9176099259272199</v>
      </c>
      <c r="O42" s="88">
        <v>6.0477426210379779</v>
      </c>
      <c r="P42" s="88">
        <v>6.1432287679318973</v>
      </c>
      <c r="Q42" s="88">
        <v>6.2402321520013544</v>
      </c>
      <c r="R42" s="88">
        <v>6.3387770312905936</v>
      </c>
      <c r="S42" s="57">
        <f>SUM(F42:R42)</f>
        <v>59.355786270902556</v>
      </c>
    </row>
    <row r="43" spans="2:25" x14ac:dyDescent="0.3">
      <c r="B43" s="90" t="s">
        <v>226</v>
      </c>
      <c r="C43" s="94"/>
      <c r="D43" s="94"/>
      <c r="E43" s="94"/>
      <c r="F43" s="88">
        <v>0</v>
      </c>
      <c r="G43" s="88">
        <v>0</v>
      </c>
      <c r="H43" s="88">
        <v>7.1264714506665854</v>
      </c>
      <c r="I43" s="88">
        <v>7.4753277992098157</v>
      </c>
      <c r="J43" s="88">
        <v>7.8756240865958365</v>
      </c>
      <c r="K43" s="88">
        <v>8.287701040692383</v>
      </c>
      <c r="L43" s="88">
        <v>8.7051301081991426</v>
      </c>
      <c r="M43" s="88">
        <v>9.1420443492415249</v>
      </c>
      <c r="N43" s="88">
        <v>9.5856889135825014</v>
      </c>
      <c r="O43" s="88">
        <v>10.049449970917928</v>
      </c>
      <c r="P43" s="88">
        <v>10.561331093579501</v>
      </c>
      <c r="Q43" s="88">
        <v>11.099844461202197</v>
      </c>
      <c r="R43" s="88">
        <v>11.666051072571166</v>
      </c>
      <c r="S43" s="57">
        <f>SUM(F43:R43)</f>
        <v>101.57466434645858</v>
      </c>
    </row>
    <row r="44" spans="2:25" x14ac:dyDescent="0.3">
      <c r="B44" s="90" t="s">
        <v>273</v>
      </c>
      <c r="C44" s="94"/>
      <c r="D44" s="94"/>
      <c r="E44" s="94"/>
      <c r="F44" s="88">
        <v>0</v>
      </c>
      <c r="G44" s="88">
        <v>1.0188516933319312</v>
      </c>
      <c r="H44" s="88">
        <v>3.5459319949594388</v>
      </c>
      <c r="I44" s="88">
        <v>9.1166923230980821</v>
      </c>
      <c r="J44" s="88">
        <v>12.957341236038237</v>
      </c>
      <c r="K44" s="88">
        <v>16.830300546214779</v>
      </c>
      <c r="L44" s="88">
        <v>20.673903725028445</v>
      </c>
      <c r="M44" s="88">
        <v>41.056062191867831</v>
      </c>
      <c r="N44" s="88">
        <v>47.636616305423807</v>
      </c>
      <c r="O44" s="88">
        <v>54.268898797794755</v>
      </c>
      <c r="P44" s="88">
        <v>61.097987697947573</v>
      </c>
      <c r="Q44" s="88">
        <v>67.998526525523019</v>
      </c>
      <c r="R44" s="88">
        <v>74.974896966677463</v>
      </c>
      <c r="S44" s="57">
        <f>SUM(F44:R44)</f>
        <v>411.17601000390533</v>
      </c>
    </row>
    <row r="45" spans="2:25" x14ac:dyDescent="0.3">
      <c r="B45" s="90" t="s">
        <v>219</v>
      </c>
      <c r="C45" s="94"/>
      <c r="D45" s="94"/>
      <c r="E45" s="94"/>
      <c r="F45" s="88">
        <v>0</v>
      </c>
      <c r="G45" s="88">
        <v>32.091849973906484</v>
      </c>
      <c r="H45" s="88">
        <v>37.51513083853802</v>
      </c>
      <c r="I45" s="88">
        <v>43.933247194100495</v>
      </c>
      <c r="J45" s="88">
        <v>51.62443337440483</v>
      </c>
      <c r="K45" s="88">
        <v>60.76817923228927</v>
      </c>
      <c r="L45" s="88">
        <v>71.459881342040262</v>
      </c>
      <c r="M45" s="88">
        <v>84.050401843316777</v>
      </c>
      <c r="N45" s="88">
        <v>98.813047425309875</v>
      </c>
      <c r="O45" s="88">
        <v>116.17871166922377</v>
      </c>
      <c r="P45" s="88">
        <v>135.80286000487405</v>
      </c>
      <c r="Q45" s="88">
        <v>158.74205964707625</v>
      </c>
      <c r="R45" s="88">
        <v>185.55635767104098</v>
      </c>
      <c r="S45" s="57">
        <f>SUM(F45:R45)</f>
        <v>1076.5361602161213</v>
      </c>
      <c r="T45" s="7" t="s">
        <v>290</v>
      </c>
    </row>
    <row r="46" spans="2:25" x14ac:dyDescent="0.3">
      <c r="B46" s="90" t="s">
        <v>274</v>
      </c>
      <c r="C46" s="94"/>
      <c r="D46" s="94"/>
      <c r="E46" s="94"/>
      <c r="F46" s="88">
        <v>264.2256609237262</v>
      </c>
      <c r="G46" s="88">
        <v>369.06670584943379</v>
      </c>
      <c r="H46" s="88">
        <v>433.06523936311396</v>
      </c>
      <c r="I46" s="88">
        <v>478.82052318092781</v>
      </c>
      <c r="J46" s="88">
        <v>529.187342602635</v>
      </c>
      <c r="K46" s="88">
        <v>575.58243409159093</v>
      </c>
      <c r="L46" s="88">
        <v>653.57563004062376</v>
      </c>
      <c r="M46" s="88">
        <v>748.11042509730294</v>
      </c>
      <c r="N46" s="88">
        <v>811.81569479714483</v>
      </c>
      <c r="O46" s="88">
        <v>883.94895190338161</v>
      </c>
      <c r="P46" s="88">
        <v>966.59911699774216</v>
      </c>
      <c r="Q46" s="88">
        <v>1059.0651724948298</v>
      </c>
      <c r="R46" s="88">
        <v>1163.8579366431886</v>
      </c>
      <c r="S46" s="57">
        <f>SUM(F46:R46)</f>
        <v>8936.9208339856414</v>
      </c>
    </row>
    <row r="47" spans="2:25" x14ac:dyDescent="0.3">
      <c r="B47" s="92" t="s">
        <v>292</v>
      </c>
      <c r="C47" s="93">
        <f t="shared" ref="C47:R47" si="13">SUM(C28,C31,C33,C35,C36,C39,C40,C42,C43,C44)</f>
        <v>160.03722872343201</v>
      </c>
      <c r="D47" s="93">
        <f t="shared" si="13"/>
        <v>176.05503155447209</v>
      </c>
      <c r="E47" s="93">
        <f t="shared" si="13"/>
        <v>193.75852461504107</v>
      </c>
      <c r="F47" s="93">
        <f t="shared" si="13"/>
        <v>248.68858729942349</v>
      </c>
      <c r="G47" s="93">
        <f t="shared" si="13"/>
        <v>285.35584222193552</v>
      </c>
      <c r="H47" s="93">
        <f t="shared" si="13"/>
        <v>323.69884970735336</v>
      </c>
      <c r="I47" s="93">
        <f t="shared" si="13"/>
        <v>364.91957068194978</v>
      </c>
      <c r="J47" s="93">
        <f t="shared" si="13"/>
        <v>403.06582516137831</v>
      </c>
      <c r="K47" s="93">
        <f t="shared" si="13"/>
        <v>437.82830644433301</v>
      </c>
      <c r="L47" s="93">
        <f t="shared" si="13"/>
        <v>477.60770398347432</v>
      </c>
      <c r="M47" s="93">
        <f t="shared" si="13"/>
        <v>538.05880019119866</v>
      </c>
      <c r="N47" s="93">
        <f t="shared" si="13"/>
        <v>589.06643335835747</v>
      </c>
      <c r="O47" s="93">
        <f t="shared" si="13"/>
        <v>645.83922679347586</v>
      </c>
      <c r="P47" s="93">
        <f t="shared" si="13"/>
        <v>710.35144189065909</v>
      </c>
      <c r="Q47" s="93">
        <f t="shared" si="13"/>
        <v>783.17520860480295</v>
      </c>
      <c r="R47" s="93">
        <f t="shared" si="13"/>
        <v>861.55643101138492</v>
      </c>
    </row>
    <row r="48" spans="2:25" x14ac:dyDescent="0.3">
      <c r="B48" s="147" t="s">
        <v>409</v>
      </c>
      <c r="C48" s="93">
        <f>SUM(C28,C31,C33,C35,C36,C39,C40,C42, C43,C44)</f>
        <v>160.03722872343201</v>
      </c>
      <c r="D48" s="93">
        <f>SUM(D28,D31,D33,D35,D36,D39,D40,D42, D43,D44)+SUM(C28,C31,C33,C40,C43,C44)</f>
        <v>203.05869848810229</v>
      </c>
      <c r="E48" s="93">
        <f>SUM(E28,E31,E33,E35,E36,E39,E40,E42, E43,E44)+SUM(D28,D31,D33,D40,D43,D44)+SUM(C28,C31,C40,C43,C44)</f>
        <v>250.40726447837631</v>
      </c>
      <c r="F48" s="93">
        <f>SUM(F28,F31,F33,F35,F36,F39,F40,F42, F43, F44)+SUM(E28,E31,E33,E40,E43,E44)+SUM(D28,D31,D40,D43,D44)+SUM(C28,C31,C40,C43,C44)</f>
        <v>337.9645124667806</v>
      </c>
      <c r="G48" s="93">
        <f>SUM(G28,G31,G33,G35,G36,G39,G40,G42, G43, G44)+SUM(F28,F31,F33,F40,F43,F44)+SUM(E28,E31,E40,E43,E44)+SUM(D28,D31,D40,D43,D44)+SUM(C28,C31,C40,C43,C44)</f>
        <v>412.73748762800625</v>
      </c>
      <c r="H48" s="93">
        <f>SUM(H28,H31,H33,H35,H36,H39,H40,H42, H43, H44)+SUM(G28,G31,G33,G40,G43,G44)+SUM(F28,F31,F40,F43,F44)+SUM(E28,E31,E40,E43,E44)+SUM(D28,D31,D40,D43,D44)+C31</f>
        <v>472.64731783092162</v>
      </c>
      <c r="I48" s="93">
        <f t="shared" ref="I48" si="14">SUM(I28,I31,I33,I35,I36,I39,I40,I42, I43, I44)+SUM(H28,H31,H33,H40,H43,H44)+SUM(G28,G31,G40,G43,G44)+SUM(F28,F31,F40,F43,F44)+SUM(E28,E31,E40,E43,E44)+D31+C31/2</f>
        <v>549.11422655258082</v>
      </c>
      <c r="J48" s="93">
        <f t="shared" ref="J48" si="15">SUM(J28,J31,J33,J35,J36,J39,J40,J42, J43, J44)+SUM(I28,I31,I33,I40,I43,I44)+SUM(H28,H31,H40,H43,H44)+SUM(G28,G31,G40,G43,G44)+SUM(F28,F31,F40,F43,F44)+E31+D31/2</f>
        <v>637.48333629138654</v>
      </c>
      <c r="K48" s="93">
        <f>SUM(K28,K31,K33,K35,K36,K39,K40,K42, K43, K44)+SUM(J28,J31,J33,J40,J43,J44)+SUM(I28,I31,I40,I43,I44)+SUM(H28,H31,H40,H43,H44)+SUM(G28,G31,G40,G43,G44)+F31+E31/2</f>
        <v>732.95260693035891</v>
      </c>
      <c r="L48" s="93">
        <f t="shared" ref="L48" si="16">SUM(L28,L31,L33,L35,L36,L39,L40,L42, L43, L44)+SUM(K28,K31,K33,K40,K43,K44)+SUM(J28,J31,J40,J43,J44)+SUM(I28,I31,I40,I43,I44)+SUM(H28,H31,H40,H43,H44)+G31+F31/2</f>
        <v>844.6279928134486</v>
      </c>
      <c r="M48" s="93">
        <f t="shared" ref="M48" si="17">SUM(M28,M31,M33,M35,M36,M39,M40,M42, M43, M44)+SUM(L28,L31,L33,L40,L43,L44)+SUM(K28,K31,K40,K43,K44)+SUM(J28,J31,J40,J43,J44)+SUM(I28,I31,I40,I43,I44)+H31+G31/2</f>
        <v>981.22669886970891</v>
      </c>
      <c r="N48" s="93">
        <f t="shared" ref="N48" si="18">SUM(N28,N31,N33,N35,N36,N39,N40,N42, N43, N44)+SUM(M28,M31,M33,M40,M43,M44)+SUM(L28,L31,L40,L43,L44)+SUM(K28,K31,K40,K43,K44)+SUM(J28,J31,J40,J43,J44)+I31+H31/2</f>
        <v>1131.3718669584175</v>
      </c>
      <c r="O48" s="93">
        <f t="shared" ref="O48" si="19">SUM(O28,O31,O33,O35,O36,O39,O40,O42, O43, O44)+SUM(N28,N31,N33,N40,N43,N44)+SUM(M28,M31,M40,M43,M44)+SUM(L28,L31,L40,L43,L44)+SUM(K28,K31,K40,K43,K44)+J31+I31/2</f>
        <v>1305.1109282830466</v>
      </c>
      <c r="P48" s="93">
        <f t="shared" ref="P48" si="20">SUM(P28,P31,P33,P35,P36,P39,P40,P42, P43, P44)+SUM(O28,O31,O33,O40,O43,O44)+SUM(N28,N31,N40,N43,N44)+SUM(M28,M31,M40,M43,M44)+SUM(L28,L31,L40,L43,L44)+K31+J31/2</f>
        <v>1507.0636885640326</v>
      </c>
      <c r="Q48" s="93">
        <f t="shared" ref="Q48" si="21">SUM(Q28,Q31,Q33,Q35,Q36,Q39,Q40,Q42, Q43, Q44)+SUM(P28,P31,P33,P40,P43,P44)+SUM(O28,O31,O40,O43,O44)+SUM(N28,N31,N40,N43,N44)+SUM(M28,M31,M40,M43,M44)+L31+K31/2</f>
        <v>1742.9739313155951</v>
      </c>
      <c r="R48" s="93">
        <f>SUM(R28,R31,R33,R35,R36,R39,R40,R42, R43, R44)+SUM(Q28,Q31,Q33,Q40,Q43,Q44)+SUM(P28,P31,P40,P43,P44)+SUM(O28,O31,O40,O43,O44)+SUM(N28,N31,N40,N43,N44)+M31+L31/2</f>
        <v>1999.0598503004137</v>
      </c>
      <c r="W48">
        <f>R48/R47</f>
        <v>2.3202889309916803</v>
      </c>
    </row>
    <row r="50" spans="2:24" ht="18" x14ac:dyDescent="0.35">
      <c r="B50" s="91" t="s">
        <v>367</v>
      </c>
    </row>
    <row r="51" spans="2:24" x14ac:dyDescent="0.3">
      <c r="B51" t="s">
        <v>370</v>
      </c>
    </row>
    <row r="52" spans="2:24" x14ac:dyDescent="0.3">
      <c r="B52" t="s">
        <v>371</v>
      </c>
    </row>
    <row r="53" spans="2:24" x14ac:dyDescent="0.3">
      <c r="X53" t="s">
        <v>416</v>
      </c>
    </row>
    <row r="54" spans="2:24" x14ac:dyDescent="0.3">
      <c r="B54" s="90"/>
      <c r="C54" s="94">
        <v>2015</v>
      </c>
      <c r="D54" s="94">
        <v>2016</v>
      </c>
      <c r="E54" s="94">
        <v>2017</v>
      </c>
      <c r="F54" s="87" t="s">
        <v>275</v>
      </c>
      <c r="G54" s="87" t="s">
        <v>276</v>
      </c>
      <c r="H54" s="87" t="s">
        <v>277</v>
      </c>
      <c r="I54" s="87" t="s">
        <v>278</v>
      </c>
      <c r="J54" s="87" t="s">
        <v>279</v>
      </c>
      <c r="K54" s="87" t="s">
        <v>280</v>
      </c>
      <c r="L54" s="87" t="s">
        <v>281</v>
      </c>
      <c r="M54" s="87" t="s">
        <v>282</v>
      </c>
      <c r="N54" s="87" t="s">
        <v>283</v>
      </c>
      <c r="O54" s="87" t="s">
        <v>284</v>
      </c>
      <c r="P54" s="87" t="s">
        <v>285</v>
      </c>
      <c r="Q54" s="87" t="s">
        <v>286</v>
      </c>
      <c r="R54" s="87" t="s">
        <v>287</v>
      </c>
    </row>
    <row r="55" spans="2:24" x14ac:dyDescent="0.3">
      <c r="B55" s="90" t="s">
        <v>227</v>
      </c>
      <c r="C55" s="110">
        <f t="shared" ref="C55:H55" si="22">C4</f>
        <v>10.3421179505156</v>
      </c>
      <c r="D55" s="110">
        <f t="shared" si="22"/>
        <v>11.932038819791076</v>
      </c>
      <c r="E55" s="110">
        <f t="shared" si="22"/>
        <v>13.766382386878817</v>
      </c>
      <c r="F55" s="77">
        <f t="shared" si="22"/>
        <v>15.8827243930376</v>
      </c>
      <c r="G55" s="77">
        <f t="shared" si="22"/>
        <v>17.999066399196384</v>
      </c>
      <c r="H55" s="77">
        <f t="shared" si="22"/>
        <v>20.349825822813425</v>
      </c>
      <c r="I55" s="77">
        <f>H55+$X55</f>
        <v>21.772862861877094</v>
      </c>
      <c r="J55" s="77">
        <f>I55+$X55</f>
        <v>23.195899900940763</v>
      </c>
      <c r="K55" s="77">
        <f>J55+$X55</f>
        <v>24.618936940004431</v>
      </c>
      <c r="L55" s="77">
        <f t="shared" ref="L55:Q55" si="23">K55+$X55</f>
        <v>26.0419739790681</v>
      </c>
      <c r="M55" s="77">
        <f t="shared" si="23"/>
        <v>27.465011018131769</v>
      </c>
      <c r="N55" s="77">
        <f t="shared" si="23"/>
        <v>28.888048057195437</v>
      </c>
      <c r="O55" s="77">
        <f t="shared" si="23"/>
        <v>30.311085096259106</v>
      </c>
      <c r="P55" s="77">
        <f t="shared" si="23"/>
        <v>31.734122135322774</v>
      </c>
      <c r="Q55" s="77">
        <f t="shared" si="23"/>
        <v>33.157159174386443</v>
      </c>
      <c r="R55" s="77">
        <f>R4*0.5</f>
        <v>34.580196213450122</v>
      </c>
      <c r="X55" s="50">
        <f>(R55-H55)/10</f>
        <v>1.4230370390636697</v>
      </c>
    </row>
    <row r="56" spans="2:24" x14ac:dyDescent="0.3">
      <c r="B56" s="96" t="s">
        <v>297</v>
      </c>
      <c r="C56" s="110"/>
      <c r="D56" s="110"/>
      <c r="E56" s="110"/>
      <c r="F56" s="77"/>
      <c r="G56" s="77"/>
      <c r="H56" s="77"/>
      <c r="I56" s="77"/>
      <c r="J56" s="77"/>
      <c r="K56" s="77"/>
      <c r="L56" s="77"/>
      <c r="M56" s="77"/>
      <c r="N56" s="77"/>
      <c r="O56" s="77"/>
      <c r="P56" s="77"/>
      <c r="Q56" s="77"/>
      <c r="R56" s="77"/>
      <c r="S56" s="77">
        <f>SUM(F56:R56)</f>
        <v>0</v>
      </c>
    </row>
    <row r="57" spans="2:24" x14ac:dyDescent="0.3">
      <c r="B57" s="90" t="s">
        <v>225</v>
      </c>
      <c r="C57" s="110"/>
      <c r="D57" s="110"/>
      <c r="E57" s="110"/>
      <c r="F57" s="77"/>
      <c r="G57" s="77"/>
      <c r="H57" s="77"/>
      <c r="I57" s="77"/>
      <c r="J57" s="77"/>
      <c r="K57" s="77"/>
      <c r="L57" s="77"/>
      <c r="M57" s="77"/>
      <c r="N57" s="77"/>
      <c r="O57" s="77"/>
      <c r="P57" s="77"/>
      <c r="Q57" s="77"/>
      <c r="R57" s="77"/>
    </row>
    <row r="58" spans="2:24" x14ac:dyDescent="0.3">
      <c r="B58" s="90" t="s">
        <v>184</v>
      </c>
      <c r="C58" s="110">
        <f t="shared" ref="C58:H58" si="24">C7</f>
        <v>2.4073713904614022</v>
      </c>
      <c r="D58" s="110">
        <f t="shared" si="24"/>
        <v>2.8075585905302431</v>
      </c>
      <c r="E58" s="110">
        <f t="shared" si="24"/>
        <v>3.2742705469094284</v>
      </c>
      <c r="F58" s="77">
        <f t="shared" si="24"/>
        <v>3.8185659421390019</v>
      </c>
      <c r="G58" s="77">
        <f t="shared" si="24"/>
        <v>4.3628613373685754</v>
      </c>
      <c r="H58" s="77">
        <f t="shared" si="24"/>
        <v>4.975117966770207</v>
      </c>
      <c r="I58" s="77">
        <f>H58+$X58</f>
        <v>5.3903438226520315</v>
      </c>
      <c r="J58" s="77">
        <f>I58+$X58</f>
        <v>5.8055696785338551</v>
      </c>
      <c r="K58" s="77">
        <f>J58+$X58</f>
        <v>6.2207955344156787</v>
      </c>
      <c r="L58" s="77">
        <f t="shared" ref="L58:Q63" si="25">K58+$X58</f>
        <v>6.6360213902975023</v>
      </c>
      <c r="M58" s="77">
        <f t="shared" si="25"/>
        <v>7.0512472461793259</v>
      </c>
      <c r="N58" s="77">
        <f t="shared" si="25"/>
        <v>7.4664731020611494</v>
      </c>
      <c r="O58" s="77">
        <f t="shared" si="25"/>
        <v>7.881698957942973</v>
      </c>
      <c r="P58" s="77">
        <f t="shared" si="25"/>
        <v>8.2969248138247966</v>
      </c>
      <c r="Q58" s="77">
        <f t="shared" si="25"/>
        <v>8.7121506697066202</v>
      </c>
      <c r="R58" s="77">
        <f>R7*0.5</f>
        <v>9.1273765255884474</v>
      </c>
      <c r="X58" s="49">
        <f>(R58-H58)/10</f>
        <v>0.41522585588182404</v>
      </c>
    </row>
    <row r="59" spans="2:24" x14ac:dyDescent="0.3">
      <c r="B59" s="96" t="s">
        <v>299</v>
      </c>
      <c r="C59" s="110"/>
      <c r="D59" s="110"/>
      <c r="E59" s="110"/>
      <c r="F59" s="77"/>
      <c r="G59" s="77"/>
      <c r="H59" s="77"/>
      <c r="I59" s="77"/>
      <c r="J59" s="77"/>
      <c r="K59" s="77"/>
      <c r="L59" s="77"/>
      <c r="M59" s="77"/>
      <c r="N59" s="77"/>
      <c r="O59" s="77"/>
      <c r="P59" s="77"/>
      <c r="Q59" s="77"/>
      <c r="R59" s="77"/>
    </row>
    <row r="60" spans="2:24" x14ac:dyDescent="0.3">
      <c r="B60" s="90" t="s">
        <v>224</v>
      </c>
      <c r="C60" s="110"/>
      <c r="D60" s="110"/>
      <c r="E60" s="110"/>
      <c r="F60" s="77">
        <f>F9</f>
        <v>0</v>
      </c>
      <c r="G60" s="77">
        <f>G9</f>
        <v>0.40711216215981594</v>
      </c>
      <c r="H60" s="77">
        <f>H9</f>
        <v>0.82253745599412675</v>
      </c>
      <c r="I60" s="77">
        <f>H60+$X60</f>
        <v>1.0103107639713804</v>
      </c>
      <c r="J60" s="77">
        <f>I60+$X60</f>
        <v>1.1980840719486341</v>
      </c>
      <c r="K60" s="77">
        <f>J60+$X60</f>
        <v>1.3858573799258878</v>
      </c>
      <c r="L60" s="77">
        <f t="shared" si="25"/>
        <v>1.5736306879031414</v>
      </c>
      <c r="M60" s="77">
        <f t="shared" si="25"/>
        <v>1.7614039958803951</v>
      </c>
      <c r="N60" s="77">
        <f t="shared" si="25"/>
        <v>1.9491773038576488</v>
      </c>
      <c r="O60" s="77">
        <f t="shared" si="25"/>
        <v>2.1369506118349024</v>
      </c>
      <c r="P60" s="77">
        <f t="shared" si="25"/>
        <v>2.3247239198121559</v>
      </c>
      <c r="Q60" s="77">
        <f t="shared" si="25"/>
        <v>2.5124972277894093</v>
      </c>
      <c r="R60" s="77">
        <f>R9*0.5</f>
        <v>2.7002705357666632</v>
      </c>
      <c r="X60" s="49">
        <f>(R60-H60)/10</f>
        <v>0.18777330797725364</v>
      </c>
    </row>
    <row r="61" spans="2:24" x14ac:dyDescent="0.3">
      <c r="B61" s="90"/>
      <c r="C61" s="110"/>
      <c r="D61" s="110"/>
      <c r="E61" s="110"/>
      <c r="F61" s="77">
        <f>F10</f>
        <v>0</v>
      </c>
      <c r="G61" s="77"/>
      <c r="H61" s="77"/>
      <c r="I61" s="77"/>
      <c r="J61" s="77"/>
      <c r="K61" s="77"/>
      <c r="L61" s="77"/>
      <c r="M61" s="77"/>
      <c r="N61" s="77"/>
      <c r="O61" s="77"/>
      <c r="P61" s="77"/>
      <c r="Q61" s="77"/>
      <c r="R61" s="77"/>
    </row>
    <row r="62" spans="2:24" x14ac:dyDescent="0.3">
      <c r="B62" s="90" t="s">
        <v>223</v>
      </c>
      <c r="C62" s="110"/>
      <c r="D62" s="110"/>
      <c r="E62" s="110"/>
      <c r="F62" s="77">
        <f>F11</f>
        <v>0</v>
      </c>
      <c r="G62" s="77">
        <f>G11</f>
        <v>1.5111463098201718</v>
      </c>
      <c r="H62" s="77">
        <f>H11</f>
        <v>1.5288840100340908</v>
      </c>
      <c r="I62" s="77">
        <f t="shared" ref="I62:K63" si="26">H62+$X62</f>
        <v>1.649246931110995</v>
      </c>
      <c r="J62" s="77">
        <f t="shared" si="26"/>
        <v>1.7696098521878991</v>
      </c>
      <c r="K62" s="77">
        <f t="shared" si="26"/>
        <v>1.8899727732648033</v>
      </c>
      <c r="L62" s="77">
        <f t="shared" si="25"/>
        <v>2.0103356943417077</v>
      </c>
      <c r="M62" s="77">
        <f t="shared" si="25"/>
        <v>2.1306986154186118</v>
      </c>
      <c r="N62" s="77">
        <f t="shared" si="25"/>
        <v>2.251061536495516</v>
      </c>
      <c r="O62" s="77">
        <f t="shared" si="25"/>
        <v>2.3714244575724202</v>
      </c>
      <c r="P62" s="77">
        <f t="shared" si="25"/>
        <v>2.4917873786493243</v>
      </c>
      <c r="Q62" s="77">
        <f t="shared" si="25"/>
        <v>2.6121502997262285</v>
      </c>
      <c r="R62" s="77">
        <f>R11*0.5</f>
        <v>2.7325132208031326</v>
      </c>
      <c r="X62" s="49">
        <f>(R62-H62)/10</f>
        <v>0.12036292107690419</v>
      </c>
    </row>
    <row r="63" spans="2:24" x14ac:dyDescent="0.3">
      <c r="B63" s="90" t="s">
        <v>212</v>
      </c>
      <c r="C63" s="77">
        <f>C12</f>
        <v>133.03356178980181</v>
      </c>
      <c r="D63" s="77">
        <f>D12</f>
        <v>146.40995862476706</v>
      </c>
      <c r="E63" s="77">
        <f>E12</f>
        <v>161.13133931101925</v>
      </c>
      <c r="F63" s="77">
        <f>F12</f>
        <v>177.332940682703</v>
      </c>
      <c r="G63" s="77">
        <f>G12</f>
        <v>193.53454205438675</v>
      </c>
      <c r="H63" s="77">
        <f>H12</f>
        <v>210.62185041818307</v>
      </c>
      <c r="I63" s="77">
        <f t="shared" si="26"/>
        <v>206.85736643600063</v>
      </c>
      <c r="J63" s="77">
        <f t="shared" si="26"/>
        <v>203.09288245381819</v>
      </c>
      <c r="K63" s="77">
        <f t="shared" si="26"/>
        <v>199.32839847163575</v>
      </c>
      <c r="L63" s="77">
        <f t="shared" si="25"/>
        <v>195.56391448945331</v>
      </c>
      <c r="M63" s="77">
        <f t="shared" si="25"/>
        <v>191.79943050727087</v>
      </c>
      <c r="N63" s="77">
        <f t="shared" si="25"/>
        <v>188.03494652508843</v>
      </c>
      <c r="O63" s="77">
        <f t="shared" si="25"/>
        <v>184.27046254290599</v>
      </c>
      <c r="P63" s="77">
        <f t="shared" si="25"/>
        <v>180.50597856072355</v>
      </c>
      <c r="Q63" s="77">
        <f t="shared" si="25"/>
        <v>176.74149457854111</v>
      </c>
      <c r="R63" s="77">
        <f>R12*0.5</f>
        <v>172.97701059635872</v>
      </c>
      <c r="X63" s="49">
        <f>(R63-H63)/10</f>
        <v>-3.7644839821824347</v>
      </c>
    </row>
    <row r="64" spans="2:24" x14ac:dyDescent="0.3">
      <c r="B64" s="96" t="s">
        <v>306</v>
      </c>
      <c r="C64" s="110"/>
      <c r="D64" s="110"/>
      <c r="E64" s="110"/>
      <c r="F64" s="77"/>
      <c r="G64" s="77"/>
      <c r="H64" s="77"/>
      <c r="I64" s="77"/>
      <c r="J64" s="77"/>
      <c r="K64" s="77"/>
      <c r="L64" s="77"/>
      <c r="M64" s="77"/>
      <c r="N64" s="77"/>
      <c r="O64" s="77"/>
      <c r="P64" s="77"/>
      <c r="Q64" s="77"/>
      <c r="R64" s="77"/>
    </row>
    <row r="65" spans="2:24" x14ac:dyDescent="0.3">
      <c r="B65" s="90" t="s">
        <v>220</v>
      </c>
      <c r="C65" s="110"/>
      <c r="D65" s="110"/>
      <c r="E65" s="110"/>
      <c r="F65" s="77"/>
      <c r="G65" s="77"/>
      <c r="H65" s="77"/>
      <c r="I65" s="77"/>
      <c r="J65" s="77"/>
      <c r="K65" s="77"/>
      <c r="L65" s="77"/>
      <c r="M65" s="77"/>
      <c r="N65" s="77"/>
      <c r="O65" s="77"/>
      <c r="P65" s="77"/>
      <c r="Q65" s="77"/>
      <c r="R65" s="77"/>
    </row>
    <row r="66" spans="2:24" x14ac:dyDescent="0.3">
      <c r="B66" s="90" t="s">
        <v>222</v>
      </c>
      <c r="C66" s="110">
        <f t="shared" ref="C66:H67" si="27">C15</f>
        <v>0</v>
      </c>
      <c r="D66" s="110">
        <f t="shared" si="27"/>
        <v>0</v>
      </c>
      <c r="E66" s="110">
        <f t="shared" si="27"/>
        <v>0</v>
      </c>
      <c r="F66" s="77">
        <f t="shared" si="27"/>
        <v>0</v>
      </c>
      <c r="G66" s="77">
        <f t="shared" si="27"/>
        <v>1.2077531594444868</v>
      </c>
      <c r="H66" s="77">
        <f t="shared" si="27"/>
        <v>1.2267558510567156</v>
      </c>
      <c r="I66" s="77">
        <f t="shared" ref="I66:K67" si="28">H66+$X66</f>
        <v>1.2905844222368668</v>
      </c>
      <c r="J66" s="77">
        <f t="shared" si="28"/>
        <v>1.3544129934170179</v>
      </c>
      <c r="K66" s="77">
        <f t="shared" si="28"/>
        <v>1.4182415645971691</v>
      </c>
      <c r="L66" s="77">
        <f t="shared" ref="L66:Q67" si="29">K66+$X66</f>
        <v>1.4820701357773203</v>
      </c>
      <c r="M66" s="77">
        <f t="shared" si="29"/>
        <v>1.5458987069574714</v>
      </c>
      <c r="N66" s="77">
        <f t="shared" si="29"/>
        <v>1.6097272781376226</v>
      </c>
      <c r="O66" s="77">
        <f t="shared" si="29"/>
        <v>1.6735558493177738</v>
      </c>
      <c r="P66" s="77">
        <f t="shared" si="29"/>
        <v>1.737384420497925</v>
      </c>
      <c r="Q66" s="77">
        <f t="shared" si="29"/>
        <v>1.8012129916780761</v>
      </c>
      <c r="R66" s="77">
        <f>R15*0.5</f>
        <v>1.8650415628582273</v>
      </c>
      <c r="X66" s="49">
        <f>(R66-H66)/10</f>
        <v>6.3828571180151172E-2</v>
      </c>
    </row>
    <row r="67" spans="2:24" x14ac:dyDescent="0.3">
      <c r="B67" s="90" t="s">
        <v>181</v>
      </c>
      <c r="C67" s="110">
        <f t="shared" si="27"/>
        <v>14.254177592653193</v>
      </c>
      <c r="D67" s="110">
        <f t="shared" si="27"/>
        <v>14.905475519383717</v>
      </c>
      <c r="E67" s="110">
        <f t="shared" si="27"/>
        <v>15.586532370233591</v>
      </c>
      <c r="F67" s="77">
        <f t="shared" si="27"/>
        <v>16.298707881704949</v>
      </c>
      <c r="G67" s="77">
        <f t="shared" si="27"/>
        <v>17.010883393176307</v>
      </c>
      <c r="H67" s="77">
        <f t="shared" si="27"/>
        <v>17.708554563868702</v>
      </c>
      <c r="I67" s="77">
        <f t="shared" si="28"/>
        <v>17.553090489419048</v>
      </c>
      <c r="J67" s="77">
        <f t="shared" si="28"/>
        <v>17.397626414969395</v>
      </c>
      <c r="K67" s="77">
        <f t="shared" si="28"/>
        <v>17.242162340519741</v>
      </c>
      <c r="L67" s="77">
        <f t="shared" si="29"/>
        <v>17.086698266070087</v>
      </c>
      <c r="M67" s="77">
        <f t="shared" si="29"/>
        <v>16.931234191620433</v>
      </c>
      <c r="N67" s="77">
        <f t="shared" si="29"/>
        <v>16.775770117170779</v>
      </c>
      <c r="O67" s="77">
        <f t="shared" si="29"/>
        <v>16.620306042721126</v>
      </c>
      <c r="P67" s="77">
        <f t="shared" si="29"/>
        <v>16.464841968271472</v>
      </c>
      <c r="Q67" s="77">
        <f t="shared" si="29"/>
        <v>16.309377893821818</v>
      </c>
      <c r="R67" s="77">
        <f>R16*0.5</f>
        <v>16.153913819372178</v>
      </c>
      <c r="X67" s="49">
        <f>(R67-H67)/10</f>
        <v>-0.15546407444965241</v>
      </c>
    </row>
    <row r="68" spans="2:24" x14ac:dyDescent="0.3">
      <c r="B68" s="96" t="s">
        <v>303</v>
      </c>
      <c r="C68" s="110"/>
      <c r="D68" s="110"/>
      <c r="E68" s="110"/>
      <c r="F68" s="77"/>
      <c r="G68" s="77"/>
      <c r="H68" s="77"/>
      <c r="I68" s="77"/>
      <c r="J68" s="77"/>
      <c r="K68" s="77"/>
      <c r="L68" s="77"/>
      <c r="M68" s="77"/>
      <c r="N68" s="77"/>
      <c r="O68" s="77"/>
      <c r="P68" s="77"/>
      <c r="Q68" s="77"/>
      <c r="R68" s="77"/>
    </row>
    <row r="69" spans="2:24" x14ac:dyDescent="0.3">
      <c r="B69" s="90" t="s">
        <v>221</v>
      </c>
      <c r="C69" s="110">
        <f t="shared" ref="C69:H71" si="30">C18</f>
        <v>0</v>
      </c>
      <c r="D69" s="110">
        <f t="shared" si="30"/>
        <v>0</v>
      </c>
      <c r="E69" s="110">
        <f t="shared" si="30"/>
        <v>0</v>
      </c>
      <c r="F69" s="77">
        <f t="shared" si="30"/>
        <v>0</v>
      </c>
      <c r="G69" s="77">
        <f t="shared" si="30"/>
        <v>1.026111676991978</v>
      </c>
      <c r="H69" s="77">
        <f t="shared" si="30"/>
        <v>1.0419758449650827</v>
      </c>
      <c r="I69" s="77">
        <f t="shared" ref="I69:K71" si="31">H69+$X69</f>
        <v>1.0011660307814803</v>
      </c>
      <c r="J69" s="77">
        <f t="shared" si="31"/>
        <v>0.96035621659787795</v>
      </c>
      <c r="K69" s="77">
        <f t="shared" si="31"/>
        <v>0.91954640241427565</v>
      </c>
      <c r="L69" s="77">
        <f t="shared" ref="L69:Q71" si="32">K69+$X69</f>
        <v>0.87873658823067335</v>
      </c>
      <c r="M69" s="77">
        <f t="shared" si="32"/>
        <v>0.83792677404707105</v>
      </c>
      <c r="N69" s="77">
        <f t="shared" si="32"/>
        <v>0.79711695986346875</v>
      </c>
      <c r="O69" s="77">
        <f t="shared" si="32"/>
        <v>0.75630714567986645</v>
      </c>
      <c r="P69" s="77">
        <f t="shared" si="32"/>
        <v>0.71549733149626416</v>
      </c>
      <c r="Q69" s="77">
        <f t="shared" si="32"/>
        <v>0.67468751731266186</v>
      </c>
      <c r="R69" s="77">
        <f>R18*0.5</f>
        <v>0.63387770312905933</v>
      </c>
      <c r="X69" s="49">
        <f>(R69-H69)/10</f>
        <v>-4.0809814183602335E-2</v>
      </c>
    </row>
    <row r="70" spans="2:24" x14ac:dyDescent="0.3">
      <c r="B70" s="90" t="s">
        <v>226</v>
      </c>
      <c r="C70" s="110">
        <f t="shared" si="30"/>
        <v>0</v>
      </c>
      <c r="D70" s="110">
        <f t="shared" si="30"/>
        <v>0</v>
      </c>
      <c r="E70" s="110">
        <f t="shared" si="30"/>
        <v>0</v>
      </c>
      <c r="F70" s="77">
        <f t="shared" si="30"/>
        <v>0</v>
      </c>
      <c r="G70" s="77">
        <f t="shared" si="30"/>
        <v>0</v>
      </c>
      <c r="H70" s="77">
        <f t="shared" si="30"/>
        <v>7.1264714506665854</v>
      </c>
      <c r="I70" s="77">
        <f t="shared" si="31"/>
        <v>6.8941791803232757</v>
      </c>
      <c r="J70" s="77">
        <f t="shared" si="31"/>
        <v>6.661886909979966</v>
      </c>
      <c r="K70" s="77">
        <f t="shared" si="31"/>
        <v>6.4295946396366563</v>
      </c>
      <c r="L70" s="77">
        <f t="shared" si="32"/>
        <v>6.1973023692933467</v>
      </c>
      <c r="M70" s="77">
        <f t="shared" si="32"/>
        <v>5.965010098950037</v>
      </c>
      <c r="N70" s="77">
        <f t="shared" si="32"/>
        <v>5.7327178286067273</v>
      </c>
      <c r="O70" s="77">
        <f t="shared" si="32"/>
        <v>5.5004255582634176</v>
      </c>
      <c r="P70" s="77">
        <f t="shared" si="32"/>
        <v>5.2681332879201079</v>
      </c>
      <c r="Q70" s="77">
        <f t="shared" si="32"/>
        <v>5.0358410175767983</v>
      </c>
      <c r="R70" s="77">
        <f>R19*0.5</f>
        <v>4.803548747233493</v>
      </c>
      <c r="X70" s="49">
        <f>(R70-H70)/10</f>
        <v>-0.23229227034330924</v>
      </c>
    </row>
    <row r="71" spans="2:24" x14ac:dyDescent="0.3">
      <c r="B71" s="90" t="s">
        <v>273</v>
      </c>
      <c r="C71" s="110">
        <f t="shared" si="30"/>
        <v>0</v>
      </c>
      <c r="D71" s="110">
        <f t="shared" si="30"/>
        <v>0</v>
      </c>
      <c r="E71" s="110">
        <f t="shared" si="30"/>
        <v>0</v>
      </c>
      <c r="F71" s="77">
        <f t="shared" si="30"/>
        <v>0</v>
      </c>
      <c r="G71" s="77">
        <f t="shared" si="30"/>
        <v>1.0188516933319312</v>
      </c>
      <c r="H71" s="77">
        <f t="shared" si="30"/>
        <v>2.279527711045354</v>
      </c>
      <c r="I71" s="77">
        <f t="shared" si="31"/>
        <v>3.9917148175872965</v>
      </c>
      <c r="J71" s="77">
        <f t="shared" si="31"/>
        <v>5.703901924129239</v>
      </c>
      <c r="K71" s="77">
        <f t="shared" si="31"/>
        <v>7.4160890306711815</v>
      </c>
      <c r="L71" s="77">
        <f t="shared" si="32"/>
        <v>9.128276137213124</v>
      </c>
      <c r="M71" s="77">
        <f t="shared" si="32"/>
        <v>10.840463243755067</v>
      </c>
      <c r="N71" s="77">
        <f t="shared" si="32"/>
        <v>12.552650350297011</v>
      </c>
      <c r="O71" s="77">
        <f t="shared" si="32"/>
        <v>14.264837456838954</v>
      </c>
      <c r="P71" s="77">
        <f t="shared" si="32"/>
        <v>15.977024563380898</v>
      </c>
      <c r="Q71" s="77">
        <f t="shared" si="32"/>
        <v>17.689211669922841</v>
      </c>
      <c r="R71" s="77">
        <f>R20*0.5</f>
        <v>19.401398776464781</v>
      </c>
      <c r="X71" s="49">
        <f>(R71-H71)/10</f>
        <v>1.7121871065419427</v>
      </c>
    </row>
    <row r="72" spans="2:24" x14ac:dyDescent="0.3">
      <c r="B72" s="90" t="s">
        <v>219</v>
      </c>
      <c r="C72" s="110"/>
      <c r="D72" s="110"/>
      <c r="E72" s="110"/>
      <c r="F72" s="77"/>
      <c r="G72" s="77"/>
      <c r="H72" s="77"/>
      <c r="I72" s="77"/>
      <c r="J72" s="77"/>
      <c r="K72" s="77"/>
      <c r="L72" s="77"/>
      <c r="M72" s="77"/>
      <c r="N72" s="77"/>
      <c r="O72" s="77"/>
      <c r="P72" s="77"/>
      <c r="Q72" s="77"/>
      <c r="R72" s="77"/>
    </row>
    <row r="73" spans="2:24" x14ac:dyDescent="0.3">
      <c r="B73" s="90" t="s">
        <v>274</v>
      </c>
      <c r="C73" s="110"/>
      <c r="D73" s="110"/>
      <c r="E73" s="110"/>
      <c r="F73" s="77"/>
      <c r="G73" s="77"/>
      <c r="H73" s="77"/>
      <c r="I73" s="77"/>
      <c r="J73" s="77"/>
      <c r="K73" s="77"/>
      <c r="L73" s="77"/>
      <c r="M73" s="77"/>
      <c r="N73" s="77"/>
      <c r="O73" s="77"/>
      <c r="P73" s="77"/>
      <c r="Q73" s="77"/>
      <c r="R73" s="77"/>
    </row>
    <row r="74" spans="2:24" x14ac:dyDescent="0.3">
      <c r="B74" s="92" t="s">
        <v>292</v>
      </c>
      <c r="C74" s="93">
        <f>SUM(C55,C58,C60,C62,C63,C66,C67,C69,C70,C71)</f>
        <v>160.03722872343201</v>
      </c>
      <c r="D74" s="93">
        <f t="shared" ref="D74:R74" si="33">SUM(D55,D58,D60,D62,D63,D66,D67,D69,D70,D71)</f>
        <v>176.05503155447209</v>
      </c>
      <c r="E74" s="93">
        <f t="shared" si="33"/>
        <v>193.75852461504107</v>
      </c>
      <c r="F74" s="93">
        <f t="shared" si="33"/>
        <v>213.33293889958455</v>
      </c>
      <c r="G74" s="93">
        <f t="shared" si="33"/>
        <v>238.07832818587636</v>
      </c>
      <c r="H74" s="93">
        <f t="shared" si="33"/>
        <v>267.68150109539738</v>
      </c>
      <c r="I74" s="93">
        <f t="shared" si="33"/>
        <v>267.41086575596006</v>
      </c>
      <c r="J74" s="93">
        <f t="shared" si="33"/>
        <v>267.14023041652285</v>
      </c>
      <c r="K74" s="93">
        <f t="shared" si="33"/>
        <v>266.86959507708559</v>
      </c>
      <c r="L74" s="93">
        <f t="shared" si="33"/>
        <v>266.59895973764827</v>
      </c>
      <c r="M74" s="93">
        <f t="shared" si="33"/>
        <v>266.32832439821107</v>
      </c>
      <c r="N74" s="93">
        <f t="shared" si="33"/>
        <v>266.05768905877375</v>
      </c>
      <c r="O74" s="93">
        <f t="shared" si="33"/>
        <v>265.78705371933654</v>
      </c>
      <c r="P74" s="93">
        <f t="shared" si="33"/>
        <v>265.51641837989928</v>
      </c>
      <c r="Q74" s="93">
        <f t="shared" si="33"/>
        <v>265.24578304046202</v>
      </c>
      <c r="R74" s="93">
        <f t="shared" si="33"/>
        <v>264.97514770102481</v>
      </c>
      <c r="X74" s="49">
        <f>(R74-F74)/12</f>
        <v>4.3035174001200218</v>
      </c>
    </row>
    <row r="75" spans="2:24" x14ac:dyDescent="0.3">
      <c r="B75" s="147" t="s">
        <v>409</v>
      </c>
      <c r="C75" s="93">
        <f>SUM(C55,C58,C60,C62,C63,C66,C67,C69, C70,C71)</f>
        <v>160.03722872343201</v>
      </c>
      <c r="D75" s="93">
        <f>SUM(D55,D58,D60,D62,D63,D66,D67,D69, D70,D71)+SUM(C55,C58,C60,C67,C70,C71)</f>
        <v>203.05869848810229</v>
      </c>
      <c r="E75" s="93">
        <f>SUM(E55,E58,E60,E62,E63,E66,E67,E69, E70,E71)+SUM(D55,D58,D60,D67,D70,D71)+SUM(C55,C58,C67,C70,C71)</f>
        <v>250.40726447837631</v>
      </c>
      <c r="F75" s="93">
        <f>SUM(F55,F58,F60,F62,F63,F66,F67,F69, F70, F71)+SUM(E55,E58,E60,E67,E70,E71)+SUM(D55,D58,D67,D70,D71)+SUM(C55,C58,C67,C70,C71)</f>
        <v>302.60886406694163</v>
      </c>
      <c r="G75" s="93">
        <f>SUM(G55,G58,G60,G62,G63,G66,G67,G69, G70, G71)+SUM(F55,F58,F60,F67,F70,F71)+SUM(E55,E58,E67,E70,E71)+SUM(D55,D58,D67,D70,D71)+SUM(C55,C58,C67,C70,C71)</f>
        <v>363.35425157011497</v>
      </c>
      <c r="H75" s="93">
        <f>SUM(H55,H58,H60,H62,H63,H66,H67,H69, H70, H71)+SUM(G55,G58,G60,G67,G70,G71)+SUM(F55,F58,F67,F70,F71)+SUM(E55,E58,E67,E70,E71)+SUM(D55,D58,D67,D70,D71)+C58</f>
        <v>409.15990392170028</v>
      </c>
      <c r="I75" s="93">
        <f t="shared" ref="I75" si="34">SUM(I55,I58,I60,I62,I63,I66,I67,I69, I70, I71)+SUM(H55,H58,H60,H67,H70,H71)+SUM(G55,G58,G67,G70,G71)+SUM(F55,F58,F67,F70,F71)+SUM(E55,E58,E67,E70,E71)+D58+C58/2</f>
        <v>433.70299135685599</v>
      </c>
      <c r="J75" s="93">
        <f t="shared" ref="J75" si="35">SUM(J55,J58,J60,J62,J63,J66,J67,J69, J70, J71)+SUM(I55,I58,I60,I67,I70,I71)+SUM(H55,H58,H67,H70,H71)+SUM(G55,G58,G67,G70,G71)+SUM(F55,F58,F67,F70,F71)+E58+D58/2</f>
        <v>457.2619407496465</v>
      </c>
      <c r="K75" s="93">
        <f t="shared" ref="K75" si="36">SUM(K55,K58,K60,K62,K63,K66,K67,K69, K70, K71)+SUM(J55,J58,J60,J67,J70,J71)+SUM(I55,I58,I67,I70,I71)+SUM(H55,H58,H67,H70,H71)+SUM(G55,G58,G67,G70,G71)+F58+E58/2</f>
        <v>480.72161670327733</v>
      </c>
      <c r="L75" s="93">
        <f t="shared" ref="L75" si="37">SUM(L55,L58,L60,L62,L63,L66,L67,L69, L70, L71)+SUM(K55,K58,K60,K67,K70,K71)+SUM(J55,J58,J67,J70,J71)+SUM(I55,I58,I67,I70,I71)+SUM(H55,H58,H67,H70,H71)+G58+F58/2</f>
        <v>502.99111342683614</v>
      </c>
      <c r="M75" s="93">
        <f t="shared" ref="M75" si="38">SUM(M55,M58,M60,M62,M63,M66,M67,M69, M70, M71)+SUM(L55,L58,L60,L67,L70,L71)+SUM(K55,K58,K67,K70,K71)+SUM(J55,J58,J67,J70,J71)+SUM(I55,I58,I67,I70,I71)+H58+G58/2</f>
        <v>516.44343034917051</v>
      </c>
      <c r="N75" s="93">
        <f t="shared" ref="N75" si="39">SUM(N55,N58,N60,N62,N63,N66,N67,N69, N70, N71)+SUM(M55,M58,M60,M67,M70,M71)+SUM(L55,L58,L67,L70,L71)+SUM(K55,K58,K67,K70,K71)+SUM(J55,J58,J67,J70,J71)+I58+H58/2</f>
        <v>529.73269711507101</v>
      </c>
      <c r="O75" s="93">
        <f t="shared" ref="O75" si="40">SUM(O55,O58,O60,O62,O63,O66,O67,O69, O70, O71)+SUM(N55,N58,N60,N67,N70,N71)+SUM(M55,M58,M67,M70,M71)+SUM(L55,L58,L67,L70,L71)+SUM(K55,K58,K67,K70,K71)+J58+I58/2</f>
        <v>542.92344849421158</v>
      </c>
      <c r="P75" s="93">
        <f t="shared" ref="P75" si="41">SUM(P55,P58,P60,P62,P63,P66,P67,P69, P70, P71)+SUM(O55,O58,O60,O67,O70,O71)+SUM(N55,N58,N67,N70,N71)+SUM(M55,M58,M67,M70,M71)+SUM(L55,L58,L67,L70,L71)+K58+J58/2</f>
        <v>556.11419987335216</v>
      </c>
      <c r="Q75" s="93">
        <f t="shared" ref="Q75" si="42">SUM(Q55,Q58,Q60,Q62,Q63,Q66,Q67,Q69, Q70, Q71)+SUM(P55,P58,P60,P67,P70,P71)+SUM(O55,O58,O67,O70,O71)+SUM(N55,N58,N67,N70,N71)+SUM(M55,M58,M67,M70,M71)+L58+K58/2</f>
        <v>569.30495125249286</v>
      </c>
      <c r="R75" s="93">
        <f>SUM(R55,R58,R60,R62,R63,R66,R67,R69, R70, R71)+SUM(Q55,Q58,Q60,Q67,Q70,Q71)+SUM(P55,P58,P67,P70,P71)+SUM(O55,O58,O67,O70,O71)+SUM(N55,N58,N67,N70,N71)+M58+L58/2</f>
        <v>582.49570263163343</v>
      </c>
    </row>
    <row r="76" spans="2:24" x14ac:dyDescent="0.3">
      <c r="B76" s="147"/>
      <c r="F76" s="77"/>
      <c r="G76" s="77"/>
      <c r="H76" s="77"/>
      <c r="I76" s="77"/>
      <c r="J76" s="77"/>
      <c r="K76" s="77"/>
      <c r="L76" s="77"/>
      <c r="M76" s="77"/>
      <c r="N76" s="77"/>
      <c r="O76" s="77"/>
      <c r="P76" s="77"/>
      <c r="Q76" s="77"/>
      <c r="R76" s="77"/>
    </row>
    <row r="77" spans="2:24" x14ac:dyDescent="0.3">
      <c r="B77" s="147"/>
      <c r="F77" s="77"/>
      <c r="G77" s="77"/>
      <c r="H77" s="77"/>
      <c r="I77" s="77"/>
      <c r="J77" s="77"/>
      <c r="K77" s="77"/>
      <c r="L77" s="77"/>
      <c r="M77" s="77"/>
      <c r="N77" s="77"/>
      <c r="O77" s="77"/>
      <c r="P77" s="77"/>
      <c r="Q77" s="77"/>
      <c r="R77" s="77"/>
    </row>
    <row r="78" spans="2:24" x14ac:dyDescent="0.3">
      <c r="B78" s="59"/>
      <c r="F78" s="77"/>
      <c r="G78" s="77"/>
      <c r="H78" s="77"/>
      <c r="I78" s="77"/>
      <c r="J78" s="77"/>
      <c r="K78" s="77"/>
      <c r="L78" s="77"/>
      <c r="M78" s="77"/>
      <c r="N78" s="77"/>
      <c r="O78" s="77"/>
      <c r="P78" s="77"/>
      <c r="Q78" s="77"/>
      <c r="R78" s="77"/>
    </row>
    <row r="79" spans="2:24" ht="18" x14ac:dyDescent="0.35">
      <c r="B79" s="5" t="s">
        <v>305</v>
      </c>
      <c r="C79"/>
      <c r="D79"/>
      <c r="E79"/>
    </row>
    <row r="80" spans="2:24" ht="18" x14ac:dyDescent="0.35">
      <c r="B80" s="5" t="s">
        <v>288</v>
      </c>
      <c r="C80"/>
      <c r="D80"/>
      <c r="E80"/>
    </row>
    <row r="81" spans="2:25" x14ac:dyDescent="0.3">
      <c r="B81" s="86" t="s">
        <v>7</v>
      </c>
      <c r="C81" s="94">
        <v>2015</v>
      </c>
      <c r="D81" s="94">
        <v>2016</v>
      </c>
      <c r="E81" s="94">
        <v>2017</v>
      </c>
      <c r="F81" s="86" t="s">
        <v>275</v>
      </c>
      <c r="G81" s="86" t="s">
        <v>276</v>
      </c>
      <c r="H81" s="86" t="s">
        <v>277</v>
      </c>
      <c r="I81" s="86" t="s">
        <v>278</v>
      </c>
      <c r="J81" s="86" t="s">
        <v>279</v>
      </c>
      <c r="K81" s="86" t="s">
        <v>280</v>
      </c>
      <c r="L81" s="86" t="s">
        <v>281</v>
      </c>
      <c r="M81" s="86" t="s">
        <v>282</v>
      </c>
      <c r="N81" s="86" t="s">
        <v>283</v>
      </c>
      <c r="O81" s="86" t="s">
        <v>284</v>
      </c>
      <c r="P81" s="86" t="s">
        <v>285</v>
      </c>
      <c r="Q81" s="86" t="s">
        <v>286</v>
      </c>
      <c r="R81" s="86" t="s">
        <v>287</v>
      </c>
      <c r="W81" t="s">
        <v>135</v>
      </c>
      <c r="X81" s="59">
        <v>5</v>
      </c>
    </row>
    <row r="82" spans="2:25" x14ac:dyDescent="0.3">
      <c r="B82" s="103" t="s">
        <v>227</v>
      </c>
      <c r="C82" s="95">
        <f>D82*(100%-$U83)</f>
        <v>0.26955057182976594</v>
      </c>
      <c r="D82" s="95">
        <f>E82*(100%-$U83)</f>
        <v>0.30999975441492827</v>
      </c>
      <c r="E82" s="95">
        <f>F82*(100%-$U83)</f>
        <v>0.35651880493137106</v>
      </c>
      <c r="F82" s="88">
        <v>0.41001857730366043</v>
      </c>
      <c r="G82" s="88">
        <v>0.46351834967594979</v>
      </c>
      <c r="H82" s="88">
        <v>0.52186005079298625</v>
      </c>
      <c r="I82" s="88">
        <v>0.58928024864764184</v>
      </c>
      <c r="J82" s="88">
        <v>0.66521865533351565</v>
      </c>
      <c r="K82" s="88">
        <v>0.74943081641200726</v>
      </c>
      <c r="L82" s="88">
        <v>0.84441364363092453</v>
      </c>
      <c r="M82" s="88">
        <v>0.95141584510650068</v>
      </c>
      <c r="N82" s="88">
        <v>1.0708475781562941</v>
      </c>
      <c r="O82" s="88">
        <v>1.2065507415552472</v>
      </c>
      <c r="P82" s="88">
        <v>1.3587753573307566</v>
      </c>
      <c r="Q82" s="88">
        <v>1.5301159369633268</v>
      </c>
      <c r="R82" s="88">
        <v>1.7231063529846986</v>
      </c>
      <c r="V82">
        <v>6.5</v>
      </c>
      <c r="W82" s="59"/>
      <c r="X82" s="59"/>
    </row>
    <row r="83" spans="2:25" s="59" customFormat="1" x14ac:dyDescent="0.3">
      <c r="B83" s="96" t="s">
        <v>297</v>
      </c>
      <c r="C83" s="95"/>
      <c r="D83" s="95"/>
      <c r="E83" s="95"/>
      <c r="F83" s="93"/>
      <c r="G83" s="97">
        <f>(G82-F82)/F82</f>
        <v>0.13048133751429353</v>
      </c>
      <c r="H83" s="97">
        <f t="shared" ref="H83" si="43">(H82-G82)/G82</f>
        <v>0.12586707982073139</v>
      </c>
      <c r="I83" s="97">
        <f t="shared" ref="I83" si="44">(I82-H82)/H82</f>
        <v>0.12919210380677351</v>
      </c>
      <c r="J83" s="97">
        <f t="shared" ref="J83" si="45">(J82-I82)/I82</f>
        <v>0.12886637022053141</v>
      </c>
      <c r="K83" s="97">
        <f t="shared" ref="K83" si="46">(K82-J82)/J82</f>
        <v>0.12659320420932993</v>
      </c>
      <c r="L83" s="97">
        <f t="shared" ref="L83" si="47">(L82-K82)/K82</f>
        <v>0.12673995402759031</v>
      </c>
      <c r="M83" s="97">
        <f t="shared" ref="M83" si="48">(M82-L82)/L82</f>
        <v>0.12671775531180848</v>
      </c>
      <c r="N83" s="97">
        <f t="shared" ref="N83" si="49">(N82-M82)/M82</f>
        <v>0.12553052764895281</v>
      </c>
      <c r="O83" s="97">
        <f t="shared" ref="O83" si="50">(O82-N82)/N82</f>
        <v>0.12672500378867813</v>
      </c>
      <c r="P83" s="97">
        <f t="shared" ref="P83" si="51">(P82-O82)/O82</f>
        <v>0.12616511724926829</v>
      </c>
      <c r="Q83" s="97">
        <f t="shared" ref="Q83" si="52">(Q82-P82)/P82</f>
        <v>0.12609926924871515</v>
      </c>
      <c r="R83" s="97">
        <f t="shared" ref="R83" si="53">(R82-Q82)/Q82</f>
        <v>0.126127969364453</v>
      </c>
      <c r="S83" s="98"/>
      <c r="U83" s="99">
        <f>G83</f>
        <v>0.13048133751429353</v>
      </c>
      <c r="W83"/>
      <c r="X83"/>
      <c r="Y83" s="98"/>
    </row>
    <row r="84" spans="2:25" x14ac:dyDescent="0.3">
      <c r="B84" s="103" t="s">
        <v>225</v>
      </c>
      <c r="F84" s="88">
        <v>0</v>
      </c>
      <c r="G84" s="88">
        <v>0</v>
      </c>
      <c r="H84" s="88">
        <v>0</v>
      </c>
      <c r="I84" s="88">
        <v>0</v>
      </c>
      <c r="J84" s="88">
        <v>0</v>
      </c>
      <c r="K84" s="88">
        <v>0</v>
      </c>
      <c r="L84" s="88">
        <v>0</v>
      </c>
      <c r="M84" s="88">
        <v>0</v>
      </c>
      <c r="N84" s="88">
        <v>0</v>
      </c>
      <c r="O84" s="88">
        <v>0</v>
      </c>
      <c r="P84" s="88">
        <v>0</v>
      </c>
      <c r="Q84" s="88">
        <v>0</v>
      </c>
      <c r="R84" s="88">
        <v>0</v>
      </c>
      <c r="V84">
        <v>2</v>
      </c>
      <c r="W84" t="s">
        <v>112</v>
      </c>
      <c r="X84">
        <v>6.5</v>
      </c>
    </row>
    <row r="85" spans="2:25" x14ac:dyDescent="0.3">
      <c r="B85" s="103" t="s">
        <v>184</v>
      </c>
      <c r="C85" s="95">
        <f>D85*(100%-$U86)</f>
        <v>0.25424133046089065</v>
      </c>
      <c r="D85" s="95">
        <f>E85*(100%-$U86)</f>
        <v>0.29641414651068554</v>
      </c>
      <c r="E85" s="95">
        <f>F85*(100%-$U86)</f>
        <v>0.34558246722664027</v>
      </c>
      <c r="F85" s="88">
        <v>0.402906686675788</v>
      </c>
      <c r="G85" s="88">
        <v>0.46023090612493572</v>
      </c>
      <c r="H85" s="88">
        <v>0.52484490119540084</v>
      </c>
      <c r="I85" s="88">
        <v>0.5980662852543237</v>
      </c>
      <c r="J85" s="88">
        <v>0.6811524640862151</v>
      </c>
      <c r="K85" s="88">
        <v>0.77591344556050879</v>
      </c>
      <c r="L85" s="88">
        <v>0.88399804561282791</v>
      </c>
      <c r="M85" s="88">
        <v>1.0070227534431373</v>
      </c>
      <c r="N85" s="88">
        <v>1.1468288134732185</v>
      </c>
      <c r="O85" s="88">
        <v>1.3057744208394513</v>
      </c>
      <c r="P85" s="88">
        <v>1.4866336333941168</v>
      </c>
      <c r="Q85" s="88">
        <v>1.6924661561701826</v>
      </c>
      <c r="R85" s="88">
        <v>1.9267308217747088</v>
      </c>
      <c r="V85" s="59"/>
      <c r="W85" s="59"/>
      <c r="X85" s="59"/>
    </row>
    <row r="86" spans="2:25" s="59" customFormat="1" x14ac:dyDescent="0.3">
      <c r="B86" s="96" t="s">
        <v>299</v>
      </c>
      <c r="C86" s="94"/>
      <c r="D86" s="94"/>
      <c r="E86" s="94"/>
      <c r="F86" s="93"/>
      <c r="G86" s="97">
        <f>(G85-F85)/F85</f>
        <v>0.14227666441107126</v>
      </c>
      <c r="H86" s="97">
        <f t="shared" ref="H86" si="54">(H85-G85)/G85</f>
        <v>0.14039473275383377</v>
      </c>
      <c r="I86" s="97">
        <f t="shared" ref="I86" si="55">(I85-H85)/H85</f>
        <v>0.13951051804476308</v>
      </c>
      <c r="J86" s="97">
        <f t="shared" ref="J86" si="56">(J85-I85)/I85</f>
        <v>0.13892469928573145</v>
      </c>
      <c r="K86" s="97">
        <f t="shared" ref="K86" si="57">(K85-J85)/J85</f>
        <v>0.13911860628944236</v>
      </c>
      <c r="L86" s="97">
        <f t="shared" ref="L86" si="58">(L85-K85)/K85</f>
        <v>0.13929981581159526</v>
      </c>
      <c r="M86" s="97">
        <f t="shared" ref="M86" si="59">(M85-L85)/L85</f>
        <v>0.1391685292075765</v>
      </c>
      <c r="N86" s="97">
        <f t="shared" ref="N86" si="60">(N85-M85)/M85</f>
        <v>0.13883108355999579</v>
      </c>
      <c r="O86" s="97">
        <f t="shared" ref="O86" si="61">(O85-N85)/N85</f>
        <v>0.13859575683737785</v>
      </c>
      <c r="P86" s="97">
        <f t="shared" ref="P86" si="62">(P85-O85)/O85</f>
        <v>0.13850724111933166</v>
      </c>
      <c r="Q86" s="97">
        <f t="shared" ref="Q86" si="63">(Q85-P85)/P85</f>
        <v>0.13845544601741039</v>
      </c>
      <c r="R86" s="97">
        <f t="shared" ref="R86" si="64">(R85-Q85)/Q85</f>
        <v>0.138416159608553</v>
      </c>
      <c r="S86" s="98"/>
      <c r="U86" s="99">
        <f>G86</f>
        <v>0.14227666441107126</v>
      </c>
      <c r="V86">
        <v>1</v>
      </c>
      <c r="W86" t="s">
        <v>150</v>
      </c>
      <c r="X86">
        <v>2</v>
      </c>
      <c r="Y86" s="98"/>
    </row>
    <row r="87" spans="2:25" x14ac:dyDescent="0.3">
      <c r="B87" s="103" t="s">
        <v>224</v>
      </c>
      <c r="F87" s="88">
        <v>0</v>
      </c>
      <c r="G87" s="88">
        <v>0</v>
      </c>
      <c r="H87" s="88">
        <v>0</v>
      </c>
      <c r="I87" s="88">
        <v>0</v>
      </c>
      <c r="J87" s="88">
        <v>0</v>
      </c>
      <c r="K87" s="88">
        <v>0</v>
      </c>
      <c r="L87" s="88">
        <v>0</v>
      </c>
      <c r="M87" s="88">
        <v>0</v>
      </c>
      <c r="N87" s="88">
        <v>0</v>
      </c>
      <c r="O87" s="88">
        <v>0</v>
      </c>
      <c r="P87" s="88">
        <v>0</v>
      </c>
      <c r="Q87" s="88">
        <v>0</v>
      </c>
      <c r="R87" s="88">
        <v>0</v>
      </c>
      <c r="V87">
        <v>1</v>
      </c>
      <c r="W87" s="59"/>
      <c r="X87" s="59"/>
    </row>
    <row r="88" spans="2:25" x14ac:dyDescent="0.3">
      <c r="B88" s="103" t="s">
        <v>223</v>
      </c>
      <c r="F88" s="88">
        <v>0</v>
      </c>
      <c r="G88" s="88">
        <v>0</v>
      </c>
      <c r="H88" s="88">
        <v>0</v>
      </c>
      <c r="I88" s="88">
        <v>0</v>
      </c>
      <c r="J88" s="88">
        <v>0</v>
      </c>
      <c r="K88" s="88">
        <v>0</v>
      </c>
      <c r="L88" s="88">
        <v>0</v>
      </c>
      <c r="M88" s="88">
        <v>0</v>
      </c>
      <c r="N88" s="88">
        <v>0</v>
      </c>
      <c r="O88" s="88">
        <v>0</v>
      </c>
      <c r="P88" s="88">
        <v>0</v>
      </c>
      <c r="Q88" s="88">
        <v>0</v>
      </c>
      <c r="R88" s="88">
        <v>0</v>
      </c>
      <c r="V88" s="98"/>
      <c r="X88">
        <v>1</v>
      </c>
    </row>
    <row r="89" spans="2:25" x14ac:dyDescent="0.3">
      <c r="B89" s="103" t="s">
        <v>212</v>
      </c>
      <c r="C89" s="95">
        <f>D89*(100%-$U90)</f>
        <v>9.6073807061913907</v>
      </c>
      <c r="D89" s="95">
        <f>E89*(100%-$U90)</f>
        <v>10.004961424785625</v>
      </c>
      <c r="E89" s="95">
        <f>F89*(100%-$U90)</f>
        <v>10.418995163472633</v>
      </c>
      <c r="F89" s="88">
        <v>10.850162794984703</v>
      </c>
      <c r="G89" s="88">
        <v>11.281330426496773</v>
      </c>
      <c r="H89" s="88">
        <v>11.736212679893786</v>
      </c>
      <c r="I89" s="88">
        <v>12.199175366854874</v>
      </c>
      <c r="J89" s="88">
        <v>12.518550693842261</v>
      </c>
      <c r="K89" s="88">
        <v>12.7860110017983</v>
      </c>
      <c r="L89" s="88">
        <v>13.057995247179045</v>
      </c>
      <c r="M89" s="88">
        <v>13.318137721395111</v>
      </c>
      <c r="N89" s="88">
        <v>13.6062144301568</v>
      </c>
      <c r="O89" s="88">
        <v>13.875769046788562</v>
      </c>
      <c r="P89" s="88">
        <v>14.153374853561971</v>
      </c>
      <c r="Q89" s="88">
        <v>14.432908431528469</v>
      </c>
      <c r="R89" s="88">
        <v>14.716360156450664</v>
      </c>
      <c r="V89">
        <v>1</v>
      </c>
      <c r="W89" t="s">
        <v>90</v>
      </c>
      <c r="X89">
        <v>1</v>
      </c>
    </row>
    <row r="90" spans="2:25" s="59" customFormat="1" x14ac:dyDescent="0.3">
      <c r="B90" s="96" t="s">
        <v>306</v>
      </c>
      <c r="C90" s="94"/>
      <c r="D90" s="94"/>
      <c r="E90" s="94"/>
      <c r="F90" s="93"/>
      <c r="G90" s="97">
        <f>(G89-F89)/F89</f>
        <v>3.9738355972996943E-2</v>
      </c>
      <c r="H90" s="97">
        <f t="shared" ref="H90" si="65">(H89-G89)/G89</f>
        <v>4.0321685138183579E-2</v>
      </c>
      <c r="I90" s="97">
        <f t="shared" ref="I90" si="66">(I89-H89)/H89</f>
        <v>3.9447366845543397E-2</v>
      </c>
      <c r="J90" s="97">
        <f t="shared" ref="J90" si="67">(J89-I89)/I89</f>
        <v>2.6180075077462141E-2</v>
      </c>
      <c r="K90" s="97">
        <f t="shared" ref="K90" si="68">(K89-J89)/J89</f>
        <v>2.1365117616019239E-2</v>
      </c>
      <c r="L90" s="97">
        <f t="shared" ref="L90" si="69">(L89-K89)/K89</f>
        <v>2.127201715550623E-2</v>
      </c>
      <c r="M90" s="97">
        <f t="shared" ref="M90" si="70">(M89-L89)/L89</f>
        <v>1.992208369598426E-2</v>
      </c>
      <c r="N90" s="97">
        <f t="shared" ref="N90" si="71">(N89-M89)/M89</f>
        <v>2.1630404699818102E-2</v>
      </c>
      <c r="O90" s="97">
        <f t="shared" ref="O90" si="72">(O89-N89)/N89</f>
        <v>1.9811139829923698E-2</v>
      </c>
      <c r="P90" s="97">
        <f t="shared" ref="P90" si="73">(P89-O89)/O89</f>
        <v>2.0006516816281118E-2</v>
      </c>
      <c r="Q90" s="97">
        <f t="shared" ref="Q90" si="74">(Q89-P89)/P89</f>
        <v>1.9750312618629501E-2</v>
      </c>
      <c r="R90" s="97">
        <f t="shared" ref="R90" si="75">(R89-Q89)/Q89</f>
        <v>1.963926579780681E-2</v>
      </c>
      <c r="S90" s="98"/>
      <c r="U90" s="101">
        <f>G90</f>
        <v>3.9738355972996943E-2</v>
      </c>
      <c r="V90">
        <v>1</v>
      </c>
      <c r="X90" s="98"/>
      <c r="Y90" s="98"/>
    </row>
    <row r="91" spans="2:25" x14ac:dyDescent="0.3">
      <c r="B91" s="103" t="s">
        <v>220</v>
      </c>
      <c r="F91" s="88">
        <v>0</v>
      </c>
      <c r="G91" s="88">
        <v>0</v>
      </c>
      <c r="H91" s="88">
        <v>0</v>
      </c>
      <c r="I91" s="88">
        <v>0</v>
      </c>
      <c r="J91" s="88">
        <v>0</v>
      </c>
      <c r="K91" s="88">
        <v>0</v>
      </c>
      <c r="L91" s="88">
        <v>0</v>
      </c>
      <c r="M91" s="88">
        <v>0</v>
      </c>
      <c r="N91" s="88">
        <v>0</v>
      </c>
      <c r="O91" s="88">
        <v>0</v>
      </c>
      <c r="P91" s="88">
        <v>0</v>
      </c>
      <c r="Q91" s="88">
        <v>0</v>
      </c>
      <c r="R91" s="88">
        <v>0</v>
      </c>
      <c r="V91">
        <v>5</v>
      </c>
      <c r="W91" t="s">
        <v>270</v>
      </c>
      <c r="X91">
        <v>1</v>
      </c>
    </row>
    <row r="92" spans="2:25" x14ac:dyDescent="0.3">
      <c r="B92" s="103" t="s">
        <v>222</v>
      </c>
      <c r="F92" s="88">
        <v>0</v>
      </c>
      <c r="G92" s="88">
        <v>3.2485678293037806E-2</v>
      </c>
      <c r="H92" s="88">
        <v>3.2557291896250305E-2</v>
      </c>
      <c r="I92" s="88">
        <v>3.2641123923617912E-2</v>
      </c>
      <c r="J92" s="88">
        <v>4.918920353677049E-2</v>
      </c>
      <c r="K92" s="88">
        <v>4.9484339745914957E-2</v>
      </c>
      <c r="L92" s="88">
        <v>4.9790815839715757E-2</v>
      </c>
      <c r="M92" s="88">
        <v>6.6729553909134931E-2</v>
      </c>
      <c r="N92" s="88">
        <v>6.7201990473161125E-2</v>
      </c>
      <c r="O92" s="88">
        <v>6.7571766371287659E-2</v>
      </c>
      <c r="P92" s="88">
        <v>8.4967369757067979E-2</v>
      </c>
      <c r="Q92" s="88">
        <v>8.5471675940880426E-2</v>
      </c>
      <c r="R92" s="88">
        <v>8.5988941460347718E-2</v>
      </c>
      <c r="V92" s="59"/>
      <c r="W92" t="s">
        <v>105</v>
      </c>
      <c r="X92">
        <v>1</v>
      </c>
    </row>
    <row r="93" spans="2:25" x14ac:dyDescent="0.3">
      <c r="B93" s="103" t="s">
        <v>181</v>
      </c>
      <c r="C93" s="95">
        <f>D93*(100%-$U94)</f>
        <v>0.26610562213621386</v>
      </c>
      <c r="D93" s="95">
        <f>E93*(100%-$U94)</f>
        <v>0.27778436455617167</v>
      </c>
      <c r="E93" s="95">
        <f>F93*(100%-$U94)</f>
        <v>0.28997565918534929</v>
      </c>
      <c r="F93" s="88">
        <v>0.30270200072032694</v>
      </c>
      <c r="G93" s="88">
        <v>0.31542834225530458</v>
      </c>
      <c r="H93" s="88">
        <v>0.32725404918192241</v>
      </c>
      <c r="I93" s="88">
        <v>0.40760078062892691</v>
      </c>
      <c r="J93" s="88">
        <v>0.42227944918907145</v>
      </c>
      <c r="K93" s="88">
        <v>0.43858413662286894</v>
      </c>
      <c r="L93" s="88">
        <v>0.45556230658332636</v>
      </c>
      <c r="M93" s="88">
        <v>0.47313578332815731</v>
      </c>
      <c r="N93" s="88">
        <v>0.50385755223227824</v>
      </c>
      <c r="O93" s="88">
        <v>0.52292918676949951</v>
      </c>
      <c r="P93" s="88">
        <v>0.54275642212875119</v>
      </c>
      <c r="Q93" s="88">
        <v>0.56330362787873489</v>
      </c>
      <c r="R93" s="88">
        <v>0.58464125066783934</v>
      </c>
      <c r="V93">
        <v>1</v>
      </c>
      <c r="W93" t="s">
        <v>181</v>
      </c>
      <c r="X93">
        <v>5</v>
      </c>
    </row>
    <row r="94" spans="2:25" s="59" customFormat="1" x14ac:dyDescent="0.3">
      <c r="B94" s="96" t="s">
        <v>303</v>
      </c>
      <c r="C94" s="94"/>
      <c r="D94" s="94"/>
      <c r="E94" s="94"/>
      <c r="F94" s="93"/>
      <c r="G94" s="97">
        <f>(G93-F93)/F93</f>
        <v>4.2042475783752073E-2</v>
      </c>
      <c r="H94" s="97">
        <f t="shared" ref="H94" si="76">(H93-G93)/G93</f>
        <v>3.7490945937401592E-2</v>
      </c>
      <c r="I94" s="97">
        <f t="shared" ref="I94" si="77">(I93-H93)/H93</f>
        <v>0.24551791382828478</v>
      </c>
      <c r="J94" s="97">
        <f t="shared" ref="J94" si="78">(J93-I93)/I93</f>
        <v>3.6012366162536301E-2</v>
      </c>
      <c r="K94" s="97">
        <f t="shared" ref="K94" si="79">(K93-J93)/J93</f>
        <v>3.8611131716469627E-2</v>
      </c>
      <c r="L94" s="97">
        <f t="shared" ref="L94" si="80">(L93-K93)/K93</f>
        <v>3.8711317949597125E-2</v>
      </c>
      <c r="M94" s="97">
        <f t="shared" ref="M94" si="81">(M93-L93)/L93</f>
        <v>3.8575352900968349E-2</v>
      </c>
      <c r="N94" s="97">
        <f t="shared" ref="N94" si="82">(N93-M93)/M93</f>
        <v>6.4932245639964498E-2</v>
      </c>
      <c r="O94" s="97">
        <f t="shared" ref="O94" si="83">(O93-N93)/N93</f>
        <v>3.7851242782264087E-2</v>
      </c>
      <c r="P94" s="97">
        <f t="shared" ref="P94" si="84">(P93-O93)/O93</f>
        <v>3.7915717578776632E-2</v>
      </c>
      <c r="Q94" s="97">
        <f t="shared" ref="Q94" si="85">(Q93-P93)/P93</f>
        <v>3.7857139800198523E-2</v>
      </c>
      <c r="R94" s="97">
        <f t="shared" ref="R94" si="86">(R93-Q93)/Q93</f>
        <v>3.7879434346014727E-2</v>
      </c>
      <c r="S94" s="98"/>
      <c r="U94" s="101">
        <f>G94</f>
        <v>4.2042475783752073E-2</v>
      </c>
      <c r="V94">
        <v>5</v>
      </c>
      <c r="Y94" s="98"/>
    </row>
    <row r="95" spans="2:25" x14ac:dyDescent="0.3">
      <c r="B95" s="103" t="s">
        <v>221</v>
      </c>
      <c r="F95" s="88">
        <v>0</v>
      </c>
      <c r="G95" s="88">
        <v>3.7506382104655622E-2</v>
      </c>
      <c r="H95" s="88">
        <v>3.759365170890714E-2</v>
      </c>
      <c r="I95" s="88">
        <v>3.7681157384392677E-2</v>
      </c>
      <c r="J95" s="88">
        <v>3.78453703118748E-2</v>
      </c>
      <c r="K95" s="88">
        <v>3.8052523185446885E-2</v>
      </c>
      <c r="L95" s="88">
        <v>3.8266995357438618E-2</v>
      </c>
      <c r="M95" s="88">
        <v>3.8440917825622832E-2</v>
      </c>
      <c r="N95" s="88">
        <v>3.8686477390257379E-2</v>
      </c>
      <c r="O95" s="88">
        <v>3.8879639453210435E-2</v>
      </c>
      <c r="P95" s="88">
        <v>3.9087425012899038E-2</v>
      </c>
      <c r="Q95" s="88">
        <v>3.9296165289438197E-2</v>
      </c>
      <c r="R95" s="88">
        <v>3.9511557759367336E-2</v>
      </c>
      <c r="V95">
        <v>5</v>
      </c>
      <c r="W95" t="s">
        <v>104</v>
      </c>
      <c r="X95">
        <v>1</v>
      </c>
    </row>
    <row r="96" spans="2:25" x14ac:dyDescent="0.3">
      <c r="B96" s="103" t="s">
        <v>226</v>
      </c>
      <c r="F96" s="88">
        <v>0</v>
      </c>
      <c r="G96" s="88">
        <v>0</v>
      </c>
      <c r="H96" s="88">
        <v>0.19970136967529414</v>
      </c>
      <c r="I96" s="88">
        <v>0.20550400479296663</v>
      </c>
      <c r="J96" s="88">
        <v>0.21149045208575915</v>
      </c>
      <c r="K96" s="88">
        <v>0.21733386691203124</v>
      </c>
      <c r="L96" s="88">
        <v>0.22337669313977682</v>
      </c>
      <c r="M96" s="88">
        <v>0.22954985958881571</v>
      </c>
      <c r="N96" s="88">
        <v>0.23559839107527508</v>
      </c>
      <c r="O96" s="88">
        <v>0.24207669112337354</v>
      </c>
      <c r="P96" s="88">
        <v>0.24858295929611043</v>
      </c>
      <c r="Q96" s="88">
        <v>0.25525041254013137</v>
      </c>
      <c r="R96" s="88">
        <v>0.26210062075961804</v>
      </c>
      <c r="V96">
        <v>1</v>
      </c>
      <c r="W96" t="s">
        <v>113</v>
      </c>
      <c r="X96">
        <v>5</v>
      </c>
    </row>
    <row r="97" spans="2:24" x14ac:dyDescent="0.3">
      <c r="B97" s="103" t="s">
        <v>273</v>
      </c>
      <c r="F97" s="88">
        <v>0</v>
      </c>
      <c r="G97" s="88">
        <v>0.13262946813380574</v>
      </c>
      <c r="H97" s="88">
        <v>0.29636094219275</v>
      </c>
      <c r="I97" s="88">
        <v>0.55639052436828695</v>
      </c>
      <c r="J97" s="88">
        <v>0.75713111480605755</v>
      </c>
      <c r="K97" s="88">
        <v>0.96018419433921143</v>
      </c>
      <c r="L97" s="88">
        <v>1.1635254144344827</v>
      </c>
      <c r="M97" s="88">
        <v>1.4399677772505493</v>
      </c>
      <c r="N97" s="88">
        <v>1.6548317953649352</v>
      </c>
      <c r="O97" s="88">
        <v>1.8801888148504131</v>
      </c>
      <c r="P97" s="88">
        <v>2.0983214184322652</v>
      </c>
      <c r="Q97" s="88">
        <v>2.3174111481852488</v>
      </c>
      <c r="R97" s="88">
        <v>2.5371130029648743</v>
      </c>
      <c r="X97">
        <v>5</v>
      </c>
    </row>
    <row r="98" spans="2:24" x14ac:dyDescent="0.3">
      <c r="B98" s="103" t="s">
        <v>219</v>
      </c>
      <c r="F98" s="88">
        <v>0</v>
      </c>
      <c r="G98" s="88">
        <v>0.64076125439291465</v>
      </c>
      <c r="H98" s="88">
        <v>0.69174478492014813</v>
      </c>
      <c r="I98" s="88">
        <v>0.7466165669714715</v>
      </c>
      <c r="J98" s="88">
        <v>0.80736969398305769</v>
      </c>
      <c r="K98" s="88">
        <v>0.874086128393877</v>
      </c>
      <c r="L98" s="88">
        <v>0.94654575855418621</v>
      </c>
      <c r="M98" s="88">
        <v>1.0240409163151458</v>
      </c>
      <c r="N98" s="88">
        <v>1.1097706834942063</v>
      </c>
      <c r="O98" s="88">
        <v>1.2009196483730005</v>
      </c>
      <c r="P98" s="88">
        <v>1.3001090998165938</v>
      </c>
      <c r="Q98" s="88">
        <v>1.4074200965168684</v>
      </c>
      <c r="R98" s="88">
        <v>1.5237165991398025</v>
      </c>
      <c r="W98" t="s">
        <v>101</v>
      </c>
      <c r="X98">
        <v>1</v>
      </c>
    </row>
    <row r="99" spans="2:24" x14ac:dyDescent="0.3">
      <c r="B99" s="90" t="s">
        <v>274</v>
      </c>
      <c r="F99" s="104">
        <f>SUM(F82:F98)</f>
        <v>11.965790059684478</v>
      </c>
      <c r="G99" s="104">
        <f t="shared" ref="G99:R99" si="87">SUM(G82:G98)</f>
        <v>13.718429641159489</v>
      </c>
      <c r="H99" s="104">
        <f t="shared" si="87"/>
        <v>14.712204165107595</v>
      </c>
      <c r="I99" s="104">
        <f t="shared" si="87"/>
        <v>15.926623961351869</v>
      </c>
      <c r="J99" s="104">
        <f t="shared" si="87"/>
        <v>16.480210607920842</v>
      </c>
      <c r="K99" s="104">
        <f t="shared" si="87"/>
        <v>17.214768512801431</v>
      </c>
      <c r="L99" s="104">
        <f t="shared" si="87"/>
        <v>17.989498025276013</v>
      </c>
      <c r="M99" s="104">
        <f t="shared" si="87"/>
        <v>18.872824849278508</v>
      </c>
      <c r="N99" s="104">
        <f t="shared" si="87"/>
        <v>19.784761973365157</v>
      </c>
      <c r="O99" s="104">
        <f t="shared" si="87"/>
        <v>20.663643099362282</v>
      </c>
      <c r="P99" s="104">
        <f t="shared" si="87"/>
        <v>21.635203131494187</v>
      </c>
      <c r="Q99" s="104">
        <f t="shared" si="87"/>
        <v>22.645805818698239</v>
      </c>
      <c r="R99" s="104">
        <f t="shared" si="87"/>
        <v>23.721332133078747</v>
      </c>
    </row>
    <row r="100" spans="2:24" x14ac:dyDescent="0.3">
      <c r="B100" s="92" t="s">
        <v>291</v>
      </c>
      <c r="C100" s="95">
        <f>SUM(C82:C99)</f>
        <v>10.397278230618261</v>
      </c>
      <c r="D100" s="108">
        <f>SUM(D82:D99)</f>
        <v>10.889159690267411</v>
      </c>
      <c r="E100" s="108">
        <f>SUM(E82:E99)</f>
        <v>11.411072094815994</v>
      </c>
      <c r="F100" s="105">
        <f>SUM(F82,F85,F87,F88,F89,F92,F93,F95,F96,F97)</f>
        <v>11.965790059684478</v>
      </c>
      <c r="G100" s="105">
        <f t="shared" ref="G100:R100" si="88">SUM(G82,G85,G87,G88,G89,G92,G93,G95,G96,G97)</f>
        <v>12.72312955308446</v>
      </c>
      <c r="H100" s="105">
        <f t="shared" si="88"/>
        <v>13.676384936537296</v>
      </c>
      <c r="I100" s="105">
        <f t="shared" si="88"/>
        <v>14.626339491855031</v>
      </c>
      <c r="J100" s="105">
        <f t="shared" si="88"/>
        <v>15.342857403191523</v>
      </c>
      <c r="K100" s="105">
        <f t="shared" si="88"/>
        <v>16.014994324576293</v>
      </c>
      <c r="L100" s="105">
        <f t="shared" si="88"/>
        <v>16.716929161777539</v>
      </c>
      <c r="M100" s="105">
        <f t="shared" si="88"/>
        <v>17.524400211847027</v>
      </c>
      <c r="N100" s="105">
        <f t="shared" si="88"/>
        <v>18.324067028322222</v>
      </c>
      <c r="O100" s="105">
        <f t="shared" si="88"/>
        <v>19.139740307751044</v>
      </c>
      <c r="P100" s="105">
        <f t="shared" si="88"/>
        <v>20.012499438913935</v>
      </c>
      <c r="Q100" s="105">
        <f t="shared" si="88"/>
        <v>20.916223554496412</v>
      </c>
      <c r="R100" s="105">
        <f t="shared" si="88"/>
        <v>21.87555270482212</v>
      </c>
    </row>
    <row r="101" spans="2:24" x14ac:dyDescent="0.3">
      <c r="B101" s="92" t="s">
        <v>409</v>
      </c>
      <c r="C101" s="93">
        <f>SUM(C82,C85,C87,C88,C89,C92,C93,C95,C96,C97)</f>
        <v>10.397278230618261</v>
      </c>
      <c r="D101" s="93">
        <f>SUM(D82,D85,D87,D88,D89,D92,D93,D95,D96,D97)+SUM(C82,C85,C87,C93,C96,C97)</f>
        <v>11.67905721469428</v>
      </c>
      <c r="E101" s="93">
        <f>SUM(E82,E85,E87,E88,E89,E92,E93,E95,E96,E97)+SUM(D82,D85,D87,D93,D96,D97)+SUM(C82,C85,C93,C96,C97)</f>
        <v>13.085167884724649</v>
      </c>
      <c r="F101" s="93">
        <f>SUM(F82,F85,F87,F88,F89,F92,F93,F95,F96,F97)+SUM(E82,E85,E87,E93,E96,E97)+SUM(D82,D85,D93,D96,D97)+SUM(C82,C85,C93,C96,C97)</f>
        <v>14.631962780936494</v>
      </c>
      <c r="G101" s="93">
        <f>SUM(G82,G85,G87,G88,G89,G92,G93,G95,G96,G97)+SUM(F82,F85,F87,F93,F96,F97)+SUM(E82,E85,E93,E96,E97)+SUM(D82,D85,D93,D96,D97)+SUM(C82,C85,C93,C96,C97)</f>
        <v>16.504929539036251</v>
      </c>
      <c r="H101" s="93">
        <f>SUM(H82,H85,H87,H88,H89,H92,H93,H95,H96,H97)+SUM(G82,G85,G87,G93,G96,G97)+SUM(F82,F85,F93,F96,F97)+SUM(E82,E85,E93,E96,E97)+SUM(D82,D85,D93,D96,D97)+C85</f>
        <v>18.294335794713103</v>
      </c>
      <c r="I101" s="93">
        <f>SUM(I82,I85,I87,I88,I89,I92,I93,I95,I96,I97)+SUM(H82,H85,H87,H93,H96,H97)+SUM(G82,G85,G93,G96,G97)+SUM(F82,F85,F93,F96,F97)+SUM(E82,E85,E93,E96,E97)+D85+C85/2</f>
        <v>20.399406878867648</v>
      </c>
      <c r="J101" s="93">
        <f t="shared" ref="J101:R101" si="89">SUM(J82,J85,J87,J88,J89,J92,J93,J95,J96,J97)+SUM(I82,I85,I87,I93,I96,I97)+SUM(H82,H85,H93,H96,H97)+SUM(G82,G85,G93,G96,G97)+SUM(F82,F85,F93,F96,F97)+E85+D85/2</f>
        <v>22.550944431293775</v>
      </c>
      <c r="K101" s="93">
        <f t="shared" si="89"/>
        <v>24.926634603286512</v>
      </c>
      <c r="L101" s="93">
        <f>SUM(L82,L85,L87,L88,L89,L92,L93,L95,L96,L97)+SUM(K82,K85,K87,K93,K96,K97)+SUM(J82,J85,J93,J96,J97)+SUM(I82,I85,I93,I96,I97)+SUM(H82,H85,H93,H96,H97)+G85+F85/2</f>
        <v>27.484195163318113</v>
      </c>
      <c r="M101" s="93">
        <f t="shared" si="89"/>
        <v>30.085797108545624</v>
      </c>
      <c r="N101" s="93">
        <f t="shared" si="89"/>
        <v>32.735242481639986</v>
      </c>
      <c r="O101" s="93">
        <f t="shared" si="89"/>
        <v>35.54530462673155</v>
      </c>
      <c r="P101" s="93">
        <f t="shared" si="89"/>
        <v>38.570441224076035</v>
      </c>
      <c r="Q101" s="93">
        <f t="shared" si="89"/>
        <v>41.793824117628638</v>
      </c>
      <c r="R101" s="93">
        <f t="shared" si="89"/>
        <v>45.187675538831279</v>
      </c>
    </row>
    <row r="102" spans="2:24" x14ac:dyDescent="0.3">
      <c r="B102" s="92"/>
      <c r="C102" s="93"/>
      <c r="D102" s="93"/>
      <c r="E102" s="93"/>
      <c r="F102" s="93"/>
      <c r="G102" s="93"/>
      <c r="H102" s="93"/>
      <c r="I102" s="93"/>
      <c r="J102" s="93"/>
      <c r="K102" s="93"/>
      <c r="L102" s="93"/>
      <c r="M102" s="93"/>
      <c r="N102" s="93"/>
      <c r="O102" s="93"/>
      <c r="P102" s="93"/>
      <c r="Q102" s="93"/>
      <c r="R102" s="93"/>
    </row>
    <row r="103" spans="2:24" x14ac:dyDescent="0.3">
      <c r="B103" s="92"/>
      <c r="C103" s="143"/>
      <c r="D103" s="143"/>
      <c r="E103" s="143"/>
      <c r="F103" s="143"/>
      <c r="G103" s="143"/>
      <c r="H103" s="143"/>
      <c r="I103" s="143"/>
      <c r="J103" s="143"/>
      <c r="K103" s="143"/>
      <c r="L103" s="143"/>
      <c r="M103" s="143"/>
      <c r="N103" s="143"/>
      <c r="O103" s="143"/>
      <c r="P103" s="143"/>
      <c r="Q103" s="143"/>
      <c r="R103" s="143"/>
    </row>
    <row r="104" spans="2:24" ht="18" x14ac:dyDescent="0.35">
      <c r="B104" s="5" t="s">
        <v>289</v>
      </c>
      <c r="C104" s="93"/>
      <c r="D104" s="93"/>
      <c r="E104" s="93"/>
      <c r="F104" s="93"/>
      <c r="G104" s="93"/>
      <c r="H104" s="93"/>
      <c r="I104" s="93"/>
      <c r="J104" s="93"/>
      <c r="K104" s="93"/>
      <c r="L104" s="93"/>
      <c r="M104" s="93"/>
      <c r="N104" s="93"/>
      <c r="O104" s="93"/>
      <c r="P104" s="93"/>
      <c r="Q104" s="93"/>
      <c r="R104" s="93"/>
    </row>
    <row r="105" spans="2:24" x14ac:dyDescent="0.3">
      <c r="B105" s="86" t="s">
        <v>7</v>
      </c>
      <c r="C105" s="94">
        <v>2015</v>
      </c>
      <c r="D105" s="94">
        <v>2016</v>
      </c>
      <c r="E105" s="94">
        <v>2017</v>
      </c>
      <c r="F105" s="86" t="s">
        <v>275</v>
      </c>
      <c r="G105" s="86" t="s">
        <v>276</v>
      </c>
      <c r="H105" s="86" t="s">
        <v>277</v>
      </c>
      <c r="I105" s="86" t="s">
        <v>278</v>
      </c>
      <c r="J105" s="86" t="s">
        <v>279</v>
      </c>
      <c r="K105" s="86" t="s">
        <v>280</v>
      </c>
      <c r="L105" s="86" t="s">
        <v>281</v>
      </c>
      <c r="M105" s="86" t="s">
        <v>282</v>
      </c>
      <c r="N105" s="86" t="s">
        <v>283</v>
      </c>
      <c r="O105" s="86" t="s">
        <v>284</v>
      </c>
      <c r="P105" s="86" t="s">
        <v>285</v>
      </c>
      <c r="Q105" s="86" t="s">
        <v>286</v>
      </c>
      <c r="R105" s="86" t="s">
        <v>287</v>
      </c>
    </row>
    <row r="106" spans="2:24" x14ac:dyDescent="0.3">
      <c r="B106" s="103" t="s">
        <v>227</v>
      </c>
      <c r="C106" s="95">
        <f>D106*(100%-$U107)</f>
        <v>0.4539491391576238</v>
      </c>
      <c r="D106" s="95">
        <f>E106*(100%-$U107)</f>
        <v>0.4539491391576238</v>
      </c>
      <c r="E106" s="95">
        <f>F106*(100%-$U107)</f>
        <v>0.4539491391576238</v>
      </c>
      <c r="F106" s="88">
        <v>0.4539491391576238</v>
      </c>
      <c r="G106" s="88">
        <v>0.56816471178391292</v>
      </c>
      <c r="H106" s="88">
        <v>0.70821486758262775</v>
      </c>
      <c r="I106" s="88">
        <v>0.88539391873066997</v>
      </c>
      <c r="J106" s="88">
        <v>1.1065797856013404</v>
      </c>
      <c r="K106" s="88">
        <v>1.3802365449139467</v>
      </c>
      <c r="L106" s="88">
        <v>1.7217927677167764</v>
      </c>
      <c r="M106" s="88">
        <v>2.1478288911775905</v>
      </c>
      <c r="N106" s="88">
        <v>2.6764591621710765</v>
      </c>
      <c r="O106" s="88">
        <v>3.338737044598604</v>
      </c>
      <c r="P106" s="88">
        <v>4.1628230376478808</v>
      </c>
      <c r="Q106" s="88">
        <v>5.190011121497033</v>
      </c>
      <c r="R106" s="88">
        <v>6.4708256157907753</v>
      </c>
    </row>
    <row r="107" spans="2:24" x14ac:dyDescent="0.3">
      <c r="B107" s="103"/>
      <c r="C107" s="95"/>
      <c r="D107" s="95"/>
      <c r="E107" s="95"/>
      <c r="F107" s="88"/>
      <c r="G107" s="88"/>
      <c r="H107" s="88"/>
      <c r="I107" s="88"/>
      <c r="J107" s="88"/>
      <c r="K107" s="88"/>
      <c r="L107" s="88"/>
      <c r="M107" s="88"/>
      <c r="N107" s="88"/>
      <c r="O107" s="88"/>
      <c r="P107" s="88"/>
      <c r="Q107" s="88"/>
      <c r="R107" s="88"/>
    </row>
    <row r="108" spans="2:24" x14ac:dyDescent="0.3">
      <c r="B108" s="103" t="s">
        <v>225</v>
      </c>
      <c r="F108" s="88">
        <v>0.33087073104082476</v>
      </c>
      <c r="G108" s="88">
        <v>0.75539473096826748</v>
      </c>
      <c r="H108" s="88">
        <v>1.0935092447521488</v>
      </c>
      <c r="I108" s="88">
        <v>1.1017988988252814</v>
      </c>
      <c r="J108" s="88">
        <v>1.11010431569852</v>
      </c>
      <c r="K108" s="88">
        <v>1.1164846819551104</v>
      </c>
      <c r="L108" s="88">
        <v>1.5698866741634812</v>
      </c>
      <c r="M108" s="88">
        <v>1.9201783150286968</v>
      </c>
      <c r="N108" s="88">
        <v>1.9303136830103811</v>
      </c>
      <c r="O108" s="88">
        <v>1.9425587104852939</v>
      </c>
      <c r="P108" s="88">
        <v>1.9538618359449249</v>
      </c>
      <c r="Q108" s="88">
        <v>1.965094971255519</v>
      </c>
      <c r="R108" s="88">
        <v>1.9763878559374732</v>
      </c>
    </row>
    <row r="109" spans="2:24" x14ac:dyDescent="0.3">
      <c r="B109" s="103" t="s">
        <v>184</v>
      </c>
      <c r="C109" s="95">
        <f>D109*(100%-$U110)</f>
        <v>0.42260434691327092</v>
      </c>
      <c r="D109" s="95">
        <f>E109*(100%-$U110)</f>
        <v>0.42260434691327092</v>
      </c>
      <c r="E109" s="95">
        <f>F109*(100%-$U110)</f>
        <v>0.42260434691327092</v>
      </c>
      <c r="F109" s="88">
        <v>0.42260434691327092</v>
      </c>
      <c r="G109" s="88">
        <v>0.50633127007475398</v>
      </c>
      <c r="H109" s="88">
        <v>0.60564681407798548</v>
      </c>
      <c r="I109" s="88">
        <v>0.72388113736653836</v>
      </c>
      <c r="J109" s="88">
        <v>0.86475236079882734</v>
      </c>
      <c r="K109" s="88">
        <v>1.0332137731040225</v>
      </c>
      <c r="L109" s="88">
        <v>1.2346893408372186</v>
      </c>
      <c r="M109" s="88">
        <v>1.4752824032952638</v>
      </c>
      <c r="N109" s="88">
        <v>1.7622355558436027</v>
      </c>
      <c r="O109" s="88">
        <v>2.1045682072792453</v>
      </c>
      <c r="P109" s="88">
        <v>2.5132071548728918</v>
      </c>
      <c r="Q109" s="88">
        <v>3.0010540084206729</v>
      </c>
      <c r="R109" s="88">
        <v>3.583474744241828</v>
      </c>
    </row>
    <row r="110" spans="2:24" x14ac:dyDescent="0.3">
      <c r="B110" s="103"/>
      <c r="C110" s="94"/>
      <c r="D110" s="94"/>
      <c r="E110" s="94"/>
      <c r="F110" s="88"/>
      <c r="G110" s="88"/>
      <c r="H110" s="88"/>
      <c r="I110" s="88"/>
      <c r="J110" s="88"/>
      <c r="K110" s="88"/>
      <c r="L110" s="88"/>
      <c r="M110" s="88"/>
      <c r="N110" s="88"/>
      <c r="O110" s="88"/>
      <c r="P110" s="88"/>
      <c r="Q110" s="88"/>
      <c r="R110" s="88"/>
    </row>
    <row r="111" spans="2:24" x14ac:dyDescent="0.3">
      <c r="B111" s="103" t="s">
        <v>224</v>
      </c>
      <c r="F111" s="88">
        <v>0</v>
      </c>
      <c r="G111" s="88">
        <v>0</v>
      </c>
      <c r="H111" s="88">
        <v>0</v>
      </c>
      <c r="I111" s="88">
        <v>0</v>
      </c>
      <c r="J111" s="88">
        <v>0</v>
      </c>
      <c r="K111" s="88">
        <v>0</v>
      </c>
      <c r="L111" s="88">
        <v>0</v>
      </c>
      <c r="M111" s="88">
        <v>0</v>
      </c>
      <c r="N111" s="88">
        <v>0</v>
      </c>
      <c r="O111" s="88">
        <v>0</v>
      </c>
      <c r="P111" s="88">
        <v>0</v>
      </c>
      <c r="Q111" s="88">
        <v>0</v>
      </c>
      <c r="R111" s="88">
        <v>0</v>
      </c>
    </row>
    <row r="112" spans="2:24" x14ac:dyDescent="0.3">
      <c r="B112" s="103" t="s">
        <v>223</v>
      </c>
      <c r="F112" s="88">
        <v>0</v>
      </c>
      <c r="G112" s="88">
        <v>0</v>
      </c>
      <c r="H112" s="88">
        <v>0</v>
      </c>
      <c r="I112" s="88">
        <v>0</v>
      </c>
      <c r="J112" s="88">
        <v>0</v>
      </c>
      <c r="K112" s="88">
        <v>0</v>
      </c>
      <c r="L112" s="88">
        <v>0</v>
      </c>
      <c r="M112" s="88">
        <v>0</v>
      </c>
      <c r="N112" s="88">
        <v>0</v>
      </c>
      <c r="O112" s="88">
        <v>0</v>
      </c>
      <c r="P112" s="88">
        <v>0</v>
      </c>
      <c r="Q112" s="88">
        <v>0</v>
      </c>
      <c r="R112" s="88">
        <v>0</v>
      </c>
    </row>
    <row r="113" spans="2:18" x14ac:dyDescent="0.3">
      <c r="B113" s="103" t="s">
        <v>212</v>
      </c>
      <c r="C113" s="95">
        <f>D113*(100%-$U114)</f>
        <v>11.493689522386425</v>
      </c>
      <c r="D113" s="95">
        <f>E113*(100%-$U114)</f>
        <v>11.493689522386425</v>
      </c>
      <c r="E113" s="95">
        <f>F113*(100%-$U114)</f>
        <v>11.493689522386425</v>
      </c>
      <c r="F113" s="88">
        <v>11.493689522386425</v>
      </c>
      <c r="G113" s="88">
        <v>12.297903051709799</v>
      </c>
      <c r="H113" s="88">
        <v>12.816554070619315</v>
      </c>
      <c r="I113" s="88">
        <v>13.341818386169372</v>
      </c>
      <c r="J113" s="88">
        <v>13.897273972305815</v>
      </c>
      <c r="K113" s="88">
        <v>14.475645609071414</v>
      </c>
      <c r="L113" s="88">
        <v>15.061598306050106</v>
      </c>
      <c r="M113" s="88">
        <v>15.635928219630216</v>
      </c>
      <c r="N113" s="88">
        <v>16.24553605884439</v>
      </c>
      <c r="O113" s="88">
        <v>16.83612440917782</v>
      </c>
      <c r="P113" s="88">
        <v>17.438461623485765</v>
      </c>
      <c r="Q113" s="88">
        <v>17.984429695234972</v>
      </c>
      <c r="R113" s="88">
        <v>18.430749725763903</v>
      </c>
    </row>
    <row r="114" spans="2:18" x14ac:dyDescent="0.3">
      <c r="B114" s="103"/>
      <c r="C114" s="94"/>
      <c r="D114" s="94"/>
      <c r="E114" s="94"/>
      <c r="F114" s="88"/>
      <c r="G114" s="88"/>
      <c r="H114" s="88"/>
      <c r="I114" s="88"/>
      <c r="J114" s="88"/>
      <c r="K114" s="88"/>
      <c r="L114" s="88"/>
      <c r="M114" s="88"/>
      <c r="N114" s="88"/>
      <c r="O114" s="88"/>
      <c r="P114" s="88"/>
      <c r="Q114" s="88"/>
      <c r="R114" s="88"/>
    </row>
    <row r="115" spans="2:18" x14ac:dyDescent="0.3">
      <c r="B115" s="103" t="s">
        <v>220</v>
      </c>
      <c r="F115" s="88">
        <v>0</v>
      </c>
      <c r="G115" s="88">
        <v>0</v>
      </c>
      <c r="H115" s="88">
        <v>0</v>
      </c>
      <c r="I115" s="88">
        <v>0</v>
      </c>
      <c r="J115" s="88">
        <v>0</v>
      </c>
      <c r="K115" s="88">
        <v>0</v>
      </c>
      <c r="L115" s="88">
        <v>0</v>
      </c>
      <c r="M115" s="88">
        <v>0</v>
      </c>
      <c r="N115" s="88">
        <v>0</v>
      </c>
      <c r="O115" s="88">
        <v>0</v>
      </c>
      <c r="P115" s="88">
        <v>0</v>
      </c>
      <c r="Q115" s="88">
        <v>0</v>
      </c>
      <c r="R115" s="88">
        <v>0</v>
      </c>
    </row>
    <row r="116" spans="2:18" x14ac:dyDescent="0.3">
      <c r="B116" s="103" t="s">
        <v>222</v>
      </c>
      <c r="F116" s="88">
        <v>0</v>
      </c>
      <c r="G116" s="88">
        <v>6.4971356586075613E-2</v>
      </c>
      <c r="H116" s="88">
        <v>6.511458379250061E-2</v>
      </c>
      <c r="I116" s="88">
        <v>6.5282247847235825E-2</v>
      </c>
      <c r="J116" s="88">
        <v>9.837840707354098E-2</v>
      </c>
      <c r="K116" s="88">
        <v>9.8968679491829914E-2</v>
      </c>
      <c r="L116" s="88">
        <v>9.9581631679431515E-2</v>
      </c>
      <c r="M116" s="88">
        <v>0.13345910781826986</v>
      </c>
      <c r="N116" s="88">
        <v>0.13440398094632225</v>
      </c>
      <c r="O116" s="88">
        <v>0.13514353274257532</v>
      </c>
      <c r="P116" s="88">
        <v>0.16993473951413596</v>
      </c>
      <c r="Q116" s="88">
        <v>0.17094335188176085</v>
      </c>
      <c r="R116" s="88">
        <v>0.17197788292069544</v>
      </c>
    </row>
    <row r="117" spans="2:18" x14ac:dyDescent="0.3">
      <c r="B117" s="103" t="s">
        <v>181</v>
      </c>
      <c r="C117" s="95">
        <f>D117*(100%-$U118)</f>
        <v>0.30673802739659789</v>
      </c>
      <c r="D117" s="95">
        <f>E117*(100%-$U118)</f>
        <v>0.30673802739659789</v>
      </c>
      <c r="E117" s="95">
        <f>F117*(100%-$U118)</f>
        <v>0.30673802739659789</v>
      </c>
      <c r="F117" s="88">
        <v>0.30673802739659789</v>
      </c>
      <c r="G117" s="88">
        <v>0.32389584086518031</v>
      </c>
      <c r="H117" s="88">
        <v>0.34051952235539806</v>
      </c>
      <c r="I117" s="88">
        <v>0.43164339440176547</v>
      </c>
      <c r="J117" s="88">
        <v>0.45249743107664608</v>
      </c>
      <c r="K117" s="88">
        <v>0.47623512057583456</v>
      </c>
      <c r="L117" s="88">
        <v>0.50126642054384007</v>
      </c>
      <c r="M117" s="88">
        <v>0.52754432227524017</v>
      </c>
      <c r="N117" s="88">
        <v>0.5686681177541022</v>
      </c>
      <c r="O117" s="88">
        <v>0.59795981346103888</v>
      </c>
      <c r="P117" s="88">
        <v>0.62890698072330797</v>
      </c>
      <c r="Q117" s="88">
        <v>0.66141847488338901</v>
      </c>
      <c r="R117" s="88">
        <v>0.6956256010123486</v>
      </c>
    </row>
    <row r="118" spans="2:18" x14ac:dyDescent="0.3">
      <c r="B118" s="103"/>
      <c r="C118" s="94"/>
      <c r="D118" s="94"/>
      <c r="E118" s="94"/>
      <c r="F118" s="88"/>
      <c r="G118" s="88"/>
      <c r="H118" s="88"/>
      <c r="I118" s="88"/>
      <c r="J118" s="88"/>
      <c r="K118" s="88"/>
      <c r="L118" s="88"/>
      <c r="M118" s="88"/>
      <c r="N118" s="88"/>
      <c r="O118" s="88"/>
      <c r="P118" s="88"/>
      <c r="Q118" s="88"/>
      <c r="R118" s="88"/>
    </row>
    <row r="119" spans="2:18" x14ac:dyDescent="0.3">
      <c r="B119" s="103" t="s">
        <v>221</v>
      </c>
      <c r="F119" s="88">
        <v>0</v>
      </c>
      <c r="G119" s="88">
        <v>7.5012764209311245E-2</v>
      </c>
      <c r="H119" s="88">
        <v>7.518730341781428E-2</v>
      </c>
      <c r="I119" s="88">
        <v>7.5362314768785355E-2</v>
      </c>
      <c r="J119" s="88">
        <v>0.18922685155937402</v>
      </c>
      <c r="K119" s="88">
        <v>0.19026261592723442</v>
      </c>
      <c r="L119" s="88">
        <v>0.19133497678719302</v>
      </c>
      <c r="M119" s="88">
        <v>0.19220458912811417</v>
      </c>
      <c r="N119" s="88">
        <v>0.19343238695128687</v>
      </c>
      <c r="O119" s="88">
        <v>0.19439819726605218</v>
      </c>
      <c r="P119" s="88">
        <v>0.19543712506449523</v>
      </c>
      <c r="Q119" s="88">
        <v>0.196480826447191</v>
      </c>
      <c r="R119" s="88">
        <v>0.19755778879683666</v>
      </c>
    </row>
    <row r="120" spans="2:18" x14ac:dyDescent="0.3">
      <c r="B120" s="103" t="s">
        <v>226</v>
      </c>
      <c r="F120" s="88">
        <v>0</v>
      </c>
      <c r="G120" s="88">
        <v>0</v>
      </c>
      <c r="H120" s="88">
        <v>0.19970136967529414</v>
      </c>
      <c r="I120" s="88">
        <v>0.20953349508302482</v>
      </c>
      <c r="J120" s="88">
        <v>0.21986550651283837</v>
      </c>
      <c r="K120" s="88">
        <v>0.23037052384653636</v>
      </c>
      <c r="L120" s="88">
        <v>0.24141848905714441</v>
      </c>
      <c r="M120" s="88">
        <v>0.25295476753584506</v>
      </c>
      <c r="N120" s="88">
        <v>0.26471059578549144</v>
      </c>
      <c r="O120" s="88">
        <v>0.27732252593819989</v>
      </c>
      <c r="P120" s="88">
        <v>0.29035993742464045</v>
      </c>
      <c r="Q120" s="88">
        <v>0.30399396400952888</v>
      </c>
      <c r="R120" s="88">
        <v>0.3182729466100786</v>
      </c>
    </row>
    <row r="121" spans="2:18" x14ac:dyDescent="0.3">
      <c r="B121" s="103" t="s">
        <v>273</v>
      </c>
      <c r="F121" s="88">
        <v>0</v>
      </c>
      <c r="G121" s="88">
        <v>0.13262946813380574</v>
      </c>
      <c r="H121" s="88">
        <v>0.4610059100776111</v>
      </c>
      <c r="I121" s="88">
        <v>0.95381232748849198</v>
      </c>
      <c r="J121" s="88">
        <v>1.3548662054424181</v>
      </c>
      <c r="K121" s="88">
        <v>1.7603376896218881</v>
      </c>
      <c r="L121" s="88">
        <v>2.1665645648090366</v>
      </c>
      <c r="M121" s="88">
        <v>2.7105275807069154</v>
      </c>
      <c r="N121" s="88">
        <v>3.1399372527437235</v>
      </c>
      <c r="O121" s="88">
        <v>3.5894513738053333</v>
      </c>
      <c r="P121" s="88">
        <v>4.0253512925027124</v>
      </c>
      <c r="Q121" s="88">
        <v>4.4631622113197373</v>
      </c>
      <c r="R121" s="88">
        <v>4.9022183447117902</v>
      </c>
    </row>
    <row r="122" spans="2:18" x14ac:dyDescent="0.3">
      <c r="B122" s="103" t="s">
        <v>219</v>
      </c>
      <c r="F122" s="88">
        <v>0</v>
      </c>
      <c r="G122" s="88">
        <v>0.64076125439291465</v>
      </c>
      <c r="H122" s="88">
        <v>0.74000604898434463</v>
      </c>
      <c r="I122" s="88">
        <v>0.85442977593922875</v>
      </c>
      <c r="J122" s="88">
        <v>0.98841783155615104</v>
      </c>
      <c r="K122" s="88">
        <v>1.1447528475901159</v>
      </c>
      <c r="L122" s="88">
        <v>1.3261373113923645</v>
      </c>
      <c r="M122" s="88">
        <v>1.5348062751049221</v>
      </c>
      <c r="N122" s="88">
        <v>1.7793397492457008</v>
      </c>
      <c r="O122" s="88">
        <v>2.059818522996455</v>
      </c>
      <c r="P122" s="88">
        <v>2.3855261573125697</v>
      </c>
      <c r="Q122" s="88">
        <v>2.7625968293636243</v>
      </c>
      <c r="R122" s="88">
        <v>3.1995384663985549</v>
      </c>
    </row>
    <row r="123" spans="2:18" x14ac:dyDescent="0.3">
      <c r="B123" s="86" t="s">
        <v>274</v>
      </c>
      <c r="F123" s="104">
        <f>SUM(F106:F122)</f>
        <v>13.007851766894744</v>
      </c>
      <c r="G123" s="104">
        <f t="shared" ref="G123:R123" si="90">SUM(G106:G122)</f>
        <v>15.365064448724022</v>
      </c>
      <c r="H123" s="104">
        <f t="shared" si="90"/>
        <v>17.105459735335039</v>
      </c>
      <c r="I123" s="104">
        <f t="shared" si="90"/>
        <v>18.642955896620393</v>
      </c>
      <c r="J123" s="104">
        <f t="shared" si="90"/>
        <v>20.281962667625475</v>
      </c>
      <c r="K123" s="104">
        <f t="shared" si="90"/>
        <v>21.906508086097929</v>
      </c>
      <c r="L123" s="104">
        <f t="shared" si="90"/>
        <v>24.114270483036591</v>
      </c>
      <c r="M123" s="104">
        <f t="shared" si="90"/>
        <v>26.530714471701071</v>
      </c>
      <c r="N123" s="104">
        <f t="shared" si="90"/>
        <v>28.695036543296077</v>
      </c>
      <c r="O123" s="104">
        <f t="shared" si="90"/>
        <v>31.076082337750616</v>
      </c>
      <c r="P123" s="104">
        <f t="shared" si="90"/>
        <v>33.763869884493324</v>
      </c>
      <c r="Q123" s="104">
        <f t="shared" si="90"/>
        <v>36.699185454313429</v>
      </c>
      <c r="R123" s="104">
        <f t="shared" si="90"/>
        <v>39.946628972184286</v>
      </c>
    </row>
    <row r="124" spans="2:18" x14ac:dyDescent="0.3">
      <c r="B124" s="92" t="s">
        <v>292</v>
      </c>
      <c r="C124" s="98">
        <f>C100</f>
        <v>10.397278230618261</v>
      </c>
      <c r="D124" s="98">
        <f>D100</f>
        <v>10.889159690267411</v>
      </c>
      <c r="E124" s="98">
        <f>E100</f>
        <v>11.411072094815994</v>
      </c>
      <c r="F124" s="93">
        <f>SUM(F106,F109,F111,F112,F113,F116,F117,F119,F120,F121)</f>
        <v>12.676981035853919</v>
      </c>
      <c r="G124" s="93">
        <f t="shared" ref="G124:R124" si="91">SUM(G106,G109,G111,G112,G113,G116,G117,G119,G120,G121)</f>
        <v>13.96890846336284</v>
      </c>
      <c r="H124" s="93">
        <f t="shared" si="91"/>
        <v>15.271944441598547</v>
      </c>
      <c r="I124" s="93">
        <f t="shared" si="91"/>
        <v>16.686727221855886</v>
      </c>
      <c r="J124" s="93">
        <f t="shared" si="91"/>
        <v>18.183440520370802</v>
      </c>
      <c r="K124" s="93">
        <f t="shared" si="91"/>
        <v>19.645270556552703</v>
      </c>
      <c r="L124" s="93">
        <f t="shared" si="91"/>
        <v>21.218246497480742</v>
      </c>
      <c r="M124" s="93">
        <f t="shared" si="91"/>
        <v>23.075729881567451</v>
      </c>
      <c r="N124" s="93">
        <f t="shared" si="91"/>
        <v>24.985383111039994</v>
      </c>
      <c r="O124" s="93">
        <f t="shared" si="91"/>
        <v>27.073705104268868</v>
      </c>
      <c r="P124" s="93">
        <f t="shared" si="91"/>
        <v>29.424481891235828</v>
      </c>
      <c r="Q124" s="93">
        <f t="shared" si="91"/>
        <v>31.971493653694289</v>
      </c>
      <c r="R124" s="93">
        <f t="shared" si="91"/>
        <v>34.770702649848253</v>
      </c>
    </row>
    <row r="125" spans="2:18" x14ac:dyDescent="0.3">
      <c r="B125" s="92" t="s">
        <v>409</v>
      </c>
      <c r="C125" s="93">
        <f>SUM(C106,C109,C111,C112,C113,C116,C117,C119,C120,C121)</f>
        <v>12.676981035853919</v>
      </c>
      <c r="D125" s="93">
        <f>SUM(D106,D109,D111,D112,D113,D116,D117,D119,D120,D121)+SUM(C106,C109,C111,C117,C120,C121)</f>
        <v>13.860272549321412</v>
      </c>
      <c r="E125" s="93">
        <f>SUM(E106,E109,E111,E112,E113,E116,E117,E119,E120,E121)+SUM(D106,D109,D111,D117,D120,D121)+SUM(C106,C109,C117,C120,C121)</f>
        <v>15.043564062788905</v>
      </c>
      <c r="F125" s="93">
        <f>SUM(F106,F109,F111,F112,F113,F116,F117,F119,F120,F121)+SUM(E106,E109,E111,E117,E120,E121)+SUM(D106,D109,D117,D120,D121)+SUM(C106,C109,C117,C120,C121)</f>
        <v>16.226855576256398</v>
      </c>
      <c r="G125" s="93">
        <f>SUM(G106,G109,G111,G112,G113,G116,G117,G119,G120,G121)+SUM(F106,F109,F111,F117,F120,F121)+SUM(E106,E109,E117,E120,E121)+SUM(D106,D109,D117,D120,D121)+SUM(C106,C109,C117,C120,C121)</f>
        <v>18.702074517232809</v>
      </c>
      <c r="H125" s="93">
        <f>SUM(H106,H109,H111,H112,H113,H116,H117,H119,H120,H121)+SUM(G106,G109,G111,G117,G120,G121)+SUM(F106,F109,F117,F120,F121)+SUM(E106,E109,E117,E120,E121)+SUM(D106,D109,D117,D120,D121)+C109</f>
        <v>20.775444619771946</v>
      </c>
      <c r="I125" s="93">
        <f>SUM(I106,I109,I111,I112,I113,I116,I117,I119,I120,I121)+SUM(H106,H109,H111,H117,H120,H121)+SUM(G106,G109,G117,G120,G121)+SUM(F106,F109,F117,F120,F121)+SUM(E106,E109,E117,E120,E121)+D109+C109/2</f>
        <v>23.533326543787343</v>
      </c>
      <c r="J125" s="93">
        <f>SUM(J106,J109,J111,J112,J113,J116,J117,J119,J120,J121)+SUM(I106,I109,I111,I117,I120,I121)+SUM(H106,H109,H117,H120,H121)+SUM(G106,G109,G117,G120,G121)+SUM(F106,F109,F117,F120,F121)+E109+D109/2</f>
        <v>27.051012601905256</v>
      </c>
      <c r="K125" s="93">
        <f t="shared" ref="K125" si="92">SUM(K106,K109,K111,K112,K113,K116,K117,K119,K120,K121)+SUM(J106,J109,J111,J117,J120,J121)+SUM(I106,I109,I117,I120,I121)+SUM(H106,H109,H117,H120,H121)+SUM(G106,G109,G117,G120,G121)+F109+E109/2</f>
        <v>31.328112414051738</v>
      </c>
      <c r="L125" s="93">
        <f>SUM(L106,L109,L111,L112,L113,L116,L117,L119,L120,L121)+SUM(K106,K109,K111,K117,K120,K121)+SUM(J106,J109,J117,J120,J121)+SUM(I106,I109,I117,I120,I121)+SUM(H106,H109,H117,H120,H121)+G109+F109/2</f>
        <v>36.334187639345842</v>
      </c>
      <c r="M125" s="93">
        <f t="shared" ref="M125" si="93">SUM(M106,M109,M111,M112,M113,M116,M117,M119,M120,M121)+SUM(L106,L109,L111,L117,L120,L121)+SUM(K106,K109,K117,K120,K121)+SUM(J106,J109,J117,J120,J121)+SUM(I106,I109,I117,I120,I121)+H109+G109/2</f>
        <v>41.883493128211619</v>
      </c>
      <c r="N125" s="93">
        <f t="shared" ref="N125" si="94">SUM(N106,N109,N111,N112,N113,N116,N117,N119,N120,N121)+SUM(M106,M109,M111,M117,M120,M121)+SUM(L106,L109,L117,L120,L121)+SUM(K106,K109,K117,K120,K121)+SUM(J106,J109,J117,J120,J121)+I109+H109/2</f>
        <v>47.870912144894696</v>
      </c>
      <c r="O125" s="93">
        <f t="shared" ref="O125" si="95">SUM(O106,O109,O111,O112,O113,O116,O117,O119,O120,O121)+SUM(N106,N109,N111,N117,N120,N121)+SUM(M106,M109,M117,M120,M121)+SUM(L106,L109,L117,L120,L121)+SUM(K106,K109,K117,K120,K121)+J109+I109/2</f>
        <v>54.572671918066057</v>
      </c>
      <c r="P125" s="93">
        <f t="shared" ref="P125" si="96">SUM(P106,P109,P111,P112,P113,P116,P117,P119,P120,P121)+SUM(O106,O109,O111,O117,O120,O121)+SUM(N106,N109,N117,N120,N121)+SUM(M106,M109,M117,M120,M121)+SUM(L106,L109,L117,L120,L121)+K109+J109/2</f>
        <v>62.189991042074553</v>
      </c>
      <c r="Q125" s="93">
        <f t="shared" ref="Q125" si="97">SUM(Q106,Q109,Q111,Q112,Q113,Q116,Q117,Q119,Q120,Q121)+SUM(P106,P109,P111,P117,P120,P121)+SUM(O106,O109,O117,O120,O121)+SUM(N106,N109,N117,N120,N121)+SUM(M106,M109,M117,M120,M121)+L109+K109/2</f>
        <v>70.777625898626226</v>
      </c>
      <c r="R125" s="93">
        <f t="shared" ref="R125" si="98">SUM(R106,R109,R111,R112,R113,R116,R117,R119,R120,R121)+SUM(Q106,Q109,Q111,Q117,Q120,Q121)+SUM(P106,P109,P117,P120,P121)+SUM(O106,O109,O117,O120,O121)+SUM(N106,N109,N117,N120,N121)+M109+L109/2</f>
        <v>80.423667556244339</v>
      </c>
    </row>
    <row r="127" spans="2:18" hidden="1" x14ac:dyDescent="0.3">
      <c r="B127" t="s">
        <v>307</v>
      </c>
      <c r="C127" s="58">
        <v>138587709</v>
      </c>
      <c r="D127" s="59" t="s">
        <v>93</v>
      </c>
      <c r="E127" s="73">
        <f>C127/1000000</f>
        <v>138.58770899999999</v>
      </c>
      <c r="F127" t="s">
        <v>0</v>
      </c>
      <c r="G127" t="s">
        <v>309</v>
      </c>
      <c r="K127" t="s">
        <v>311</v>
      </c>
      <c r="L127" t="s">
        <v>310</v>
      </c>
    </row>
    <row r="128" spans="2:18" hidden="1" x14ac:dyDescent="0.3">
      <c r="C128" s="109">
        <v>4691497</v>
      </c>
      <c r="D128" s="59" t="s">
        <v>94</v>
      </c>
      <c r="E128" s="110">
        <f>C128/1000000</f>
        <v>4.691497</v>
      </c>
      <c r="F128" t="s">
        <v>262</v>
      </c>
      <c r="G128" t="s">
        <v>308</v>
      </c>
      <c r="K128" t="s">
        <v>311</v>
      </c>
      <c r="L128" t="s">
        <v>310</v>
      </c>
    </row>
    <row r="131" spans="2:24" ht="18" x14ac:dyDescent="0.35">
      <c r="B131" s="5" t="s">
        <v>417</v>
      </c>
      <c r="C131" s="94">
        <v>2015</v>
      </c>
      <c r="D131" s="94">
        <v>2016</v>
      </c>
      <c r="E131" s="94">
        <v>2017</v>
      </c>
      <c r="F131" s="86" t="s">
        <v>275</v>
      </c>
      <c r="G131" s="86" t="s">
        <v>276</v>
      </c>
      <c r="H131" s="86" t="s">
        <v>277</v>
      </c>
      <c r="I131" s="86" t="s">
        <v>278</v>
      </c>
      <c r="J131" s="86" t="s">
        <v>279</v>
      </c>
      <c r="K131" s="86" t="s">
        <v>280</v>
      </c>
      <c r="L131" s="86" t="s">
        <v>281</v>
      </c>
      <c r="M131" s="86" t="s">
        <v>282</v>
      </c>
      <c r="N131" s="86" t="s">
        <v>283</v>
      </c>
      <c r="O131" s="86" t="s">
        <v>284</v>
      </c>
      <c r="P131" s="86" t="s">
        <v>285</v>
      </c>
      <c r="Q131" s="86" t="s">
        <v>286</v>
      </c>
      <c r="R131" s="86" t="s">
        <v>287</v>
      </c>
    </row>
    <row r="132" spans="2:24" x14ac:dyDescent="0.3">
      <c r="B132" s="86" t="s">
        <v>7</v>
      </c>
    </row>
    <row r="133" spans="2:24" x14ac:dyDescent="0.3">
      <c r="B133" s="142"/>
    </row>
    <row r="134" spans="2:24" x14ac:dyDescent="0.3">
      <c r="B134" s="103" t="s">
        <v>227</v>
      </c>
      <c r="C134" s="110">
        <f t="shared" ref="C134:H134" si="99">C82</f>
        <v>0.26955057182976594</v>
      </c>
      <c r="D134" s="110">
        <f t="shared" si="99"/>
        <v>0.30999975441492827</v>
      </c>
      <c r="E134" s="110">
        <f t="shared" si="99"/>
        <v>0.35651880493137106</v>
      </c>
      <c r="F134" s="110">
        <f t="shared" si="99"/>
        <v>0.41001857730366043</v>
      </c>
      <c r="G134" s="110">
        <f t="shared" si="99"/>
        <v>0.46351834967594979</v>
      </c>
      <c r="H134" s="110">
        <f t="shared" si="99"/>
        <v>0.52186005079298625</v>
      </c>
      <c r="I134" s="77">
        <f>H134+$X134</f>
        <v>0.55582936336292255</v>
      </c>
      <c r="J134" s="77">
        <f t="shared" ref="J134:Q134" si="100">I134+$X134</f>
        <v>0.58979867593285884</v>
      </c>
      <c r="K134" s="77">
        <f t="shared" si="100"/>
        <v>0.62376798850279513</v>
      </c>
      <c r="L134" s="77">
        <f t="shared" si="100"/>
        <v>0.65773730107273143</v>
      </c>
      <c r="M134" s="77">
        <f t="shared" si="100"/>
        <v>0.69170661364266772</v>
      </c>
      <c r="N134" s="77">
        <f t="shared" si="100"/>
        <v>0.72567592621260402</v>
      </c>
      <c r="O134" s="77">
        <f t="shared" si="100"/>
        <v>0.75964523878254031</v>
      </c>
      <c r="P134" s="77">
        <f t="shared" si="100"/>
        <v>0.7936145513524766</v>
      </c>
      <c r="Q134" s="77">
        <f t="shared" si="100"/>
        <v>0.8275838639224129</v>
      </c>
      <c r="R134" s="77">
        <f>R82*0.5</f>
        <v>0.8615531764923493</v>
      </c>
      <c r="X134" s="72">
        <f>(R134-H134)/10</f>
        <v>3.3969312569936308E-2</v>
      </c>
    </row>
    <row r="135" spans="2:24" x14ac:dyDescent="0.3">
      <c r="B135" s="96" t="s">
        <v>297</v>
      </c>
    </row>
    <row r="136" spans="2:24" x14ac:dyDescent="0.3">
      <c r="B136" s="103" t="s">
        <v>225</v>
      </c>
    </row>
    <row r="137" spans="2:24" x14ac:dyDescent="0.3">
      <c r="B137" s="103" t="s">
        <v>184</v>
      </c>
      <c r="C137" s="110">
        <f t="shared" ref="C137:H137" si="101">C85</f>
        <v>0.25424133046089065</v>
      </c>
      <c r="D137" s="110">
        <f t="shared" si="101"/>
        <v>0.29641414651068554</v>
      </c>
      <c r="E137" s="110">
        <f t="shared" si="101"/>
        <v>0.34558246722664027</v>
      </c>
      <c r="F137" s="110">
        <f t="shared" si="101"/>
        <v>0.402906686675788</v>
      </c>
      <c r="G137" s="110">
        <f t="shared" si="101"/>
        <v>0.46023090612493572</v>
      </c>
      <c r="H137" s="110">
        <f t="shared" si="101"/>
        <v>0.52484490119540084</v>
      </c>
      <c r="I137" s="77">
        <f>H137+$X137</f>
        <v>0.56869695216459615</v>
      </c>
      <c r="J137" s="77">
        <f t="shared" ref="J137:Q137" si="102">I137+$X137</f>
        <v>0.61254900313379146</v>
      </c>
      <c r="K137" s="77">
        <f t="shared" si="102"/>
        <v>0.65640105410298677</v>
      </c>
      <c r="L137" s="77">
        <f t="shared" si="102"/>
        <v>0.70025310507218208</v>
      </c>
      <c r="M137" s="77">
        <f t="shared" si="102"/>
        <v>0.74410515604137739</v>
      </c>
      <c r="N137" s="77">
        <f t="shared" si="102"/>
        <v>0.7879572070105727</v>
      </c>
      <c r="O137" s="77">
        <f t="shared" si="102"/>
        <v>0.83180925797976801</v>
      </c>
      <c r="P137" s="77">
        <f t="shared" si="102"/>
        <v>0.87566130894896332</v>
      </c>
      <c r="Q137" s="77">
        <f t="shared" si="102"/>
        <v>0.91951335991815863</v>
      </c>
      <c r="R137" s="77">
        <f>R85*0.5</f>
        <v>0.96336541088735439</v>
      </c>
      <c r="X137" s="72">
        <f>(R137-H137)/10</f>
        <v>4.3852050969195353E-2</v>
      </c>
    </row>
    <row r="138" spans="2:24" x14ac:dyDescent="0.3">
      <c r="B138" s="96" t="s">
        <v>299</v>
      </c>
    </row>
    <row r="139" spans="2:24" x14ac:dyDescent="0.3">
      <c r="B139" s="103" t="s">
        <v>224</v>
      </c>
      <c r="C139" s="110">
        <f t="shared" ref="C139:F141" si="103">C87</f>
        <v>0</v>
      </c>
      <c r="D139" s="110">
        <f t="shared" si="103"/>
        <v>0</v>
      </c>
      <c r="E139" s="110">
        <f t="shared" si="103"/>
        <v>0</v>
      </c>
      <c r="F139" s="110">
        <f t="shared" si="103"/>
        <v>0</v>
      </c>
      <c r="G139" s="110">
        <f t="shared" ref="G139:H141" si="104">G87</f>
        <v>0</v>
      </c>
      <c r="H139" s="110">
        <f t="shared" si="104"/>
        <v>0</v>
      </c>
      <c r="I139" s="77">
        <f>H139+$X139</f>
        <v>0</v>
      </c>
      <c r="J139" s="77">
        <f t="shared" ref="J139:Q141" si="105">I139+$X139</f>
        <v>0</v>
      </c>
      <c r="K139" s="77">
        <f t="shared" si="105"/>
        <v>0</v>
      </c>
      <c r="L139" s="77">
        <f t="shared" si="105"/>
        <v>0</v>
      </c>
      <c r="M139" s="77">
        <f t="shared" si="105"/>
        <v>0</v>
      </c>
      <c r="N139" s="77">
        <f t="shared" si="105"/>
        <v>0</v>
      </c>
      <c r="O139" s="77">
        <f t="shared" si="105"/>
        <v>0</v>
      </c>
      <c r="P139" s="77">
        <f t="shared" si="105"/>
        <v>0</v>
      </c>
      <c r="Q139" s="77">
        <f t="shared" si="105"/>
        <v>0</v>
      </c>
      <c r="R139" s="77">
        <f>R87*0.5</f>
        <v>0</v>
      </c>
      <c r="X139" s="72">
        <f>(R139-H139)/10</f>
        <v>0</v>
      </c>
    </row>
    <row r="140" spans="2:24" x14ac:dyDescent="0.3">
      <c r="B140" s="103" t="s">
        <v>223</v>
      </c>
      <c r="C140" s="110">
        <f t="shared" si="103"/>
        <v>0</v>
      </c>
      <c r="D140" s="110">
        <f t="shared" si="103"/>
        <v>0</v>
      </c>
      <c r="E140" s="110">
        <f t="shared" si="103"/>
        <v>0</v>
      </c>
      <c r="F140" s="110">
        <f t="shared" si="103"/>
        <v>0</v>
      </c>
      <c r="G140" s="110">
        <f t="shared" si="104"/>
        <v>0</v>
      </c>
      <c r="H140" s="110">
        <f t="shared" si="104"/>
        <v>0</v>
      </c>
      <c r="I140" s="77">
        <f>H140+$X140</f>
        <v>0</v>
      </c>
      <c r="J140" s="77">
        <f t="shared" si="105"/>
        <v>0</v>
      </c>
      <c r="K140" s="77">
        <f t="shared" si="105"/>
        <v>0</v>
      </c>
      <c r="L140" s="77">
        <f t="shared" si="105"/>
        <v>0</v>
      </c>
      <c r="M140" s="77">
        <f t="shared" si="105"/>
        <v>0</v>
      </c>
      <c r="N140" s="77">
        <f t="shared" si="105"/>
        <v>0</v>
      </c>
      <c r="O140" s="77">
        <f t="shared" si="105"/>
        <v>0</v>
      </c>
      <c r="P140" s="77">
        <f t="shared" si="105"/>
        <v>0</v>
      </c>
      <c r="Q140" s="77">
        <f t="shared" si="105"/>
        <v>0</v>
      </c>
      <c r="R140" s="77">
        <f>R88*0.5</f>
        <v>0</v>
      </c>
      <c r="X140" s="72">
        <f>(R140-H140)/10</f>
        <v>0</v>
      </c>
    </row>
    <row r="141" spans="2:24" x14ac:dyDescent="0.3">
      <c r="B141" s="103" t="s">
        <v>212</v>
      </c>
      <c r="C141" s="110">
        <f t="shared" si="103"/>
        <v>9.6073807061913907</v>
      </c>
      <c r="D141" s="110">
        <f t="shared" si="103"/>
        <v>10.004961424785625</v>
      </c>
      <c r="E141" s="110">
        <f t="shared" si="103"/>
        <v>10.418995163472633</v>
      </c>
      <c r="F141" s="110">
        <f t="shared" si="103"/>
        <v>10.850162794984703</v>
      </c>
      <c r="G141" s="110">
        <f t="shared" si="104"/>
        <v>11.281330426496773</v>
      </c>
      <c r="H141" s="110">
        <f t="shared" si="104"/>
        <v>11.736212679893786</v>
      </c>
      <c r="I141" s="77">
        <f>H141+$X141</f>
        <v>11.298409419726941</v>
      </c>
      <c r="J141" s="77">
        <f t="shared" si="105"/>
        <v>10.860606159560096</v>
      </c>
      <c r="K141" s="77">
        <f t="shared" si="105"/>
        <v>10.42280289939325</v>
      </c>
      <c r="L141" s="77">
        <f t="shared" si="105"/>
        <v>9.9849996392264053</v>
      </c>
      <c r="M141" s="77">
        <f t="shared" si="105"/>
        <v>9.5471963790595602</v>
      </c>
      <c r="N141" s="77">
        <f t="shared" si="105"/>
        <v>9.1093931188927151</v>
      </c>
      <c r="O141" s="77">
        <f t="shared" si="105"/>
        <v>8.67158985872587</v>
      </c>
      <c r="P141" s="77">
        <f t="shared" si="105"/>
        <v>8.2337865985590248</v>
      </c>
      <c r="Q141" s="77">
        <f t="shared" si="105"/>
        <v>7.7959833383921797</v>
      </c>
      <c r="R141" s="77">
        <f>R89*0.5</f>
        <v>7.3581800782253319</v>
      </c>
      <c r="X141" s="72">
        <f>(R141-H141)/10</f>
        <v>-0.4378032601668454</v>
      </c>
    </row>
    <row r="142" spans="2:24" x14ac:dyDescent="0.3">
      <c r="B142" s="96" t="s">
        <v>306</v>
      </c>
    </row>
    <row r="143" spans="2:24" x14ac:dyDescent="0.3">
      <c r="B143" s="103" t="s">
        <v>220</v>
      </c>
    </row>
    <row r="144" spans="2:24" x14ac:dyDescent="0.3">
      <c r="B144" s="103" t="s">
        <v>222</v>
      </c>
      <c r="C144" s="110">
        <f t="shared" ref="C144:F145" si="106">C92</f>
        <v>0</v>
      </c>
      <c r="D144" s="110">
        <f t="shared" si="106"/>
        <v>0</v>
      </c>
      <c r="E144" s="110">
        <f t="shared" si="106"/>
        <v>0</v>
      </c>
      <c r="F144" s="110">
        <f t="shared" si="106"/>
        <v>0</v>
      </c>
      <c r="G144" s="148">
        <f>G92</f>
        <v>3.2485678293037806E-2</v>
      </c>
      <c r="H144" s="148">
        <f>H92</f>
        <v>3.2557291896250305E-2</v>
      </c>
      <c r="I144" s="72">
        <f>H144+$X144</f>
        <v>3.3601009779642657E-2</v>
      </c>
      <c r="J144" s="72">
        <f t="shared" ref="J144:Q149" si="107">I144+$X144</f>
        <v>3.4644727663035016E-2</v>
      </c>
      <c r="K144" s="72">
        <f t="shared" si="107"/>
        <v>3.5688445546427375E-2</v>
      </c>
      <c r="L144" s="72">
        <f t="shared" si="107"/>
        <v>3.6732163429819734E-2</v>
      </c>
      <c r="M144" s="72">
        <f t="shared" si="107"/>
        <v>3.7775881313212092E-2</v>
      </c>
      <c r="N144" s="72">
        <f t="shared" si="107"/>
        <v>3.8819599196604451E-2</v>
      </c>
      <c r="O144" s="72">
        <f t="shared" si="107"/>
        <v>3.986331707999681E-2</v>
      </c>
      <c r="P144" s="72">
        <f t="shared" si="107"/>
        <v>4.0907034963389169E-2</v>
      </c>
      <c r="Q144" s="72">
        <f t="shared" si="107"/>
        <v>4.1950752846781528E-2</v>
      </c>
      <c r="R144" s="72">
        <f>R92*0.5</f>
        <v>4.2994470730173859E-2</v>
      </c>
      <c r="X144" s="72">
        <f>(R144-H144)/10</f>
        <v>1.0437178833923554E-3</v>
      </c>
    </row>
    <row r="145" spans="2:24" x14ac:dyDescent="0.3">
      <c r="B145" s="103" t="s">
        <v>181</v>
      </c>
      <c r="C145" s="110">
        <f t="shared" si="106"/>
        <v>0.26610562213621386</v>
      </c>
      <c r="D145" s="110">
        <f t="shared" si="106"/>
        <v>0.27778436455617167</v>
      </c>
      <c r="E145" s="110">
        <f t="shared" si="106"/>
        <v>0.28997565918534929</v>
      </c>
      <c r="F145" s="110">
        <f t="shared" si="106"/>
        <v>0.30270200072032694</v>
      </c>
      <c r="G145" s="110">
        <f>G93</f>
        <v>0.31542834225530458</v>
      </c>
      <c r="H145" s="110">
        <f>H93</f>
        <v>0.32725404918192241</v>
      </c>
      <c r="I145" s="77">
        <f>H145+$X145</f>
        <v>0.32376070679712216</v>
      </c>
      <c r="J145" s="77">
        <f t="shared" si="107"/>
        <v>0.3202673644123219</v>
      </c>
      <c r="K145" s="77">
        <f t="shared" si="107"/>
        <v>0.31677402202752164</v>
      </c>
      <c r="L145" s="77">
        <f t="shared" si="107"/>
        <v>0.31328067964272138</v>
      </c>
      <c r="M145" s="77">
        <f t="shared" si="107"/>
        <v>0.30978733725792112</v>
      </c>
      <c r="N145" s="77">
        <f t="shared" si="107"/>
        <v>0.30629399487312087</v>
      </c>
      <c r="O145" s="77">
        <f t="shared" si="107"/>
        <v>0.30280065248832061</v>
      </c>
      <c r="P145" s="77">
        <f t="shared" si="107"/>
        <v>0.29930731010352035</v>
      </c>
      <c r="Q145" s="77">
        <f t="shared" si="107"/>
        <v>0.29581396771872009</v>
      </c>
      <c r="R145" s="77">
        <f>R93*0.5</f>
        <v>0.29232062533391967</v>
      </c>
      <c r="X145" s="72">
        <f>(R145-H145)/10</f>
        <v>-3.4933423848002741E-3</v>
      </c>
    </row>
    <row r="146" spans="2:24" x14ac:dyDescent="0.3">
      <c r="B146" s="96" t="s">
        <v>303</v>
      </c>
    </row>
    <row r="147" spans="2:24" x14ac:dyDescent="0.3">
      <c r="B147" s="103" t="s">
        <v>221</v>
      </c>
      <c r="C147" s="110">
        <f t="shared" ref="C147:F149" si="108">C95</f>
        <v>0</v>
      </c>
      <c r="D147" s="110">
        <f t="shared" si="108"/>
        <v>0</v>
      </c>
      <c r="E147" s="110">
        <f t="shared" si="108"/>
        <v>0</v>
      </c>
      <c r="F147" s="110">
        <f t="shared" si="108"/>
        <v>0</v>
      </c>
      <c r="G147" s="110">
        <f t="shared" ref="G147:H149" si="109">G95</f>
        <v>3.7506382104655622E-2</v>
      </c>
      <c r="H147" s="110">
        <f t="shared" si="109"/>
        <v>3.759365170890714E-2</v>
      </c>
      <c r="I147" s="77">
        <f>H147+$X147</f>
        <v>3.5809864425984793E-2</v>
      </c>
      <c r="J147" s="77">
        <f t="shared" si="107"/>
        <v>3.4026077143062446E-2</v>
      </c>
      <c r="K147" s="77">
        <f t="shared" si="107"/>
        <v>3.2242289860140098E-2</v>
      </c>
      <c r="L147" s="77">
        <f t="shared" si="107"/>
        <v>3.0458502577217751E-2</v>
      </c>
      <c r="M147" s="77">
        <f t="shared" si="107"/>
        <v>2.8674715294295404E-2</v>
      </c>
      <c r="N147" s="77">
        <f t="shared" si="107"/>
        <v>2.6890928011373057E-2</v>
      </c>
      <c r="O147" s="77">
        <f t="shared" si="107"/>
        <v>2.5107140728450709E-2</v>
      </c>
      <c r="P147" s="77">
        <f t="shared" si="107"/>
        <v>2.3323353445528362E-2</v>
      </c>
      <c r="Q147" s="77">
        <f t="shared" si="107"/>
        <v>2.1539566162606015E-2</v>
      </c>
      <c r="R147" s="77">
        <f>R95*0.5</f>
        <v>1.9755778879683668E-2</v>
      </c>
      <c r="X147" s="72">
        <f>(R147-H147)/10</f>
        <v>-1.7837872829223472E-3</v>
      </c>
    </row>
    <row r="148" spans="2:24" x14ac:dyDescent="0.3">
      <c r="B148" s="103" t="s">
        <v>226</v>
      </c>
      <c r="C148" s="110">
        <f t="shared" si="108"/>
        <v>0</v>
      </c>
      <c r="D148" s="110">
        <f t="shared" si="108"/>
        <v>0</v>
      </c>
      <c r="E148" s="110">
        <f t="shared" si="108"/>
        <v>0</v>
      </c>
      <c r="F148" s="110">
        <f t="shared" si="108"/>
        <v>0</v>
      </c>
      <c r="G148" s="110">
        <f t="shared" si="109"/>
        <v>0</v>
      </c>
      <c r="H148" s="110">
        <f t="shared" si="109"/>
        <v>0.19970136967529414</v>
      </c>
      <c r="I148" s="77">
        <f>H148+$X148</f>
        <v>0.19283626374574564</v>
      </c>
      <c r="J148" s="77">
        <f t="shared" si="107"/>
        <v>0.18597115781619714</v>
      </c>
      <c r="K148" s="77">
        <f t="shared" si="107"/>
        <v>0.17910605188664863</v>
      </c>
      <c r="L148" s="77">
        <f t="shared" si="107"/>
        <v>0.17224094595710013</v>
      </c>
      <c r="M148" s="77">
        <f t="shared" si="107"/>
        <v>0.16537584002755162</v>
      </c>
      <c r="N148" s="77">
        <f t="shared" si="107"/>
        <v>0.15851073409800312</v>
      </c>
      <c r="O148" s="77">
        <f t="shared" si="107"/>
        <v>0.15164562816845462</v>
      </c>
      <c r="P148" s="77">
        <f t="shared" si="107"/>
        <v>0.14478052223890611</v>
      </c>
      <c r="Q148" s="77">
        <f t="shared" si="107"/>
        <v>0.13791541630935761</v>
      </c>
      <c r="R148" s="77">
        <f>R96*0.5</f>
        <v>0.13105031037980902</v>
      </c>
      <c r="X148" s="72">
        <f>(R148-H148)/10</f>
        <v>-6.8651059295485126E-3</v>
      </c>
    </row>
    <row r="149" spans="2:24" x14ac:dyDescent="0.3">
      <c r="B149" s="103" t="s">
        <v>273</v>
      </c>
      <c r="C149" s="110">
        <f t="shared" si="108"/>
        <v>0</v>
      </c>
      <c r="D149" s="110">
        <f t="shared" si="108"/>
        <v>0</v>
      </c>
      <c r="E149" s="110">
        <f t="shared" si="108"/>
        <v>0</v>
      </c>
      <c r="F149" s="110">
        <f t="shared" si="108"/>
        <v>0</v>
      </c>
      <c r="G149" s="110">
        <f t="shared" si="109"/>
        <v>0.13262946813380574</v>
      </c>
      <c r="H149" s="110">
        <f t="shared" si="109"/>
        <v>0.29636094219275</v>
      </c>
      <c r="I149" s="77">
        <f>H149+$X149</f>
        <v>0.39358049812171869</v>
      </c>
      <c r="J149" s="77">
        <f t="shared" si="107"/>
        <v>0.49080005405068738</v>
      </c>
      <c r="K149" s="77">
        <f t="shared" si="107"/>
        <v>0.58801960997965608</v>
      </c>
      <c r="L149" s="77">
        <f t="shared" si="107"/>
        <v>0.68523916590862477</v>
      </c>
      <c r="M149" s="77">
        <f t="shared" si="107"/>
        <v>0.78245872183759346</v>
      </c>
      <c r="N149" s="77">
        <f t="shared" si="107"/>
        <v>0.87967827776656216</v>
      </c>
      <c r="O149" s="77">
        <f t="shared" si="107"/>
        <v>0.97689783369553085</v>
      </c>
      <c r="P149" s="77">
        <f t="shared" si="107"/>
        <v>1.0741173896244995</v>
      </c>
      <c r="Q149" s="77">
        <f t="shared" si="107"/>
        <v>1.1713369455534683</v>
      </c>
      <c r="R149" s="77">
        <f>R97*0.5</f>
        <v>1.2685565014824371</v>
      </c>
      <c r="X149" s="72">
        <f>(R149-H149)/10</f>
        <v>9.7219555928968721E-2</v>
      </c>
    </row>
    <row r="150" spans="2:24" x14ac:dyDescent="0.3">
      <c r="B150" s="103" t="s">
        <v>219</v>
      </c>
    </row>
    <row r="151" spans="2:24" x14ac:dyDescent="0.3">
      <c r="B151" s="90" t="s">
        <v>274</v>
      </c>
    </row>
    <row r="152" spans="2:24" x14ac:dyDescent="0.3">
      <c r="B152" s="92" t="s">
        <v>291</v>
      </c>
      <c r="C152" s="108">
        <f>SUM(C134:C151)</f>
        <v>10.397278230618261</v>
      </c>
      <c r="D152" s="108">
        <f>SUM(D134:D151)</f>
        <v>10.889159690267411</v>
      </c>
      <c r="E152" s="108">
        <f>SUM(E134:E151)</f>
        <v>11.411072094815994</v>
      </c>
      <c r="F152" s="149">
        <f>SUM(F134,F137,F139,F140,F141,F144,F145,F147,F148,F149)</f>
        <v>11.965790059684478</v>
      </c>
      <c r="G152" s="149">
        <f t="shared" ref="G152:R152" si="110">SUM(G134,G137,G139,G140,G141,G144,G145,G147,G148,G149)</f>
        <v>12.72312955308446</v>
      </c>
      <c r="H152" s="149">
        <f t="shared" si="110"/>
        <v>13.676384936537296</v>
      </c>
      <c r="I152" s="149">
        <f t="shared" si="110"/>
        <v>13.402524078124673</v>
      </c>
      <c r="J152" s="149">
        <f t="shared" si="110"/>
        <v>13.128663219712051</v>
      </c>
      <c r="K152" s="149">
        <f t="shared" si="110"/>
        <v>12.854802361299424</v>
      </c>
      <c r="L152" s="149">
        <f t="shared" si="110"/>
        <v>12.580941502886803</v>
      </c>
      <c r="M152" s="149">
        <f t="shared" si="110"/>
        <v>12.307080644474182</v>
      </c>
      <c r="N152" s="149">
        <f t="shared" si="110"/>
        <v>12.033219786061554</v>
      </c>
      <c r="O152" s="149">
        <f t="shared" si="110"/>
        <v>11.759358927648933</v>
      </c>
      <c r="P152" s="149">
        <f t="shared" si="110"/>
        <v>11.485498069236307</v>
      </c>
      <c r="Q152" s="149">
        <f t="shared" si="110"/>
        <v>11.211637210823685</v>
      </c>
      <c r="R152" s="149">
        <f t="shared" si="110"/>
        <v>10.93777635241106</v>
      </c>
    </row>
    <row r="153" spans="2:24" x14ac:dyDescent="0.3">
      <c r="B153" s="92" t="s">
        <v>409</v>
      </c>
      <c r="C153" s="93">
        <f>SUM(C134,C137,C139,C140,C141,C144,C145,C147,C148,C149)</f>
        <v>10.397278230618261</v>
      </c>
      <c r="D153" s="93">
        <f>SUM(D134,D137,D139,D140,D141,D144,D145,D147,D148,D149)+SUM(C134,C137,C139,C145,C148,C149)</f>
        <v>11.67905721469428</v>
      </c>
      <c r="E153" s="93">
        <f>SUM(E134,E137,E139,E140,E141,E144,E145,E147,E148,E149)+SUM(D134,D137,D139,D145,D148,D149)+SUM(C134,C137,C145,C148,C149)</f>
        <v>13.085167884724649</v>
      </c>
      <c r="F153" s="93">
        <f>SUM(F134,F137,F139,F140,F141,F144,F145,F147,F148,F149)+SUM(E134,E137,E139,E145,E148,E149)+SUM(D134,D137,D145,D148,D149)+SUM(C134,C137,C145,C148,C149)</f>
        <v>14.631962780936494</v>
      </c>
      <c r="G153" s="93">
        <f>SUM(G134,G137,G139,G140,G141,G144,G145,G147,G148,G149)+SUM(F134,F137,F139,F145,F148,F149)+SUM(E134,E137,E145,E148,E149)+SUM(D134,D137,D145,D148,D149)+SUM(C134,C137,C145,C148,C149)</f>
        <v>16.504929539036251</v>
      </c>
      <c r="H153" s="93">
        <f>SUM(H134,H137,H139,H140,H141,H144,H145,H147,H148,H149)+SUM(G134,G137,G139,G145,G148,G149)+SUM(F134,F137,F145,F148,F149)+SUM(E134,E137,E145,E148,E149)+SUM(D134,D137,D145,D148,D149)+C137</f>
        <v>18.294335794713103</v>
      </c>
      <c r="I153" s="93">
        <f>SUM(I134,I137,I139,I140,I141,I144,I145,I147,I148,I149)+SUM(H134,H137,H139,H145,H148,H149)+SUM(G134,G137,G145,G148,G149)+SUM(F134,F137,F145,F148,F149)+SUM(E134,E137,E145,E148,E149)+D137+C137/2</f>
        <v>19.175591465137291</v>
      </c>
      <c r="J153" s="93">
        <f>SUM(J134,J137,J139,J140,J141,J144,J145,J147,J148,J149)+SUM(I134,I137,I139,I145,I148,I149)+SUM(H134,H137,H145,H148,H149)+SUM(G134,G137,G145,G148,G149)+SUM(F134,F137,F145,F148,F149)+E137+D137/2</f>
        <v>20.014612188314263</v>
      </c>
      <c r="K153" s="93">
        <f t="shared" ref="K153" si="111">SUM(K134,K137,K139,K140,K141,K144,K145,K147,K148,K149)+SUM(J134,J137,J139,J145,J148,J149)+SUM(I134,I137,I145,I148,I149)+SUM(H134,H137,H145,H148,H149)+SUM(G134,G137,G145,G148,G149)+F137+E137/2</f>
        <v>20.906418700354845</v>
      </c>
      <c r="L153" s="93">
        <f>SUM(L134,L137,L139,L140,L141,L144,L145,L147,L148,L149)+SUM(K134,K137,K139,K145,K148,K149)+SUM(J134,J137,J145,J148,J149)+SUM(I134,I137,I145,I148,I149)+SUM(H134,H137,H145,H148,H149)+G137+F137/2</f>
        <v>21.710805831425553</v>
      </c>
      <c r="M153" s="93">
        <f t="shared" ref="M153" si="112">SUM(M134,M137,M139,M140,M141,M144,M145,M147,M148,M149)+SUM(L134,L137,L139,L145,L148,L149)+SUM(K134,K137,K145,K148,K149)+SUM(J134,J137,J145,J148,J149)+SUM(I134,I137,I145,I148,I149)+H137+G137/2</f>
        <v>22.188950962422979</v>
      </c>
      <c r="N153" s="93">
        <f t="shared" ref="N153" si="113">SUM(N134,N137,N139,N140,N141,N144,N145,N147,N148,N149)+SUM(M134,M137,M139,M145,M148,M149)+SUM(L134,L137,L145,L148,L149)+SUM(K134,K137,K145,K148,K149)+SUM(J134,J137,J145,J148,J149)+I137+H137/2</f>
        <v>22.649979037129789</v>
      </c>
      <c r="O153" s="93">
        <f t="shared" ref="O153" si="114">SUM(O134,O137,O139,O140,O141,O144,O145,O147,O148,O149)+SUM(N134,N137,N139,N145,N148,N149)+SUM(M134,M137,M145,M148,M149)+SUM(L134,L137,L145,L148,L149)+SUM(K134,K137,K145,K148,K149)+J137+I137/2</f>
        <v>23.100626139785962</v>
      </c>
      <c r="P153" s="93">
        <f t="shared" ref="P153" si="115">SUM(P134,P137,P139,P140,P141,P144,P145,P147,P148,P149)+SUM(O134,O137,O139,O145,O148,O149)+SUM(N134,N137,N145,N148,N149)+SUM(M134,M137,M145,M148,M149)+SUM(L134,L137,L145,L148,L149)+K137+J137/2</f>
        <v>23.551273242442139</v>
      </c>
      <c r="Q153" s="93">
        <f t="shared" ref="Q153" si="116">SUM(Q134,Q137,Q139,Q140,Q141,Q144,Q145,Q147,Q148,Q149)+SUM(P134,P137,P139,P145,P148,P149)+SUM(O134,O137,O145,O148,O149)+SUM(N134,N137,N145,N148,N149)+SUM(M134,M137,M145,M148,M149)+L137+K137/2</f>
        <v>24.001920345098313</v>
      </c>
      <c r="R153" s="93">
        <f t="shared" ref="R153" si="117">SUM(R134,R137,R139,R140,R141,R144,R145,R147,R148,R149)+SUM(Q134,Q137,Q139,Q145,Q148,Q149)+SUM(P134,P137,P145,P148,P149)+SUM(O134,O137,O145,O148,O149)+SUM(N134,N137,N145,N148,N149)+M137+L137/2</f>
        <v>24.45256744775449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Z5JXHV6S7NA6-3-113416</_dlc_DocId>
    <_dlc_DocIdUrl xmlns="8eef3743-c7b3-4cbe-8837-b6e805be353c">
      <Url>http://efilingspinternal/_layouts/DocIdRedir.aspx?ID=Z5JXHV6S7NA6-3-113416</Url>
      <Description>Z5JXHV6S7NA6-3-113416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02EE2-6533-4455-BCD2-132AC84631BE}"/>
</file>

<file path=customXml/itemProps2.xml><?xml version="1.0" encoding="utf-8"?>
<ds:datastoreItem xmlns:ds="http://schemas.openxmlformats.org/officeDocument/2006/customXml" ds:itemID="{1ABCFD06-91ED-40CB-8EE6-6F7CDCE84BEA}"/>
</file>

<file path=customXml/itemProps3.xml><?xml version="1.0" encoding="utf-8"?>
<ds:datastoreItem xmlns:ds="http://schemas.openxmlformats.org/officeDocument/2006/customXml" ds:itemID="{AEA0EE5B-7280-41EF-94A4-8341D5E554CF}"/>
</file>

<file path=customXml/itemProps4.xml><?xml version="1.0" encoding="utf-8"?>
<ds:datastoreItem xmlns:ds="http://schemas.openxmlformats.org/officeDocument/2006/customXml" ds:itemID="{ED4E7918-315F-4EDD-BAD5-F0ADA3EDDCB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19</vt:i4>
      </vt:variant>
      <vt:variant>
        <vt:lpstr>Charts</vt:lpstr>
      </vt:variant>
      <vt:variant>
        <vt:i4>2</vt:i4>
      </vt:variant>
      <vt:variant>
        <vt:lpstr>Named Ranges</vt:lpstr>
      </vt:variant>
      <vt:variant>
        <vt:i4>14</vt:i4>
      </vt:variant>
    </vt:vector>
  </HeadingPairs>
  <TitlesOfParts>
    <vt:vector size="35" baseType="lpstr">
      <vt:lpstr>Home</vt:lpstr>
      <vt:lpstr>Program Analysis</vt:lpstr>
      <vt:lpstr>SB 350 Potential</vt:lpstr>
      <vt:lpstr>Reference</vt:lpstr>
      <vt:lpstr>Conservative</vt:lpstr>
      <vt:lpstr>Aggressive</vt:lpstr>
      <vt:lpstr>Look-up</vt:lpstr>
      <vt:lpstr>POU BRO savings</vt:lpstr>
      <vt:lpstr>2018 PGT BRO 0609 for 2015-17</vt:lpstr>
      <vt:lpstr>addl HER savings</vt:lpstr>
      <vt:lpstr>Res P4P</vt:lpstr>
      <vt:lpstr>MAS savings</vt:lpstr>
      <vt:lpstr>Smart Thermostat</vt:lpstr>
      <vt:lpstr>HER eval vs Nav</vt:lpstr>
      <vt:lpstr>Navigant Measure Inputs</vt:lpstr>
      <vt:lpstr>Navigant Penetration Rates</vt:lpstr>
      <vt:lpstr>arch AMI RT</vt:lpstr>
      <vt:lpstr>arch 2018 PGT BRO 0609</vt:lpstr>
      <vt:lpstr>arch 2018 PGT BRO</vt:lpstr>
      <vt:lpstr>Graph (electricity)</vt:lpstr>
      <vt:lpstr>Graph (gas)</vt:lpstr>
      <vt:lpstr>'Program Analysis'!_ftn1</vt:lpstr>
      <vt:lpstr>'Program Analysis'!_ftn2</vt:lpstr>
      <vt:lpstr>'Program Analysis'!_ftn3</vt:lpstr>
      <vt:lpstr>'Program Analysis'!_ftn4</vt:lpstr>
      <vt:lpstr>'Program Analysis'!_ftnref1</vt:lpstr>
      <vt:lpstr>'Program Analysis'!_ftnref2</vt:lpstr>
      <vt:lpstr>'Program Analysis'!_ftnref3</vt:lpstr>
      <vt:lpstr>'Program Analysis'!_ftnref4</vt:lpstr>
      <vt:lpstr>Bldg_Sectors</vt:lpstr>
      <vt:lpstr>Non_Residential</vt:lpstr>
      <vt:lpstr>NR_BldgTypes</vt:lpstr>
      <vt:lpstr>Programs</vt:lpstr>
      <vt:lpstr>RES_BldgTypes</vt:lpstr>
      <vt:lpstr>Residential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A14 - BROS</dc:title>
  <dc:creator/>
  <cp:lastModifiedBy/>
  <dcterms:created xsi:type="dcterms:W3CDTF">2017-08-31T03:52:37Z</dcterms:created>
  <dcterms:modified xsi:type="dcterms:W3CDTF">2017-09-01T03:17:46Z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d5c14577-ac87-4d24-8b7b-b60d8e82906a</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http://efilingspinternal/PendingDocuments/17-IEPR-06/20171025T140101_Program_Workbook_A14_BROS.xlsx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2493200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