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3.xml" ContentType="application/vnd.openxmlformats-officedocument.drawingml.chartshapes+xml"/>
  <Override PartName="/xl/drawings/drawing5.xml" ContentType="application/vnd.openxmlformats-officedocument.drawingml.chartshapes+xml"/>
  <Override PartName="/xl/worksheets/sheet6.xml" ContentType="application/vnd.openxmlformats-officedocument.spreadsheetml.workshee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charts/chart5.xml" ContentType="application/vnd.openxmlformats-officedocument.drawingml.chart+xml"/>
  <Override PartName="/xl/worksheets/sheet3.xml" ContentType="application/vnd.openxmlformats-officedocument.spreadsheetml.worksheet+xml"/>
  <Override PartName="/xl/charts/chart4.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8.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6225" windowHeight="8565" tabRatio="898"/>
  </bookViews>
  <sheets>
    <sheet name="Home" sheetId="49" r:id="rId1"/>
    <sheet name="Program Analysis" sheetId="50" r:id="rId2"/>
    <sheet name="ECAA Funding" sheetId="57" r:id="rId3"/>
    <sheet name="SB 350 Potential" sheetId="51" r:id="rId4"/>
    <sheet name="Reference" sheetId="52" r:id="rId5"/>
    <sheet name="Conservative" sheetId="53" r:id="rId6"/>
    <sheet name="Aggressive" sheetId="54" r:id="rId7"/>
    <sheet name="Graph (electricity)" sheetId="55" r:id="rId8"/>
    <sheet name="Graph (gas)" sheetId="56" r:id="rId9"/>
    <sheet name="Raw Annual Data" sheetId="37" r:id="rId10"/>
    <sheet name="Raw Measure Data" sheetId="38" r:id="rId11"/>
    <sheet name="Historical Loan Data" sheetId="44" r:id="rId12"/>
    <sheet name="Look-up" sheetId="43" r:id="rId13"/>
  </sheets>
  <externalReferences>
    <externalReference r:id="rId14"/>
    <externalReference r:id="rId15"/>
    <externalReference r:id="rId16"/>
    <externalReference r:id="rId17"/>
    <externalReference r:id="rId18"/>
  </externalReferences>
  <definedNames>
    <definedName name="_xlnm._FilterDatabase" localSheetId="9" hidden="1">'Raw Annual Data'!$A$11:$I$337</definedName>
    <definedName name="_xlnm._FilterDatabase" localSheetId="10" hidden="1">'Raw Measure Data'!$A$1:$O$150</definedName>
    <definedName name="anchor_first_data_row" localSheetId="0">'[1]County Data'!#REF!</definedName>
    <definedName name="anchor_first_data_row">'[1]County Data'!#REF!</definedName>
    <definedName name="Bldg_Sectors" localSheetId="3">'[2]Look-up'!$B$23:$C$23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3">'[2]Look-up'!$A$4:$A$20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D37" i="51" l="1"/>
  <c r="C37" i="51"/>
  <c r="B37" i="51"/>
  <c r="D23" i="51"/>
  <c r="C23" i="51"/>
  <c r="B23" i="51"/>
  <c r="D9" i="51"/>
  <c r="C9" i="51"/>
  <c r="B9" i="51"/>
  <c r="C71" i="52" l="1"/>
  <c r="C45" i="52"/>
  <c r="Q71" i="54"/>
  <c r="P71" i="54"/>
  <c r="O71" i="54"/>
  <c r="N71" i="54"/>
  <c r="M71" i="54"/>
  <c r="L71" i="54"/>
  <c r="K71" i="54"/>
  <c r="J71" i="54"/>
  <c r="I71" i="54"/>
  <c r="H71" i="54"/>
  <c r="G71" i="54"/>
  <c r="F71" i="54"/>
  <c r="E71" i="54"/>
  <c r="D71" i="54"/>
  <c r="C71" i="54"/>
  <c r="Q45" i="54"/>
  <c r="P45" i="54"/>
  <c r="O45" i="54"/>
  <c r="N45" i="54"/>
  <c r="M45" i="54"/>
  <c r="L45" i="54"/>
  <c r="K45" i="54"/>
  <c r="J45" i="54"/>
  <c r="I45" i="54"/>
  <c r="H45" i="54"/>
  <c r="G45" i="54"/>
  <c r="F45" i="54"/>
  <c r="E45" i="54"/>
  <c r="D45" i="54"/>
  <c r="C45" i="54"/>
  <c r="Q45" i="53"/>
  <c r="I45" i="53"/>
  <c r="G25" i="54"/>
  <c r="Q10" i="54"/>
  <c r="P10" i="54"/>
  <c r="O10" i="54"/>
  <c r="N10" i="54"/>
  <c r="M10" i="54"/>
  <c r="L10" i="54"/>
  <c r="K10" i="54"/>
  <c r="J10" i="54"/>
  <c r="I10" i="54"/>
  <c r="H10" i="54"/>
  <c r="G10" i="54"/>
  <c r="F10" i="54"/>
  <c r="E10" i="54"/>
  <c r="D10" i="54"/>
  <c r="C10" i="54"/>
  <c r="Q9" i="54"/>
  <c r="P9" i="54"/>
  <c r="O9" i="54"/>
  <c r="N9" i="54"/>
  <c r="M9" i="54"/>
  <c r="L9" i="54"/>
  <c r="K9" i="54"/>
  <c r="J9" i="54"/>
  <c r="I9" i="54"/>
  <c r="H9" i="54"/>
  <c r="G9" i="54"/>
  <c r="F9" i="54"/>
  <c r="E9" i="54"/>
  <c r="D9" i="54"/>
  <c r="C9" i="54"/>
  <c r="Q26" i="53"/>
  <c r="Q71" i="53" s="1"/>
  <c r="P26" i="53"/>
  <c r="P71" i="53" s="1"/>
  <c r="O26" i="53"/>
  <c r="O71" i="53" s="1"/>
  <c r="N26" i="53"/>
  <c r="N71" i="53" s="1"/>
  <c r="M26" i="53"/>
  <c r="M71" i="53" s="1"/>
  <c r="L26" i="53"/>
  <c r="L71" i="53" s="1"/>
  <c r="K26" i="53"/>
  <c r="K71" i="53" s="1"/>
  <c r="J26" i="53"/>
  <c r="J71" i="53" s="1"/>
  <c r="I26" i="53"/>
  <c r="I71" i="53" s="1"/>
  <c r="H26" i="53"/>
  <c r="H71" i="53" s="1"/>
  <c r="G26" i="53"/>
  <c r="G71" i="53" s="1"/>
  <c r="F26" i="53"/>
  <c r="F71" i="53" s="1"/>
  <c r="E26" i="53"/>
  <c r="E71" i="53" s="1"/>
  <c r="D26" i="53"/>
  <c r="D71" i="53" s="1"/>
  <c r="C26" i="53"/>
  <c r="C71" i="53" s="1"/>
  <c r="Q25" i="53"/>
  <c r="P25" i="53"/>
  <c r="P45" i="53" s="1"/>
  <c r="O25" i="53"/>
  <c r="O45" i="53" s="1"/>
  <c r="N25" i="53"/>
  <c r="N45" i="53" s="1"/>
  <c r="M25" i="53"/>
  <c r="M45" i="53" s="1"/>
  <c r="L25" i="53"/>
  <c r="L45" i="53" s="1"/>
  <c r="K25" i="53"/>
  <c r="K45" i="53" s="1"/>
  <c r="J25" i="53"/>
  <c r="J45" i="53" s="1"/>
  <c r="I25" i="53"/>
  <c r="H25" i="53"/>
  <c r="H45" i="53" s="1"/>
  <c r="G25" i="53"/>
  <c r="G45" i="53" s="1"/>
  <c r="F25" i="53"/>
  <c r="F45" i="53" s="1"/>
  <c r="E25" i="53"/>
  <c r="E45" i="53" s="1"/>
  <c r="D25" i="53"/>
  <c r="D45" i="53" s="1"/>
  <c r="C25" i="53"/>
  <c r="C45" i="53" s="1"/>
  <c r="Q10" i="53"/>
  <c r="P10" i="53"/>
  <c r="O10" i="53"/>
  <c r="N10" i="53"/>
  <c r="M10" i="53"/>
  <c r="L10" i="53"/>
  <c r="K10" i="53"/>
  <c r="J10" i="53"/>
  <c r="I10" i="53"/>
  <c r="H10" i="53"/>
  <c r="G10" i="53"/>
  <c r="F10" i="53"/>
  <c r="E10" i="53"/>
  <c r="D10" i="53"/>
  <c r="C10" i="53"/>
  <c r="Q9" i="53"/>
  <c r="P9" i="53"/>
  <c r="O9" i="53"/>
  <c r="N9" i="53"/>
  <c r="M9" i="53"/>
  <c r="L9" i="53"/>
  <c r="K9" i="53"/>
  <c r="J9" i="53"/>
  <c r="I9" i="53"/>
  <c r="H9" i="53"/>
  <c r="G9" i="53"/>
  <c r="F9" i="53"/>
  <c r="E9" i="53"/>
  <c r="D9" i="53"/>
  <c r="C9" i="53"/>
  <c r="Q26" i="52"/>
  <c r="P26" i="52"/>
  <c r="O26" i="52"/>
  <c r="N26" i="52"/>
  <c r="M26" i="52"/>
  <c r="L26" i="52"/>
  <c r="K26" i="52"/>
  <c r="J26" i="52"/>
  <c r="I26" i="52"/>
  <c r="H26" i="52"/>
  <c r="G26" i="52"/>
  <c r="Q25" i="52"/>
  <c r="P25" i="52"/>
  <c r="O25" i="52"/>
  <c r="N25" i="52"/>
  <c r="M25" i="52"/>
  <c r="L25" i="52"/>
  <c r="K25" i="52"/>
  <c r="J25" i="52"/>
  <c r="I25" i="52"/>
  <c r="H25" i="52"/>
  <c r="G25" i="52"/>
  <c r="N18" i="52"/>
  <c r="J18" i="52"/>
  <c r="F18" i="52"/>
  <c r="C1" i="54"/>
  <c r="C1" i="53"/>
  <c r="C1" i="52"/>
  <c r="C1" i="51"/>
  <c r="Q10" i="52"/>
  <c r="Q18" i="52" s="1"/>
  <c r="P10" i="52"/>
  <c r="P18" i="52" s="1"/>
  <c r="O10" i="52"/>
  <c r="O18" i="52" s="1"/>
  <c r="N10" i="52"/>
  <c r="M10" i="52"/>
  <c r="M18" i="52" s="1"/>
  <c r="L10" i="52"/>
  <c r="L18" i="52" s="1"/>
  <c r="K10" i="52"/>
  <c r="K18" i="52" s="1"/>
  <c r="J10" i="52"/>
  <c r="I10" i="52"/>
  <c r="I18" i="52" s="1"/>
  <c r="H10" i="52"/>
  <c r="H18" i="52" s="1"/>
  <c r="G10" i="52"/>
  <c r="G18" i="52" s="1"/>
  <c r="F10" i="52"/>
  <c r="E10" i="52"/>
  <c r="E18" i="52" s="1"/>
  <c r="D10" i="52"/>
  <c r="D18" i="52" s="1"/>
  <c r="C10" i="52"/>
  <c r="C18" i="52" s="1"/>
  <c r="C9" i="52"/>
  <c r="C17" i="52" s="1"/>
  <c r="D9" i="52"/>
  <c r="D17" i="52" s="1"/>
  <c r="E9" i="52"/>
  <c r="E17" i="52" s="1"/>
  <c r="F9" i="52"/>
  <c r="F17" i="52" s="1"/>
  <c r="G9" i="52"/>
  <c r="G17" i="52" s="1"/>
  <c r="H9" i="52"/>
  <c r="H17" i="52" s="1"/>
  <c r="I9" i="52"/>
  <c r="I17" i="52" s="1"/>
  <c r="J9" i="52"/>
  <c r="J17" i="52" s="1"/>
  <c r="K9" i="52"/>
  <c r="K17" i="52" s="1"/>
  <c r="L9" i="52"/>
  <c r="L17" i="52" s="1"/>
  <c r="M9" i="52"/>
  <c r="M17" i="52" s="1"/>
  <c r="N9" i="52"/>
  <c r="N17" i="52" s="1"/>
  <c r="O9" i="52"/>
  <c r="O17" i="52" s="1"/>
  <c r="P9" i="52"/>
  <c r="P17" i="52" s="1"/>
  <c r="Q9" i="52"/>
  <c r="Q17" i="52" s="1"/>
  <c r="B34" i="57"/>
  <c r="B36" i="57" s="1"/>
  <c r="B33" i="57"/>
  <c r="B25" i="57"/>
  <c r="C5" i="50"/>
  <c r="C4" i="50"/>
  <c r="B76" i="54" l="1"/>
  <c r="B75" i="54"/>
  <c r="D73" i="54"/>
  <c r="C70" i="54"/>
  <c r="B50" i="54"/>
  <c r="F48" i="54"/>
  <c r="E48" i="54"/>
  <c r="E44" i="54" s="1"/>
  <c r="D48" i="54"/>
  <c r="D44" i="54"/>
  <c r="C44" i="54"/>
  <c r="B76" i="53"/>
  <c r="B75" i="53"/>
  <c r="D73" i="53"/>
  <c r="E73" i="53" s="1"/>
  <c r="C70" i="53"/>
  <c r="B52" i="53"/>
  <c r="B51" i="53"/>
  <c r="B50" i="53"/>
  <c r="F48" i="53"/>
  <c r="E48" i="53"/>
  <c r="E44" i="53" s="1"/>
  <c r="D48" i="53"/>
  <c r="D44" i="53"/>
  <c r="C44" i="53"/>
  <c r="N18" i="53"/>
  <c r="B76" i="52"/>
  <c r="B77" i="52" s="1"/>
  <c r="B75" i="52"/>
  <c r="D73" i="52"/>
  <c r="E73" i="52" s="1"/>
  <c r="F73" i="52" s="1"/>
  <c r="E70" i="52"/>
  <c r="C70" i="52"/>
  <c r="B50" i="52"/>
  <c r="D48" i="52"/>
  <c r="E48" i="52" s="1"/>
  <c r="C44" i="52"/>
  <c r="N71" i="52"/>
  <c r="F71" i="52"/>
  <c r="Q45" i="52"/>
  <c r="M45" i="52"/>
  <c r="E45" i="52"/>
  <c r="O71" i="52"/>
  <c r="N18" i="54"/>
  <c r="N26" i="54" s="1"/>
  <c r="M71" i="52"/>
  <c r="G71" i="52"/>
  <c r="E71" i="52"/>
  <c r="N45" i="52"/>
  <c r="M17" i="54"/>
  <c r="L45" i="52"/>
  <c r="I17" i="53"/>
  <c r="H45" i="52"/>
  <c r="F45" i="52"/>
  <c r="E44" i="51"/>
  <c r="F43" i="51"/>
  <c r="F44" i="51" s="1"/>
  <c r="E43" i="51"/>
  <c r="E42" i="51"/>
  <c r="F38" i="51"/>
  <c r="F39" i="51" s="1"/>
  <c r="E30" i="51"/>
  <c r="F29" i="51"/>
  <c r="F30" i="51" s="1"/>
  <c r="E29" i="51"/>
  <c r="E28" i="51"/>
  <c r="F25" i="51"/>
  <c r="F24" i="51"/>
  <c r="E16" i="51"/>
  <c r="F15" i="51"/>
  <c r="F16" i="51" s="1"/>
  <c r="E15" i="51"/>
  <c r="E14" i="51"/>
  <c r="F10" i="51"/>
  <c r="F11" i="51" s="1"/>
  <c r="M25" i="54" l="1"/>
  <c r="F48" i="52"/>
  <c r="F44" i="52" s="1"/>
  <c r="E44" i="52"/>
  <c r="D44" i="52"/>
  <c r="D28" i="51"/>
  <c r="D24" i="51"/>
  <c r="F77" i="52"/>
  <c r="D17" i="54"/>
  <c r="D17" i="53"/>
  <c r="P17" i="54"/>
  <c r="P25" i="54" s="1"/>
  <c r="P17" i="53"/>
  <c r="Q18" i="54"/>
  <c r="Q26" i="54" s="1"/>
  <c r="Q18" i="53"/>
  <c r="C17" i="54"/>
  <c r="C17" i="53"/>
  <c r="F49" i="52"/>
  <c r="G17" i="54"/>
  <c r="G17" i="53"/>
  <c r="G45" i="52"/>
  <c r="K17" i="54"/>
  <c r="K25" i="54" s="1"/>
  <c r="K17" i="53"/>
  <c r="K45" i="52"/>
  <c r="O17" i="54"/>
  <c r="O25" i="54" s="1"/>
  <c r="O17" i="53"/>
  <c r="O45" i="52"/>
  <c r="D18" i="54"/>
  <c r="D18" i="53"/>
  <c r="D71" i="52"/>
  <c r="H18" i="54"/>
  <c r="H26" i="54" s="1"/>
  <c r="H18" i="53"/>
  <c r="H71" i="52"/>
  <c r="L18" i="54"/>
  <c r="L26" i="54" s="1"/>
  <c r="L18" i="53"/>
  <c r="L71" i="52"/>
  <c r="P18" i="54"/>
  <c r="P26" i="54" s="1"/>
  <c r="P18" i="53"/>
  <c r="P71" i="52"/>
  <c r="M17" i="53"/>
  <c r="L17" i="54"/>
  <c r="L25" i="54" s="1"/>
  <c r="L17" i="53"/>
  <c r="I18" i="54"/>
  <c r="I26" i="54" s="1"/>
  <c r="I18" i="53"/>
  <c r="I71" i="52"/>
  <c r="C74" i="52"/>
  <c r="C91" i="52" s="1"/>
  <c r="F70" i="52"/>
  <c r="G73" i="52"/>
  <c r="F44" i="54"/>
  <c r="G48" i="54"/>
  <c r="E17" i="54"/>
  <c r="E17" i="53"/>
  <c r="Q17" i="54"/>
  <c r="Q25" i="54" s="1"/>
  <c r="Q17" i="53"/>
  <c r="F18" i="54"/>
  <c r="F18" i="53"/>
  <c r="J18" i="54"/>
  <c r="J26" i="54" s="1"/>
  <c r="J18" i="53"/>
  <c r="D45" i="52"/>
  <c r="D50" i="52" s="1"/>
  <c r="I45" i="52"/>
  <c r="J71" i="52"/>
  <c r="I17" i="54"/>
  <c r="I25" i="54" s="1"/>
  <c r="H17" i="54"/>
  <c r="H25" i="54" s="1"/>
  <c r="H17" i="53"/>
  <c r="E18" i="54"/>
  <c r="E18" i="53"/>
  <c r="M18" i="54"/>
  <c r="M26" i="54" s="1"/>
  <c r="M18" i="53"/>
  <c r="F17" i="54"/>
  <c r="F17" i="53"/>
  <c r="J17" i="54"/>
  <c r="J25" i="54" s="1"/>
  <c r="J17" i="53"/>
  <c r="N17" i="54"/>
  <c r="N25" i="54" s="1"/>
  <c r="N17" i="53"/>
  <c r="C18" i="54"/>
  <c r="C18" i="53"/>
  <c r="G18" i="54"/>
  <c r="G26" i="54" s="1"/>
  <c r="G18" i="53"/>
  <c r="K18" i="54"/>
  <c r="K26" i="54" s="1"/>
  <c r="K18" i="53"/>
  <c r="O18" i="54"/>
  <c r="O26" i="54" s="1"/>
  <c r="O18" i="53"/>
  <c r="J45" i="52"/>
  <c r="P45" i="52"/>
  <c r="K71" i="52"/>
  <c r="Q71" i="52"/>
  <c r="C49" i="52"/>
  <c r="C66" i="52" s="1"/>
  <c r="B51" i="52"/>
  <c r="B78" i="52"/>
  <c r="E74" i="52"/>
  <c r="F44" i="53"/>
  <c r="G48" i="53"/>
  <c r="F73" i="53"/>
  <c r="E70" i="53"/>
  <c r="D70" i="52"/>
  <c r="E76" i="52"/>
  <c r="B53" i="53"/>
  <c r="D70" i="53"/>
  <c r="B77" i="53"/>
  <c r="D70" i="54"/>
  <c r="E73" i="54"/>
  <c r="B77" i="54"/>
  <c r="B51" i="54"/>
  <c r="E50" i="52" l="1"/>
  <c r="G48" i="52"/>
  <c r="E75" i="52"/>
  <c r="F50" i="52"/>
  <c r="C74" i="54"/>
  <c r="C91" i="54" s="1"/>
  <c r="D42" i="51"/>
  <c r="D38" i="51"/>
  <c r="D10" i="51"/>
  <c r="D14" i="51"/>
  <c r="B78" i="53"/>
  <c r="B54" i="53"/>
  <c r="H48" i="53"/>
  <c r="G44" i="53"/>
  <c r="F52" i="53"/>
  <c r="C28" i="51"/>
  <c r="C24" i="51"/>
  <c r="F74" i="52"/>
  <c r="F76" i="52"/>
  <c r="F75" i="52"/>
  <c r="B24" i="51"/>
  <c r="B28" i="51"/>
  <c r="G44" i="52"/>
  <c r="H48" i="52"/>
  <c r="E75" i="53"/>
  <c r="F49" i="53"/>
  <c r="F50" i="53"/>
  <c r="B78" i="54"/>
  <c r="G24" i="51"/>
  <c r="G10" i="51"/>
  <c r="F77" i="53"/>
  <c r="H73" i="52"/>
  <c r="G70" i="52"/>
  <c r="B52" i="54"/>
  <c r="F73" i="54"/>
  <c r="E70" i="54"/>
  <c r="D75" i="52"/>
  <c r="D74" i="52"/>
  <c r="B79" i="52"/>
  <c r="G78" i="52"/>
  <c r="G51" i="52"/>
  <c r="B52" i="52"/>
  <c r="E51" i="52"/>
  <c r="F51" i="52"/>
  <c r="E76" i="53"/>
  <c r="C38" i="51"/>
  <c r="C42" i="51"/>
  <c r="B14" i="51"/>
  <c r="B10" i="51"/>
  <c r="G15" i="51"/>
  <c r="G29" i="51"/>
  <c r="D49" i="52"/>
  <c r="D66" i="52" s="1"/>
  <c r="D75" i="54"/>
  <c r="G53" i="53"/>
  <c r="F49" i="54"/>
  <c r="D29" i="51"/>
  <c r="D25" i="51"/>
  <c r="D30" i="51" s="1"/>
  <c r="F70" i="53"/>
  <c r="G73" i="53"/>
  <c r="E91" i="52"/>
  <c r="C74" i="53"/>
  <c r="C91" i="53" s="1"/>
  <c r="C14" i="51"/>
  <c r="C10" i="51"/>
  <c r="E51" i="54"/>
  <c r="H48" i="54"/>
  <c r="G44" i="54"/>
  <c r="E49" i="52"/>
  <c r="B38" i="51"/>
  <c r="B42" i="51"/>
  <c r="E66" i="52" l="1"/>
  <c r="D74" i="54"/>
  <c r="D91" i="54" s="1"/>
  <c r="D75" i="53"/>
  <c r="F51" i="54"/>
  <c r="G43" i="51"/>
  <c r="G51" i="54"/>
  <c r="H10" i="51"/>
  <c r="H24" i="51"/>
  <c r="D39" i="51"/>
  <c r="D44" i="51" s="1"/>
  <c r="D43" i="51"/>
  <c r="E74" i="53"/>
  <c r="E91" i="53" s="1"/>
  <c r="E51" i="53"/>
  <c r="F51" i="53"/>
  <c r="F66" i="53" s="1"/>
  <c r="E74" i="54"/>
  <c r="E75" i="54"/>
  <c r="E76" i="54"/>
  <c r="G76" i="52"/>
  <c r="G74" i="52"/>
  <c r="G77" i="52"/>
  <c r="G75" i="52"/>
  <c r="D50" i="53"/>
  <c r="E50" i="53"/>
  <c r="H44" i="52"/>
  <c r="I48" i="52"/>
  <c r="F91" i="52"/>
  <c r="D50" i="54"/>
  <c r="F50" i="54"/>
  <c r="E50" i="54"/>
  <c r="I10" i="51"/>
  <c r="I24" i="51"/>
  <c r="H73" i="53"/>
  <c r="G70" i="53"/>
  <c r="B43" i="51"/>
  <c r="B39" i="51"/>
  <c r="B44" i="51" s="1"/>
  <c r="G49" i="54"/>
  <c r="G50" i="54"/>
  <c r="C15" i="51"/>
  <c r="C11" i="51"/>
  <c r="C16" i="51" s="1"/>
  <c r="I29" i="51"/>
  <c r="I15" i="51"/>
  <c r="F74" i="53"/>
  <c r="F75" i="53"/>
  <c r="F76" i="53"/>
  <c r="B11" i="51"/>
  <c r="B16" i="51" s="1"/>
  <c r="B15" i="51"/>
  <c r="B53" i="52"/>
  <c r="F52" i="52"/>
  <c r="F66" i="52" s="1"/>
  <c r="G52" i="52"/>
  <c r="H52" i="52"/>
  <c r="D91" i="52"/>
  <c r="G73" i="54"/>
  <c r="F70" i="54"/>
  <c r="G52" i="54"/>
  <c r="B53" i="54"/>
  <c r="F52" i="54"/>
  <c r="I73" i="52"/>
  <c r="H70" i="52"/>
  <c r="G38" i="51"/>
  <c r="E49" i="53"/>
  <c r="D49" i="53"/>
  <c r="C49" i="53"/>
  <c r="C66" i="53" s="1"/>
  <c r="G49" i="52"/>
  <c r="G50" i="52"/>
  <c r="C25" i="51"/>
  <c r="C30" i="51" s="1"/>
  <c r="C29" i="51"/>
  <c r="G50" i="53"/>
  <c r="G49" i="53"/>
  <c r="G52" i="53"/>
  <c r="G51" i="53"/>
  <c r="G78" i="53"/>
  <c r="B79" i="53"/>
  <c r="I48" i="54"/>
  <c r="H44" i="54"/>
  <c r="H52" i="54" s="1"/>
  <c r="G14" i="51"/>
  <c r="G28" i="51"/>
  <c r="D74" i="53"/>
  <c r="C39" i="51"/>
  <c r="C44" i="51" s="1"/>
  <c r="C43" i="51"/>
  <c r="F66" i="54"/>
  <c r="I48" i="53"/>
  <c r="H44" i="53"/>
  <c r="H54" i="53" s="1"/>
  <c r="B55" i="53"/>
  <c r="D49" i="54"/>
  <c r="D66" i="54" s="1"/>
  <c r="C49" i="54"/>
  <c r="C66" i="54" s="1"/>
  <c r="E49" i="54"/>
  <c r="B80" i="52"/>
  <c r="H79" i="52"/>
  <c r="B79" i="54"/>
  <c r="B25" i="51"/>
  <c r="B30" i="51" s="1"/>
  <c r="B29" i="51"/>
  <c r="D15" i="51"/>
  <c r="D11" i="51"/>
  <c r="D16" i="51" s="1"/>
  <c r="G16" i="51"/>
  <c r="G44" i="51" s="1"/>
  <c r="G30" i="51"/>
  <c r="H38" i="51" l="1"/>
  <c r="E66" i="54"/>
  <c r="D91" i="53"/>
  <c r="E66" i="53"/>
  <c r="I9" i="51" s="1"/>
  <c r="I43" i="51"/>
  <c r="E91" i="54"/>
  <c r="I30" i="51" s="1"/>
  <c r="F91" i="53"/>
  <c r="J28" i="51" s="1"/>
  <c r="I38" i="51"/>
  <c r="B56" i="53"/>
  <c r="J10" i="51"/>
  <c r="J24" i="51"/>
  <c r="I11" i="51"/>
  <c r="I25" i="51"/>
  <c r="J25" i="51"/>
  <c r="J11" i="51"/>
  <c r="G9" i="51"/>
  <c r="G23" i="51"/>
  <c r="H75" i="52"/>
  <c r="H74" i="52"/>
  <c r="H76" i="52"/>
  <c r="H77" i="52"/>
  <c r="H78" i="52"/>
  <c r="H53" i="54"/>
  <c r="G53" i="54"/>
  <c r="G66" i="54" s="1"/>
  <c r="B54" i="54"/>
  <c r="G70" i="54"/>
  <c r="H73" i="54"/>
  <c r="G74" i="53"/>
  <c r="G76" i="53"/>
  <c r="G75" i="53"/>
  <c r="G77" i="53"/>
  <c r="J48" i="52"/>
  <c r="I44" i="52"/>
  <c r="B80" i="54"/>
  <c r="H14" i="51"/>
  <c r="H28" i="51"/>
  <c r="I44" i="54"/>
  <c r="J48" i="54"/>
  <c r="F74" i="54"/>
  <c r="F75" i="54"/>
  <c r="F76" i="54"/>
  <c r="F77" i="54"/>
  <c r="J14" i="51"/>
  <c r="J15" i="51"/>
  <c r="J29" i="51"/>
  <c r="J23" i="51"/>
  <c r="J9" i="51"/>
  <c r="H16" i="51"/>
  <c r="H30" i="51"/>
  <c r="B81" i="52"/>
  <c r="G11" i="51"/>
  <c r="G25" i="51"/>
  <c r="G42" i="51"/>
  <c r="B80" i="53"/>
  <c r="D66" i="53"/>
  <c r="I70" i="52"/>
  <c r="I80" i="52" s="1"/>
  <c r="J73" i="52"/>
  <c r="H15" i="51"/>
  <c r="H29" i="51"/>
  <c r="I73" i="53"/>
  <c r="H70" i="53"/>
  <c r="H49" i="52"/>
  <c r="H50" i="52"/>
  <c r="H51" i="52"/>
  <c r="I44" i="53"/>
  <c r="J48" i="53"/>
  <c r="H25" i="51"/>
  <c r="H11" i="51"/>
  <c r="H49" i="53"/>
  <c r="H51" i="53"/>
  <c r="H50" i="53"/>
  <c r="H52" i="53"/>
  <c r="H53" i="53"/>
  <c r="H50" i="54"/>
  <c r="H49" i="54"/>
  <c r="H51" i="54"/>
  <c r="G66" i="53"/>
  <c r="B54" i="52"/>
  <c r="I53" i="52"/>
  <c r="G53" i="52"/>
  <c r="G66" i="52" s="1"/>
  <c r="H53" i="52"/>
  <c r="G91" i="52"/>
  <c r="I28" i="51"/>
  <c r="I14" i="51"/>
  <c r="I39" i="51" l="1"/>
  <c r="I23" i="51"/>
  <c r="I37" i="51" s="1"/>
  <c r="I16" i="51"/>
  <c r="J37" i="51"/>
  <c r="H66" i="53"/>
  <c r="L23" i="51" s="1"/>
  <c r="G37" i="51"/>
  <c r="H43" i="51"/>
  <c r="H42" i="51"/>
  <c r="J38" i="51"/>
  <c r="K24" i="51"/>
  <c r="K10" i="51"/>
  <c r="L9" i="51"/>
  <c r="I44" i="51"/>
  <c r="J44" i="53"/>
  <c r="K48" i="53"/>
  <c r="H9" i="51"/>
  <c r="H23" i="51"/>
  <c r="J42" i="51"/>
  <c r="F91" i="54"/>
  <c r="G74" i="54"/>
  <c r="G75" i="54"/>
  <c r="G76" i="54"/>
  <c r="G77" i="54"/>
  <c r="G78" i="54"/>
  <c r="H91" i="52"/>
  <c r="J39" i="51"/>
  <c r="I49" i="53"/>
  <c r="I51" i="53"/>
  <c r="I50" i="53"/>
  <c r="I52" i="53"/>
  <c r="I53" i="53"/>
  <c r="I54" i="53"/>
  <c r="H75" i="53"/>
  <c r="H74" i="53"/>
  <c r="H76" i="53"/>
  <c r="H77" i="53"/>
  <c r="H78" i="53"/>
  <c r="I49" i="52"/>
  <c r="I50" i="52"/>
  <c r="I51" i="52"/>
  <c r="I52" i="52"/>
  <c r="I55" i="53"/>
  <c r="I42" i="51"/>
  <c r="K15" i="51"/>
  <c r="K29" i="51"/>
  <c r="J54" i="52"/>
  <c r="I54" i="52"/>
  <c r="H54" i="52"/>
  <c r="H66" i="52" s="1"/>
  <c r="B55" i="52"/>
  <c r="H39" i="51"/>
  <c r="J73" i="53"/>
  <c r="I70" i="53"/>
  <c r="J70" i="52"/>
  <c r="K73" i="52"/>
  <c r="G39" i="51"/>
  <c r="B82" i="52"/>
  <c r="J81" i="52"/>
  <c r="H44" i="51"/>
  <c r="J43" i="51"/>
  <c r="J44" i="54"/>
  <c r="K48" i="54"/>
  <c r="B81" i="54"/>
  <c r="K48" i="52"/>
  <c r="J44" i="52"/>
  <c r="G91" i="53"/>
  <c r="I54" i="54"/>
  <c r="H54" i="54"/>
  <c r="H66" i="54" s="1"/>
  <c r="J54" i="54"/>
  <c r="B55" i="54"/>
  <c r="K23" i="51"/>
  <c r="K9" i="51"/>
  <c r="K11" i="51"/>
  <c r="K25" i="51"/>
  <c r="I75" i="52"/>
  <c r="I74" i="52"/>
  <c r="I77" i="52"/>
  <c r="I76" i="52"/>
  <c r="I78" i="52"/>
  <c r="I79" i="52"/>
  <c r="H79" i="53"/>
  <c r="B81" i="53"/>
  <c r="I80" i="53"/>
  <c r="I49" i="54"/>
  <c r="I50" i="54"/>
  <c r="I51" i="54"/>
  <c r="I52" i="54"/>
  <c r="H70" i="54"/>
  <c r="I73" i="54"/>
  <c r="I53" i="54"/>
  <c r="B57" i="53"/>
  <c r="L37" i="51" l="1"/>
  <c r="K37" i="51"/>
  <c r="K39" i="51"/>
  <c r="K38" i="51"/>
  <c r="L10" i="51"/>
  <c r="L24" i="51"/>
  <c r="J73" i="54"/>
  <c r="I70" i="54"/>
  <c r="B58" i="53"/>
  <c r="K57" i="53"/>
  <c r="H74" i="54"/>
  <c r="H76" i="54"/>
  <c r="H75" i="54"/>
  <c r="H77" i="54"/>
  <c r="H78" i="54"/>
  <c r="H79" i="54"/>
  <c r="I91" i="52"/>
  <c r="L25" i="51"/>
  <c r="L11" i="51"/>
  <c r="K44" i="52"/>
  <c r="L48" i="52"/>
  <c r="J49" i="54"/>
  <c r="J50" i="54"/>
  <c r="J51" i="54"/>
  <c r="J52" i="54"/>
  <c r="J53" i="54"/>
  <c r="J70" i="53"/>
  <c r="J81" i="53" s="1"/>
  <c r="K73" i="53"/>
  <c r="H91" i="53"/>
  <c r="L48" i="53"/>
  <c r="K44" i="53"/>
  <c r="K70" i="52"/>
  <c r="L73" i="52"/>
  <c r="L15" i="51"/>
  <c r="L29" i="51"/>
  <c r="J50" i="53"/>
  <c r="J49" i="53"/>
  <c r="J52" i="53"/>
  <c r="J51" i="53"/>
  <c r="J53" i="53"/>
  <c r="J54" i="53"/>
  <c r="J55" i="53"/>
  <c r="J56" i="53"/>
  <c r="B82" i="53"/>
  <c r="K14" i="51"/>
  <c r="K28" i="51"/>
  <c r="B82" i="54"/>
  <c r="J74" i="52"/>
  <c r="J75" i="52"/>
  <c r="J76" i="52"/>
  <c r="J77" i="52"/>
  <c r="J78" i="52"/>
  <c r="J79" i="52"/>
  <c r="J80" i="52"/>
  <c r="I55" i="52"/>
  <c r="I66" i="52" s="1"/>
  <c r="K55" i="52"/>
  <c r="J55" i="52"/>
  <c r="B56" i="52"/>
  <c r="K43" i="51"/>
  <c r="G91" i="54"/>
  <c r="H37" i="51"/>
  <c r="B56" i="54"/>
  <c r="J55" i="54"/>
  <c r="I55" i="54"/>
  <c r="I66" i="54" s="1"/>
  <c r="J49" i="52"/>
  <c r="J50" i="52"/>
  <c r="J51" i="52"/>
  <c r="J52" i="52"/>
  <c r="J53" i="52"/>
  <c r="L48" i="54"/>
  <c r="K44" i="54"/>
  <c r="K82" i="52"/>
  <c r="B83" i="52"/>
  <c r="I75" i="53"/>
  <c r="I74" i="53"/>
  <c r="I76" i="53"/>
  <c r="I77" i="53"/>
  <c r="I78" i="53"/>
  <c r="I79" i="53"/>
  <c r="I66" i="53"/>
  <c r="J30" i="51"/>
  <c r="J16" i="51"/>
  <c r="L39" i="51" l="1"/>
  <c r="L43" i="51"/>
  <c r="M25" i="51"/>
  <c r="M11" i="51"/>
  <c r="M10" i="51"/>
  <c r="M24" i="51"/>
  <c r="B83" i="53"/>
  <c r="K49" i="54"/>
  <c r="K50" i="54"/>
  <c r="K51" i="54"/>
  <c r="K52" i="54"/>
  <c r="K53" i="54"/>
  <c r="K54" i="54"/>
  <c r="J91" i="52"/>
  <c r="K76" i="52"/>
  <c r="K74" i="52"/>
  <c r="K77" i="52"/>
  <c r="K75" i="52"/>
  <c r="K78" i="52"/>
  <c r="K79" i="52"/>
  <c r="K80" i="52"/>
  <c r="K81" i="52"/>
  <c r="L44" i="52"/>
  <c r="M48" i="52"/>
  <c r="M29" i="51"/>
  <c r="M15" i="51"/>
  <c r="I74" i="54"/>
  <c r="I76" i="54"/>
  <c r="I75" i="54"/>
  <c r="I77" i="54"/>
  <c r="I78" i="54"/>
  <c r="I79" i="54"/>
  <c r="I80" i="54"/>
  <c r="M9" i="51"/>
  <c r="M23" i="51"/>
  <c r="B84" i="52"/>
  <c r="M48" i="54"/>
  <c r="L44" i="54"/>
  <c r="B83" i="54"/>
  <c r="K50" i="53"/>
  <c r="K49" i="53"/>
  <c r="K51" i="53"/>
  <c r="K52" i="53"/>
  <c r="K53" i="53"/>
  <c r="K54" i="53"/>
  <c r="K55" i="53"/>
  <c r="K56" i="53"/>
  <c r="K70" i="53"/>
  <c r="L73" i="53"/>
  <c r="K49" i="52"/>
  <c r="K50" i="52"/>
  <c r="K51" i="52"/>
  <c r="K52" i="52"/>
  <c r="K53" i="52"/>
  <c r="K54" i="52"/>
  <c r="B59" i="53"/>
  <c r="L58" i="53"/>
  <c r="K73" i="54"/>
  <c r="J70" i="54"/>
  <c r="I91" i="53"/>
  <c r="B57" i="54"/>
  <c r="J56" i="54"/>
  <c r="J66" i="54" s="1"/>
  <c r="L56" i="54"/>
  <c r="K56" i="54"/>
  <c r="K30" i="51"/>
  <c r="K16" i="51"/>
  <c r="L56" i="52"/>
  <c r="B57" i="52"/>
  <c r="K56" i="52"/>
  <c r="J56" i="52"/>
  <c r="J66" i="52" s="1"/>
  <c r="M48" i="53"/>
  <c r="L44" i="53"/>
  <c r="J74" i="53"/>
  <c r="J75" i="53"/>
  <c r="J76" i="53"/>
  <c r="J77" i="53"/>
  <c r="J78" i="53"/>
  <c r="J79" i="53"/>
  <c r="J80" i="53"/>
  <c r="J44" i="51"/>
  <c r="K55" i="54"/>
  <c r="K42" i="51"/>
  <c r="J66" i="53"/>
  <c r="M73" i="52"/>
  <c r="L70" i="52"/>
  <c r="L14" i="51"/>
  <c r="L28" i="51"/>
  <c r="H91" i="54"/>
  <c r="L38" i="51"/>
  <c r="K44" i="51" l="1"/>
  <c r="M43" i="51"/>
  <c r="M38" i="51"/>
  <c r="M39" i="51"/>
  <c r="N11" i="51"/>
  <c r="N25" i="51"/>
  <c r="N10" i="51"/>
  <c r="N24" i="51"/>
  <c r="L16" i="51"/>
  <c r="L30" i="51"/>
  <c r="L76" i="52"/>
  <c r="L75" i="52"/>
  <c r="L74" i="52"/>
  <c r="L77" i="52"/>
  <c r="L78" i="52"/>
  <c r="L79" i="52"/>
  <c r="L80" i="52"/>
  <c r="L81" i="52"/>
  <c r="L82" i="52"/>
  <c r="N23" i="51"/>
  <c r="N9" i="51"/>
  <c r="M44" i="53"/>
  <c r="M59" i="53" s="1"/>
  <c r="N48" i="53"/>
  <c r="L42" i="51"/>
  <c r="M28" i="51"/>
  <c r="M14" i="51"/>
  <c r="B60" i="53"/>
  <c r="M73" i="53"/>
  <c r="L70" i="53"/>
  <c r="L83" i="53" s="1"/>
  <c r="K66" i="53"/>
  <c r="B85" i="52"/>
  <c r="M37" i="51"/>
  <c r="I91" i="54"/>
  <c r="L49" i="52"/>
  <c r="L50" i="52"/>
  <c r="L51" i="52"/>
  <c r="L52" i="52"/>
  <c r="L53" i="52"/>
  <c r="L54" i="52"/>
  <c r="L55" i="52"/>
  <c r="J91" i="53"/>
  <c r="J74" i="54"/>
  <c r="J75" i="54"/>
  <c r="J76" i="54"/>
  <c r="J77" i="54"/>
  <c r="J78" i="54"/>
  <c r="J79" i="54"/>
  <c r="J80" i="54"/>
  <c r="J81" i="54"/>
  <c r="K74" i="53"/>
  <c r="K75" i="53"/>
  <c r="K76" i="53"/>
  <c r="K77" i="53"/>
  <c r="K78" i="53"/>
  <c r="K79" i="53"/>
  <c r="K80" i="53"/>
  <c r="K81" i="53"/>
  <c r="B84" i="54"/>
  <c r="L83" i="52"/>
  <c r="N29" i="51"/>
  <c r="N15" i="51"/>
  <c r="B84" i="53"/>
  <c r="N73" i="52"/>
  <c r="M70" i="52"/>
  <c r="L50" i="53"/>
  <c r="L49" i="53"/>
  <c r="L52" i="53"/>
  <c r="L51" i="53"/>
  <c r="L53" i="53"/>
  <c r="L54" i="53"/>
  <c r="L55" i="53"/>
  <c r="L56" i="53"/>
  <c r="L57" i="53"/>
  <c r="L57" i="52"/>
  <c r="K57" i="52"/>
  <c r="K66" i="52" s="1"/>
  <c r="B58" i="52"/>
  <c r="K70" i="54"/>
  <c r="L73" i="54"/>
  <c r="L50" i="54"/>
  <c r="L49" i="54"/>
  <c r="L51" i="54"/>
  <c r="L52" i="54"/>
  <c r="L53" i="54"/>
  <c r="L54" i="54"/>
  <c r="L55" i="54"/>
  <c r="K82" i="53"/>
  <c r="B58" i="54"/>
  <c r="L57" i="54"/>
  <c r="K57" i="54"/>
  <c r="K66" i="54" s="1"/>
  <c r="M44" i="54"/>
  <c r="N48" i="54"/>
  <c r="N48" i="52"/>
  <c r="M44" i="52"/>
  <c r="K91" i="52"/>
  <c r="M42" i="51" l="1"/>
  <c r="N38" i="51"/>
  <c r="M49" i="52"/>
  <c r="M50" i="52"/>
  <c r="M51" i="52"/>
  <c r="M52" i="52"/>
  <c r="M53" i="52"/>
  <c r="M54" i="52"/>
  <c r="M55" i="52"/>
  <c r="M56" i="52"/>
  <c r="O24" i="51"/>
  <c r="O10" i="51"/>
  <c r="B59" i="54"/>
  <c r="M58" i="54"/>
  <c r="L58" i="54"/>
  <c r="L66" i="54" s="1"/>
  <c r="M75" i="52"/>
  <c r="M74" i="52"/>
  <c r="M76" i="52"/>
  <c r="M77" i="52"/>
  <c r="M78" i="52"/>
  <c r="M79" i="52"/>
  <c r="M80" i="52"/>
  <c r="M81" i="52"/>
  <c r="M82" i="52"/>
  <c r="M83" i="52"/>
  <c r="O11" i="51"/>
  <c r="O25" i="51"/>
  <c r="N44" i="54"/>
  <c r="O48" i="54"/>
  <c r="K74" i="54"/>
  <c r="K76" i="54"/>
  <c r="K75" i="54"/>
  <c r="K77" i="54"/>
  <c r="K78" i="54"/>
  <c r="K79" i="54"/>
  <c r="K80" i="54"/>
  <c r="K81" i="54"/>
  <c r="K82" i="54"/>
  <c r="L66" i="53"/>
  <c r="K91" i="53"/>
  <c r="J91" i="54"/>
  <c r="B86" i="52"/>
  <c r="N85" i="52"/>
  <c r="O29" i="51"/>
  <c r="O15" i="51"/>
  <c r="M49" i="54"/>
  <c r="M50" i="54"/>
  <c r="M51" i="54"/>
  <c r="M52" i="54"/>
  <c r="M53" i="54"/>
  <c r="M54" i="54"/>
  <c r="M55" i="54"/>
  <c r="M56" i="54"/>
  <c r="M57" i="52"/>
  <c r="N28" i="51"/>
  <c r="N14" i="51"/>
  <c r="M30" i="51"/>
  <c r="M16" i="51"/>
  <c r="M84" i="52"/>
  <c r="O9" i="51"/>
  <c r="O23" i="51"/>
  <c r="N44" i="53"/>
  <c r="O48" i="53"/>
  <c r="M58" i="52"/>
  <c r="B59" i="52"/>
  <c r="L58" i="52"/>
  <c r="L66" i="52" s="1"/>
  <c r="L75" i="53"/>
  <c r="L74" i="53"/>
  <c r="L76" i="53"/>
  <c r="L77" i="53"/>
  <c r="L78" i="53"/>
  <c r="L79" i="53"/>
  <c r="L80" i="53"/>
  <c r="L81" i="53"/>
  <c r="L82" i="53"/>
  <c r="B61" i="53"/>
  <c r="N60" i="53"/>
  <c r="M49" i="53"/>
  <c r="M51" i="53"/>
  <c r="M52" i="53"/>
  <c r="M50" i="53"/>
  <c r="M53" i="53"/>
  <c r="M54" i="53"/>
  <c r="M55" i="53"/>
  <c r="M56" i="53"/>
  <c r="M57" i="53"/>
  <c r="M58" i="53"/>
  <c r="O48" i="52"/>
  <c r="N44" i="52"/>
  <c r="M57" i="54"/>
  <c r="L70" i="54"/>
  <c r="M73" i="54"/>
  <c r="N70" i="52"/>
  <c r="O73" i="52"/>
  <c r="B85" i="53"/>
  <c r="M84" i="53"/>
  <c r="N43" i="51"/>
  <c r="B85" i="54"/>
  <c r="N73" i="53"/>
  <c r="M70" i="53"/>
  <c r="N37" i="51"/>
  <c r="L91" i="52"/>
  <c r="L44" i="51"/>
  <c r="N39" i="51"/>
  <c r="N42" i="51" l="1"/>
  <c r="O43" i="51"/>
  <c r="O39" i="51"/>
  <c r="O70" i="52"/>
  <c r="O86" i="52" s="1"/>
  <c r="P73" i="52"/>
  <c r="M66" i="53"/>
  <c r="L91" i="53"/>
  <c r="P48" i="54"/>
  <c r="O44" i="54"/>
  <c r="M91" i="52"/>
  <c r="P25" i="51"/>
  <c r="P11" i="51"/>
  <c r="P10" i="51"/>
  <c r="P24" i="51"/>
  <c r="K91" i="54"/>
  <c r="M59" i="54"/>
  <c r="M66" i="54" s="1"/>
  <c r="O59" i="54"/>
  <c r="B60" i="54"/>
  <c r="N59" i="54"/>
  <c r="M74" i="53"/>
  <c r="M75" i="53"/>
  <c r="M76" i="53"/>
  <c r="M77" i="53"/>
  <c r="M78" i="53"/>
  <c r="M79" i="53"/>
  <c r="M80" i="53"/>
  <c r="M81" i="53"/>
  <c r="M82" i="53"/>
  <c r="M83" i="53"/>
  <c r="N74" i="52"/>
  <c r="N75" i="52"/>
  <c r="N76" i="52"/>
  <c r="N77" i="52"/>
  <c r="N78" i="52"/>
  <c r="N79" i="52"/>
  <c r="N80" i="52"/>
  <c r="N81" i="52"/>
  <c r="N82" i="52"/>
  <c r="N83" i="52"/>
  <c r="N84" i="52"/>
  <c r="N49" i="52"/>
  <c r="N50" i="52"/>
  <c r="N51" i="52"/>
  <c r="N52" i="52"/>
  <c r="N53" i="52"/>
  <c r="N54" i="52"/>
  <c r="N55" i="52"/>
  <c r="N56" i="52"/>
  <c r="N57" i="52"/>
  <c r="B62" i="53"/>
  <c r="O61" i="53"/>
  <c r="O37" i="51"/>
  <c r="B87" i="52"/>
  <c r="N16" i="51"/>
  <c r="N30" i="51"/>
  <c r="N70" i="53"/>
  <c r="N85" i="53" s="1"/>
  <c r="O73" i="53"/>
  <c r="N73" i="54"/>
  <c r="M70" i="54"/>
  <c r="O44" i="52"/>
  <c r="O59" i="52" s="1"/>
  <c r="P48" i="52"/>
  <c r="B60" i="52"/>
  <c r="M59" i="52"/>
  <c r="M66" i="52" s="1"/>
  <c r="N59" i="52"/>
  <c r="P48" i="53"/>
  <c r="O44" i="53"/>
  <c r="O14" i="51"/>
  <c r="O28" i="51"/>
  <c r="N49" i="54"/>
  <c r="N50" i="54"/>
  <c r="N51" i="54"/>
  <c r="N52" i="54"/>
  <c r="N53" i="54"/>
  <c r="N54" i="54"/>
  <c r="N55" i="54"/>
  <c r="N56" i="54"/>
  <c r="N57" i="54"/>
  <c r="O38" i="51"/>
  <c r="P15" i="51"/>
  <c r="P29" i="51"/>
  <c r="B86" i="54"/>
  <c r="B86" i="53"/>
  <c r="L74" i="54"/>
  <c r="L76" i="54"/>
  <c r="L75" i="54"/>
  <c r="L77" i="54"/>
  <c r="L78" i="54"/>
  <c r="L79" i="54"/>
  <c r="L80" i="54"/>
  <c r="L81" i="54"/>
  <c r="L82" i="54"/>
  <c r="L83" i="54"/>
  <c r="N58" i="52"/>
  <c r="N49" i="53"/>
  <c r="N50" i="53"/>
  <c r="N52" i="53"/>
  <c r="N51" i="53"/>
  <c r="N53" i="53"/>
  <c r="N54" i="53"/>
  <c r="N55" i="53"/>
  <c r="N56" i="53"/>
  <c r="N57" i="53"/>
  <c r="N58" i="53"/>
  <c r="N59" i="53"/>
  <c r="M44" i="51"/>
  <c r="P23" i="51"/>
  <c r="P9" i="51"/>
  <c r="N58" i="54"/>
  <c r="P37" i="51" l="1"/>
  <c r="Q11" i="51"/>
  <c r="Q25" i="51"/>
  <c r="Q24" i="51"/>
  <c r="Q10" i="51"/>
  <c r="L91" i="54"/>
  <c r="P43" i="51"/>
  <c r="O73" i="54"/>
  <c r="N70" i="54"/>
  <c r="N44" i="51"/>
  <c r="P38" i="51"/>
  <c r="Q29" i="51"/>
  <c r="Q15" i="51"/>
  <c r="Q9" i="51"/>
  <c r="Q23" i="51"/>
  <c r="B61" i="52"/>
  <c r="N60" i="52"/>
  <c r="N66" i="52" s="1"/>
  <c r="O60" i="52"/>
  <c r="M74" i="54"/>
  <c r="M76" i="54"/>
  <c r="M75" i="54"/>
  <c r="M77" i="54"/>
  <c r="M78" i="54"/>
  <c r="M79" i="54"/>
  <c r="M80" i="54"/>
  <c r="M81" i="54"/>
  <c r="M82" i="54"/>
  <c r="M83" i="54"/>
  <c r="M84" i="54"/>
  <c r="M91" i="53"/>
  <c r="P14" i="51"/>
  <c r="P28" i="51"/>
  <c r="O42" i="51"/>
  <c r="N66" i="53"/>
  <c r="O50" i="53"/>
  <c r="O49" i="53"/>
  <c r="O52" i="53"/>
  <c r="O51" i="53"/>
  <c r="O53" i="53"/>
  <c r="O54" i="53"/>
  <c r="O55" i="53"/>
  <c r="O56" i="53"/>
  <c r="O57" i="53"/>
  <c r="O58" i="53"/>
  <c r="O59" i="53"/>
  <c r="O60" i="53"/>
  <c r="Q48" i="52"/>
  <c r="Q44" i="52" s="1"/>
  <c r="P44" i="52"/>
  <c r="P60" i="52" s="1"/>
  <c r="P73" i="53"/>
  <c r="O70" i="53"/>
  <c r="B88" i="52"/>
  <c r="B63" i="53"/>
  <c r="Q62" i="53"/>
  <c r="P62" i="53"/>
  <c r="N91" i="52"/>
  <c r="O60" i="54"/>
  <c r="B61" i="54"/>
  <c r="N60" i="54"/>
  <c r="O49" i="54"/>
  <c r="O50" i="54"/>
  <c r="O51" i="54"/>
  <c r="O52" i="54"/>
  <c r="O53" i="54"/>
  <c r="O54" i="54"/>
  <c r="O55" i="54"/>
  <c r="O56" i="54"/>
  <c r="O57" i="54"/>
  <c r="O58" i="54"/>
  <c r="Q73" i="52"/>
  <c r="Q70" i="52" s="1"/>
  <c r="P70" i="52"/>
  <c r="O86" i="53"/>
  <c r="B87" i="53"/>
  <c r="B87" i="54"/>
  <c r="N66" i="54"/>
  <c r="Q48" i="53"/>
  <c r="Q44" i="53" s="1"/>
  <c r="P44" i="53"/>
  <c r="O49" i="52"/>
  <c r="O50" i="52"/>
  <c r="O51" i="52"/>
  <c r="O52" i="52"/>
  <c r="O53" i="52"/>
  <c r="O54" i="52"/>
  <c r="O55" i="52"/>
  <c r="O56" i="52"/>
  <c r="O57" i="52"/>
  <c r="O58" i="52"/>
  <c r="N74" i="53"/>
  <c r="N75" i="53"/>
  <c r="N76" i="53"/>
  <c r="N77" i="53"/>
  <c r="N78" i="53"/>
  <c r="N79" i="53"/>
  <c r="N80" i="53"/>
  <c r="N81" i="53"/>
  <c r="N82" i="53"/>
  <c r="N83" i="53"/>
  <c r="N84" i="53"/>
  <c r="O16" i="51"/>
  <c r="O30" i="51"/>
  <c r="P39" i="51"/>
  <c r="Q48" i="54"/>
  <c r="Q44" i="54" s="1"/>
  <c r="Q60" i="54" s="1"/>
  <c r="P44" i="54"/>
  <c r="P60" i="54" s="1"/>
  <c r="O74" i="52"/>
  <c r="O77" i="52"/>
  <c r="O76" i="52"/>
  <c r="O75" i="52"/>
  <c r="O78" i="52"/>
  <c r="O79" i="52"/>
  <c r="O80" i="52"/>
  <c r="O81" i="52"/>
  <c r="O82" i="52"/>
  <c r="O83" i="52"/>
  <c r="O84" i="52"/>
  <c r="O85" i="52"/>
  <c r="Q43" i="51" l="1"/>
  <c r="Q38" i="51"/>
  <c r="O44" i="51"/>
  <c r="P42" i="51"/>
  <c r="M91" i="54"/>
  <c r="Q30" i="51" s="1"/>
  <c r="Q37" i="51"/>
  <c r="Q39" i="51"/>
  <c r="B88" i="53"/>
  <c r="P76" i="52"/>
  <c r="P75" i="52"/>
  <c r="P74" i="52"/>
  <c r="P77" i="52"/>
  <c r="P78" i="52"/>
  <c r="P79" i="52"/>
  <c r="P80" i="52"/>
  <c r="P81" i="52"/>
  <c r="P82" i="52"/>
  <c r="P83" i="52"/>
  <c r="P84" i="52"/>
  <c r="P85" i="52"/>
  <c r="P86" i="52"/>
  <c r="Q63" i="53"/>
  <c r="B64" i="53"/>
  <c r="O74" i="53"/>
  <c r="O76" i="53"/>
  <c r="O75" i="53"/>
  <c r="O77" i="53"/>
  <c r="O78" i="53"/>
  <c r="O79" i="53"/>
  <c r="O80" i="53"/>
  <c r="O81" i="53"/>
  <c r="O82" i="53"/>
  <c r="O83" i="53"/>
  <c r="O84" i="53"/>
  <c r="O85" i="53"/>
  <c r="R23" i="51"/>
  <c r="R9" i="51"/>
  <c r="Q28" i="51"/>
  <c r="Q14" i="51"/>
  <c r="B62" i="52"/>
  <c r="O61" i="52"/>
  <c r="O66" i="52" s="1"/>
  <c r="P61" i="52"/>
  <c r="Q61" i="52"/>
  <c r="O70" i="54"/>
  <c r="P73" i="54"/>
  <c r="Q49" i="54"/>
  <c r="Q50" i="54"/>
  <c r="Q51" i="54"/>
  <c r="Q52" i="54"/>
  <c r="Q53" i="54"/>
  <c r="Q54" i="54"/>
  <c r="Q55" i="54"/>
  <c r="Q56" i="54"/>
  <c r="Q57" i="54"/>
  <c r="Q58" i="54"/>
  <c r="Q59" i="54"/>
  <c r="R10" i="51"/>
  <c r="R24" i="51"/>
  <c r="R11" i="51"/>
  <c r="R25" i="51"/>
  <c r="B88" i="54"/>
  <c r="B89" i="52"/>
  <c r="Q88" i="52"/>
  <c r="Q49" i="52"/>
  <c r="Q50" i="52"/>
  <c r="Q51" i="52"/>
  <c r="Q52" i="52"/>
  <c r="Q53" i="52"/>
  <c r="Q54" i="52"/>
  <c r="Q55" i="52"/>
  <c r="Q56" i="52"/>
  <c r="Q57" i="52"/>
  <c r="Q58" i="52"/>
  <c r="Q59" i="52"/>
  <c r="N74" i="54"/>
  <c r="N75" i="54"/>
  <c r="N76" i="54"/>
  <c r="N77" i="54"/>
  <c r="N78" i="54"/>
  <c r="N79" i="54"/>
  <c r="N80" i="54"/>
  <c r="N81" i="54"/>
  <c r="N82" i="54"/>
  <c r="N83" i="54"/>
  <c r="N84" i="54"/>
  <c r="N85" i="54"/>
  <c r="O91" i="52"/>
  <c r="P49" i="53"/>
  <c r="P50" i="53"/>
  <c r="P52" i="53"/>
  <c r="P51" i="53"/>
  <c r="P53" i="53"/>
  <c r="P54" i="53"/>
  <c r="P55" i="53"/>
  <c r="P56" i="53"/>
  <c r="P57" i="53"/>
  <c r="P58" i="53"/>
  <c r="P59" i="53"/>
  <c r="P60" i="53"/>
  <c r="P61" i="53"/>
  <c r="Q75" i="52"/>
  <c r="Q74" i="52"/>
  <c r="Q77" i="52"/>
  <c r="Q76" i="52"/>
  <c r="Q78" i="52"/>
  <c r="Q79" i="52"/>
  <c r="Q80" i="52"/>
  <c r="Q81" i="52"/>
  <c r="Q82" i="52"/>
  <c r="Q83" i="52"/>
  <c r="Q84" i="52"/>
  <c r="Q85" i="52"/>
  <c r="Q86" i="52"/>
  <c r="R15" i="51"/>
  <c r="R29" i="51"/>
  <c r="P87" i="52"/>
  <c r="Q73" i="53"/>
  <c r="Q70" i="53" s="1"/>
  <c r="P70" i="53"/>
  <c r="P50" i="54"/>
  <c r="P49" i="54"/>
  <c r="P51" i="54"/>
  <c r="P52" i="54"/>
  <c r="P53" i="54"/>
  <c r="P54" i="54"/>
  <c r="P55" i="54"/>
  <c r="P56" i="54"/>
  <c r="P57" i="54"/>
  <c r="P58" i="54"/>
  <c r="P59" i="54"/>
  <c r="N91" i="53"/>
  <c r="Q49" i="53"/>
  <c r="Q50" i="53"/>
  <c r="Q51" i="53"/>
  <c r="Q52" i="53"/>
  <c r="Q53" i="53"/>
  <c r="Q54" i="53"/>
  <c r="Q55" i="53"/>
  <c r="Q56" i="53"/>
  <c r="Q57" i="53"/>
  <c r="Q58" i="53"/>
  <c r="Q59" i="53"/>
  <c r="Q60" i="53"/>
  <c r="Q61" i="53"/>
  <c r="P61" i="54"/>
  <c r="O61" i="54"/>
  <c r="O66" i="54" s="1"/>
  <c r="B62" i="54"/>
  <c r="Q61" i="54"/>
  <c r="Q87" i="52"/>
  <c r="P49" i="52"/>
  <c r="P50" i="52"/>
  <c r="P51" i="52"/>
  <c r="P52" i="52"/>
  <c r="P53" i="52"/>
  <c r="P54" i="52"/>
  <c r="P55" i="52"/>
  <c r="P56" i="52"/>
  <c r="P57" i="52"/>
  <c r="P58" i="52"/>
  <c r="P59" i="52"/>
  <c r="O66" i="53"/>
  <c r="Q60" i="52"/>
  <c r="P16" i="51"/>
  <c r="P30" i="51"/>
  <c r="Q16" i="51" l="1"/>
  <c r="Q44" i="51" s="1"/>
  <c r="R39" i="51"/>
  <c r="R37" i="51"/>
  <c r="S11" i="51"/>
  <c r="S25" i="51"/>
  <c r="S24" i="51"/>
  <c r="S10" i="51"/>
  <c r="Q66" i="53"/>
  <c r="Q91" i="52"/>
  <c r="B89" i="54"/>
  <c r="R38" i="51"/>
  <c r="P70" i="54"/>
  <c r="Q73" i="54"/>
  <c r="Q70" i="54" s="1"/>
  <c r="S15" i="51"/>
  <c r="S29" i="51"/>
  <c r="N91" i="54"/>
  <c r="B89" i="53"/>
  <c r="Q88" i="53"/>
  <c r="P44" i="51"/>
  <c r="Q62" i="54"/>
  <c r="P62" i="54"/>
  <c r="P66" i="54" s="1"/>
  <c r="B63" i="54"/>
  <c r="R14" i="51"/>
  <c r="R28" i="51"/>
  <c r="P75" i="53"/>
  <c r="P74" i="53"/>
  <c r="P76" i="53"/>
  <c r="P77" i="53"/>
  <c r="P78" i="53"/>
  <c r="P79" i="53"/>
  <c r="P80" i="53"/>
  <c r="P81" i="53"/>
  <c r="P82" i="53"/>
  <c r="P83" i="53"/>
  <c r="P84" i="53"/>
  <c r="P85" i="53"/>
  <c r="P86" i="53"/>
  <c r="R43" i="51"/>
  <c r="Q75" i="53"/>
  <c r="Q74" i="53"/>
  <c r="Q76" i="53"/>
  <c r="Q77" i="53"/>
  <c r="Q78" i="53"/>
  <c r="Q79" i="53"/>
  <c r="Q80" i="53"/>
  <c r="Q81" i="53"/>
  <c r="Q82" i="53"/>
  <c r="Q83" i="53"/>
  <c r="Q84" i="53"/>
  <c r="Q85" i="53"/>
  <c r="Q86" i="53"/>
  <c r="O74" i="54"/>
  <c r="O76" i="54"/>
  <c r="O75" i="54"/>
  <c r="O77" i="54"/>
  <c r="O78" i="54"/>
  <c r="O79" i="54"/>
  <c r="O80" i="54"/>
  <c r="O81" i="54"/>
  <c r="O82" i="54"/>
  <c r="O83" i="54"/>
  <c r="O84" i="54"/>
  <c r="O85" i="54"/>
  <c r="O86" i="54"/>
  <c r="Q62" i="52"/>
  <c r="P62" i="52"/>
  <c r="P66" i="52" s="1"/>
  <c r="B63" i="52"/>
  <c r="O91" i="53"/>
  <c r="P87" i="53"/>
  <c r="S9" i="51"/>
  <c r="S23" i="51"/>
  <c r="P66" i="53"/>
  <c r="Q42" i="51"/>
  <c r="P91" i="52"/>
  <c r="Q87" i="53"/>
  <c r="S38" i="51" l="1"/>
  <c r="S43" i="51"/>
  <c r="S39" i="51"/>
  <c r="T24" i="51"/>
  <c r="T10" i="51"/>
  <c r="T15" i="51"/>
  <c r="T29" i="51"/>
  <c r="T25" i="51"/>
  <c r="T11" i="51"/>
  <c r="S28" i="51"/>
  <c r="S14" i="51"/>
  <c r="Q74" i="54"/>
  <c r="Q76" i="54"/>
  <c r="Q75" i="54"/>
  <c r="Q77" i="54"/>
  <c r="Q78" i="54"/>
  <c r="Q79" i="54"/>
  <c r="Q80" i="54"/>
  <c r="Q81" i="54"/>
  <c r="Q82" i="54"/>
  <c r="Q83" i="54"/>
  <c r="Q84" i="54"/>
  <c r="Q85" i="54"/>
  <c r="Q86" i="54"/>
  <c r="Q87" i="54"/>
  <c r="Q88" i="54"/>
  <c r="O91" i="54"/>
  <c r="Q91" i="53"/>
  <c r="Q63" i="52"/>
  <c r="Q66" i="52" s="1"/>
  <c r="B64" i="52"/>
  <c r="S37" i="51"/>
  <c r="R42" i="51"/>
  <c r="R16" i="51"/>
  <c r="R30" i="51"/>
  <c r="P74" i="54"/>
  <c r="P76" i="54"/>
  <c r="P75" i="54"/>
  <c r="P77" i="54"/>
  <c r="P78" i="54"/>
  <c r="P79" i="54"/>
  <c r="P80" i="54"/>
  <c r="P81" i="54"/>
  <c r="P82" i="54"/>
  <c r="P83" i="54"/>
  <c r="P84" i="54"/>
  <c r="P85" i="54"/>
  <c r="P86" i="54"/>
  <c r="P87" i="54"/>
  <c r="U29" i="51"/>
  <c r="U15" i="51"/>
  <c r="T9" i="51"/>
  <c r="T23" i="51"/>
  <c r="P91" i="53"/>
  <c r="B64" i="54"/>
  <c r="Q63" i="54"/>
  <c r="Q66" i="54" s="1"/>
  <c r="U9" i="51"/>
  <c r="U23" i="51"/>
  <c r="T39" i="51" l="1"/>
  <c r="T38" i="51"/>
  <c r="R44" i="51"/>
  <c r="S42" i="51"/>
  <c r="U10" i="51"/>
  <c r="U24" i="51"/>
  <c r="U28" i="51"/>
  <c r="U14" i="51"/>
  <c r="Q91" i="54"/>
  <c r="T14" i="51"/>
  <c r="T28" i="51"/>
  <c r="U25" i="51"/>
  <c r="U11" i="51"/>
  <c r="U37" i="51"/>
  <c r="T37" i="51"/>
  <c r="P91" i="54"/>
  <c r="S16" i="51"/>
  <c r="S30" i="51"/>
  <c r="U43" i="51"/>
  <c r="T43" i="51"/>
  <c r="U42" i="51" l="1"/>
  <c r="S44" i="51"/>
  <c r="U38" i="51"/>
  <c r="T16" i="51"/>
  <c r="T30" i="51"/>
  <c r="T42" i="51"/>
  <c r="U39" i="51"/>
  <c r="U30" i="51"/>
  <c r="U16" i="51"/>
  <c r="U44" i="51" l="1"/>
  <c r="T44" i="51"/>
  <c r="S3" i="38" l="1"/>
  <c r="Q39" i="38"/>
  <c r="R36" i="38"/>
  <c r="R39" i="38" s="1"/>
  <c r="Q43" i="38"/>
  <c r="Q44" i="38" s="1"/>
  <c r="S36" i="38" l="1"/>
  <c r="T36" i="38" l="1"/>
  <c r="S39" i="38"/>
  <c r="U36" i="38" l="1"/>
  <c r="T39" i="38"/>
  <c r="V36" i="38" l="1"/>
  <c r="U39" i="38"/>
  <c r="V39" i="38" l="1"/>
  <c r="W36" i="38"/>
  <c r="X36" i="38" l="1"/>
  <c r="X39" i="38" s="1"/>
  <c r="W39" i="38"/>
  <c r="M79" i="37" l="1"/>
  <c r="N79" i="37"/>
  <c r="O79" i="37"/>
  <c r="P79" i="37"/>
  <c r="Q79" i="37"/>
  <c r="R79" i="37"/>
  <c r="S79" i="37"/>
  <c r="T79" i="37"/>
  <c r="U79" i="37"/>
  <c r="V79" i="37"/>
  <c r="W79" i="37"/>
  <c r="X79" i="37"/>
  <c r="Y79" i="37"/>
  <c r="Z79" i="37"/>
  <c r="AA79" i="37"/>
  <c r="AB79" i="37"/>
  <c r="L79" i="37"/>
  <c r="M78" i="37"/>
  <c r="N78" i="37"/>
  <c r="O78" i="37"/>
  <c r="P78" i="37"/>
  <c r="Q78" i="37"/>
  <c r="R78" i="37"/>
  <c r="S78" i="37"/>
  <c r="T78" i="37"/>
  <c r="U78" i="37"/>
  <c r="V78" i="37"/>
  <c r="W78" i="37"/>
  <c r="X78" i="37"/>
  <c r="Y78" i="37"/>
  <c r="Z78" i="37"/>
  <c r="AA78" i="37"/>
  <c r="AB78" i="37"/>
  <c r="L78" i="37"/>
  <c r="O77" i="37"/>
  <c r="P77" i="37" s="1"/>
  <c r="Q77" i="37" s="1"/>
  <c r="R77" i="37" s="1"/>
  <c r="S77" i="37" s="1"/>
  <c r="T77" i="37" s="1"/>
  <c r="U77" i="37" s="1"/>
  <c r="V77" i="37" s="1"/>
  <c r="W77" i="37" s="1"/>
  <c r="X77" i="37" s="1"/>
  <c r="Y77" i="37" s="1"/>
  <c r="Z77" i="37" s="1"/>
  <c r="AA77" i="37" s="1"/>
  <c r="AB77" i="37" s="1"/>
  <c r="N77" i="37"/>
  <c r="AC78" i="37"/>
  <c r="AD78" i="37"/>
  <c r="AE78" i="37"/>
  <c r="AF78" i="37"/>
  <c r="AG78" i="37"/>
  <c r="AH78" i="37"/>
  <c r="AI78" i="37"/>
  <c r="AJ78" i="37"/>
  <c r="AK78" i="37"/>
  <c r="AL78" i="37"/>
  <c r="AM78" i="37"/>
  <c r="AN78" i="37"/>
  <c r="AO78" i="37"/>
  <c r="AP78" i="37"/>
  <c r="L12" i="37" l="1"/>
  <c r="L14" i="37"/>
  <c r="S8" i="38" l="1"/>
  <c r="L17" i="37" l="1"/>
  <c r="M17" i="37"/>
  <c r="N17" i="37"/>
  <c r="O17" i="37"/>
  <c r="P17" i="37"/>
  <c r="Q17" i="37"/>
  <c r="R17" i="37"/>
  <c r="S17" i="37"/>
  <c r="T17" i="37"/>
  <c r="U17" i="37"/>
  <c r="V17" i="37"/>
  <c r="W17" i="37"/>
  <c r="X17" i="37"/>
  <c r="Y17" i="37"/>
  <c r="Z17" i="37"/>
  <c r="AA17" i="37"/>
  <c r="AB17" i="37"/>
  <c r="AC17" i="37"/>
  <c r="AD17" i="37"/>
  <c r="AE17" i="37"/>
  <c r="AF17" i="37"/>
  <c r="AG17" i="37"/>
  <c r="AH17" i="37"/>
  <c r="AI17" i="37"/>
  <c r="AJ17" i="37"/>
  <c r="AK17" i="37"/>
  <c r="AL17" i="37"/>
  <c r="AM17" i="37"/>
  <c r="AN17" i="37"/>
  <c r="AO17" i="37"/>
  <c r="K17" i="37"/>
  <c r="AA14" i="37"/>
  <c r="AB14" i="37"/>
  <c r="AC14" i="37"/>
  <c r="AD14" i="37"/>
  <c r="AE14" i="37"/>
  <c r="AF14" i="37"/>
  <c r="AG14" i="37"/>
  <c r="AH14" i="37"/>
  <c r="AI14" i="37"/>
  <c r="AJ14" i="37"/>
  <c r="AK14" i="37"/>
  <c r="AL14" i="37"/>
  <c r="AM14" i="37"/>
  <c r="AN14" i="37"/>
  <c r="AO14" i="37"/>
  <c r="AA12" i="37"/>
  <c r="K12" i="37" l="1"/>
  <c r="Q53" i="38"/>
  <c r="L15" i="37"/>
  <c r="N16" i="37"/>
  <c r="O16" i="37"/>
  <c r="P16" i="37"/>
  <c r="Q16" i="37"/>
  <c r="R16" i="37"/>
  <c r="S16" i="37"/>
  <c r="T16" i="37"/>
  <c r="U16" i="37"/>
  <c r="V16" i="37"/>
  <c r="W16" i="37"/>
  <c r="X16" i="37"/>
  <c r="Y16" i="37"/>
  <c r="Z16" i="37"/>
  <c r="M16" i="37"/>
  <c r="N13" i="37"/>
  <c r="M13" i="37"/>
  <c r="S13" i="37"/>
  <c r="T13" i="37"/>
  <c r="U13" i="37"/>
  <c r="V13" i="37"/>
  <c r="W13" i="37"/>
  <c r="X13" i="37"/>
  <c r="Y13" i="37"/>
  <c r="Z13" i="37"/>
  <c r="P13" i="37"/>
  <c r="Q13" i="37"/>
  <c r="R13" i="37"/>
  <c r="O13" i="37"/>
  <c r="O15" i="37"/>
  <c r="R15" i="37"/>
  <c r="U42" i="38"/>
  <c r="W42" i="38"/>
  <c r="X42" i="38"/>
  <c r="Z42" i="38"/>
  <c r="AA42" i="38"/>
  <c r="AB42" i="38"/>
  <c r="AC42" i="38"/>
  <c r="AD42" i="38"/>
  <c r="AE42" i="38"/>
  <c r="AF42" i="38"/>
  <c r="AG42" i="38"/>
  <c r="AH42" i="38"/>
  <c r="AI42" i="38"/>
  <c r="AJ42" i="38"/>
  <c r="AK42" i="38"/>
  <c r="Q42" i="38"/>
  <c r="AH11" i="37"/>
  <c r="AI11" i="37"/>
  <c r="AJ11" i="37"/>
  <c r="AK11" i="37"/>
  <c r="AL11" i="37"/>
  <c r="AM11" i="37"/>
  <c r="AN11" i="37"/>
  <c r="AO11" i="37"/>
  <c r="AH10" i="37"/>
  <c r="AI10" i="37" s="1"/>
  <c r="AJ10" i="37" s="1"/>
  <c r="AK10" i="37" s="1"/>
  <c r="AL10" i="37" s="1"/>
  <c r="AM10" i="37" s="1"/>
  <c r="AN10" i="37" s="1"/>
  <c r="AO10" i="37" s="1"/>
  <c r="L11" i="37"/>
  <c r="M11" i="37"/>
  <c r="N11" i="37"/>
  <c r="O11" i="37"/>
  <c r="P11" i="37"/>
  <c r="Q11" i="37"/>
  <c r="R11" i="37"/>
  <c r="S11" i="37"/>
  <c r="T11" i="37"/>
  <c r="U11" i="37"/>
  <c r="V11" i="37"/>
  <c r="W11" i="37"/>
  <c r="X11" i="37"/>
  <c r="Y11" i="37"/>
  <c r="Z11" i="37"/>
  <c r="AA11" i="37"/>
  <c r="AB11" i="37"/>
  <c r="AC11" i="37"/>
  <c r="AD11" i="37"/>
  <c r="AE11" i="37"/>
  <c r="AF11" i="37"/>
  <c r="AG11" i="37"/>
  <c r="K11" i="37"/>
  <c r="X43" i="38"/>
  <c r="X45" i="38"/>
  <c r="Y41" i="38"/>
  <c r="Y42" i="38" s="1"/>
  <c r="U45" i="38"/>
  <c r="U46" i="38" s="1"/>
  <c r="W45" i="38"/>
  <c r="Q45" i="38"/>
  <c r="Q46" i="38" s="1"/>
  <c r="U43" i="38"/>
  <c r="W43" i="38"/>
  <c r="V41" i="38"/>
  <c r="V45" i="38" s="1"/>
  <c r="V46" i="38" s="1"/>
  <c r="R41" i="38"/>
  <c r="S41" i="38" s="1"/>
  <c r="T41" i="38" s="1"/>
  <c r="T45" i="38" s="1"/>
  <c r="T46" i="38" s="1"/>
  <c r="AI65" i="37"/>
  <c r="AG65" i="37"/>
  <c r="AD65" i="37"/>
  <c r="AE65" i="37" s="1"/>
  <c r="AC65" i="37"/>
  <c r="AB65" i="37"/>
  <c r="AC71" i="37"/>
  <c r="AB71" i="37"/>
  <c r="AD71" i="37"/>
  <c r="AG71" i="37" s="1"/>
  <c r="AE71" i="37"/>
  <c r="AH71" i="37" s="1"/>
  <c r="AF71" i="37"/>
  <c r="X44" i="38" l="1"/>
  <c r="W44" i="38"/>
  <c r="X52" i="38"/>
  <c r="X46" i="38"/>
  <c r="W52" i="38"/>
  <c r="W46" i="38"/>
  <c r="U55" i="38"/>
  <c r="U56" i="38" s="1"/>
  <c r="U44" i="38"/>
  <c r="W55" i="38"/>
  <c r="W56" i="38" s="1"/>
  <c r="Q55" i="38"/>
  <c r="Q56" i="38" s="1"/>
  <c r="X55" i="38"/>
  <c r="S42" i="38"/>
  <c r="V42" i="38"/>
  <c r="R45" i="38"/>
  <c r="R42" i="38"/>
  <c r="T42" i="38"/>
  <c r="S43" i="38"/>
  <c r="T43" i="38"/>
  <c r="V43" i="38"/>
  <c r="R43" i="38"/>
  <c r="R44" i="38" s="1"/>
  <c r="S45" i="38"/>
  <c r="S46" i="38" s="1"/>
  <c r="AF65" i="37"/>
  <c r="AI71" i="37"/>
  <c r="V55" i="38" l="1"/>
  <c r="W57" i="38" s="1"/>
  <c r="V44" i="38"/>
  <c r="S55" i="38"/>
  <c r="S44" i="38"/>
  <c r="Z54" i="38"/>
  <c r="R46" i="38"/>
  <c r="T55" i="38"/>
  <c r="T56" i="38" s="1"/>
  <c r="T44" i="38"/>
  <c r="V57" i="38"/>
  <c r="X56" i="38"/>
  <c r="X57" i="38"/>
  <c r="Y43" i="38"/>
  <c r="R55" i="38"/>
  <c r="R56" i="38" s="1"/>
  <c r="Y52" i="38"/>
  <c r="AK71" i="37"/>
  <c r="AJ71" i="37"/>
  <c r="F17" i="44"/>
  <c r="F18" i="44"/>
  <c r="F19" i="44"/>
  <c r="F20" i="44"/>
  <c r="F21" i="44"/>
  <c r="F22" i="44"/>
  <c r="F23" i="44"/>
  <c r="F24" i="44"/>
  <c r="F25" i="44"/>
  <c r="F26" i="44"/>
  <c r="F27" i="44"/>
  <c r="F28" i="44"/>
  <c r="F29" i="44"/>
  <c r="F30" i="44"/>
  <c r="F31" i="44"/>
  <c r="F32" i="44"/>
  <c r="F33" i="44"/>
  <c r="F34" i="44"/>
  <c r="F35" i="44"/>
  <c r="F36" i="44"/>
  <c r="F37" i="44"/>
  <c r="F38" i="44"/>
  <c r="F39" i="44"/>
  <c r="F40" i="44"/>
  <c r="F41" i="44"/>
  <c r="F42" i="44"/>
  <c r="F43" i="44"/>
  <c r="F44" i="44"/>
  <c r="F45" i="44"/>
  <c r="F46" i="44"/>
  <c r="F47" i="44"/>
  <c r="F48" i="44"/>
  <c r="F49" i="44"/>
  <c r="F50" i="44"/>
  <c r="F51" i="44"/>
  <c r="F16" i="44"/>
  <c r="F15" i="44"/>
  <c r="F14" i="44"/>
  <c r="F52" i="44"/>
  <c r="F53" i="44"/>
  <c r="F54" i="44"/>
  <c r="F55" i="44"/>
  <c r="F56" i="44"/>
  <c r="F57" i="44"/>
  <c r="F58" i="44"/>
  <c r="F59" i="44"/>
  <c r="F60" i="44"/>
  <c r="F61" i="44"/>
  <c r="F62" i="44"/>
  <c r="F63" i="44"/>
  <c r="F64" i="44"/>
  <c r="F65" i="44"/>
  <c r="F66" i="44"/>
  <c r="F67" i="44"/>
  <c r="F68" i="44"/>
  <c r="F69" i="44"/>
  <c r="F70" i="44"/>
  <c r="F71" i="44"/>
  <c r="F72" i="44"/>
  <c r="F73" i="44"/>
  <c r="F74" i="44"/>
  <c r="F75" i="44"/>
  <c r="F76" i="44"/>
  <c r="F77" i="44"/>
  <c r="F78" i="44"/>
  <c r="F79" i="44"/>
  <c r="F80" i="44"/>
  <c r="F81" i="44"/>
  <c r="F82" i="44"/>
  <c r="F83" i="44"/>
  <c r="F84" i="44"/>
  <c r="F85" i="44"/>
  <c r="F86" i="44"/>
  <c r="F87" i="44"/>
  <c r="F88" i="44"/>
  <c r="F89" i="44"/>
  <c r="F90" i="44"/>
  <c r="F91" i="44"/>
  <c r="F92" i="44"/>
  <c r="F93" i="44"/>
  <c r="F94" i="44"/>
  <c r="F95" i="44"/>
  <c r="F96" i="44"/>
  <c r="F97" i="44"/>
  <c r="F98" i="44"/>
  <c r="F99" i="44"/>
  <c r="F100" i="44"/>
  <c r="F101" i="44"/>
  <c r="F102" i="44"/>
  <c r="F103" i="44"/>
  <c r="F104" i="44"/>
  <c r="F105" i="44"/>
  <c r="F106" i="44"/>
  <c r="F107" i="44"/>
  <c r="F108" i="44"/>
  <c r="F109" i="44"/>
  <c r="F110" i="44"/>
  <c r="F111" i="44"/>
  <c r="F112" i="44"/>
  <c r="F113" i="44"/>
  <c r="F114" i="44"/>
  <c r="F115" i="44"/>
  <c r="F116" i="44"/>
  <c r="F117" i="44"/>
  <c r="F118" i="44"/>
  <c r="F119" i="44"/>
  <c r="F120" i="44"/>
  <c r="F121" i="44"/>
  <c r="F122" i="44"/>
  <c r="F123" i="44"/>
  <c r="F124" i="44"/>
  <c r="F125" i="44"/>
  <c r="F126" i="44"/>
  <c r="F127" i="44"/>
  <c r="F128" i="44"/>
  <c r="F129" i="44"/>
  <c r="F130" i="44"/>
  <c r="F131" i="44"/>
  <c r="F132" i="44"/>
  <c r="F133" i="44"/>
  <c r="F134" i="44"/>
  <c r="F135" i="44"/>
  <c r="F136" i="44"/>
  <c r="F137" i="44"/>
  <c r="F138" i="44"/>
  <c r="F139" i="44"/>
  <c r="F140" i="44"/>
  <c r="F141" i="44"/>
  <c r="F142" i="44"/>
  <c r="F143" i="44"/>
  <c r="F144" i="44"/>
  <c r="F145" i="44"/>
  <c r="F146" i="44"/>
  <c r="F147" i="44"/>
  <c r="F148" i="44"/>
  <c r="F149" i="44"/>
  <c r="F150" i="44"/>
  <c r="F151" i="44"/>
  <c r="F152" i="44"/>
  <c r="F153" i="44"/>
  <c r="F154" i="44"/>
  <c r="F155" i="44"/>
  <c r="F156" i="44"/>
  <c r="F157" i="44"/>
  <c r="F158" i="44"/>
  <c r="F159" i="44"/>
  <c r="F160" i="44"/>
  <c r="F161" i="44"/>
  <c r="F162" i="44"/>
  <c r="F163" i="44"/>
  <c r="F164" i="44"/>
  <c r="F165" i="44"/>
  <c r="F166" i="44"/>
  <c r="F167" i="44"/>
  <c r="F168" i="44"/>
  <c r="F169" i="44"/>
  <c r="F170" i="44"/>
  <c r="F171" i="44"/>
  <c r="F172" i="44"/>
  <c r="F173" i="44"/>
  <c r="F174" i="44"/>
  <c r="F175" i="44"/>
  <c r="F176" i="44"/>
  <c r="F177" i="44"/>
  <c r="F178" i="44"/>
  <c r="F179" i="44"/>
  <c r="F180" i="44"/>
  <c r="F181" i="44"/>
  <c r="F182" i="44"/>
  <c r="F183" i="44"/>
  <c r="F184" i="44"/>
  <c r="F185" i="44"/>
  <c r="F186" i="44"/>
  <c r="F187" i="44"/>
  <c r="F188" i="44"/>
  <c r="F189" i="44"/>
  <c r="F190" i="44"/>
  <c r="F191" i="44"/>
  <c r="F192" i="44"/>
  <c r="F193" i="44"/>
  <c r="F194" i="44"/>
  <c r="F195" i="44"/>
  <c r="F196" i="44"/>
  <c r="F197" i="44"/>
  <c r="F198" i="44"/>
  <c r="F199" i="44"/>
  <c r="F200" i="44"/>
  <c r="F201" i="44"/>
  <c r="F202" i="44"/>
  <c r="F203" i="44"/>
  <c r="F204" i="44"/>
  <c r="F205" i="44"/>
  <c r="F206" i="44"/>
  <c r="F207" i="44"/>
  <c r="F208" i="44"/>
  <c r="F209" i="44"/>
  <c r="F210" i="44"/>
  <c r="F211" i="44"/>
  <c r="F212" i="44"/>
  <c r="F213" i="44"/>
  <c r="F214" i="44"/>
  <c r="F215" i="44"/>
  <c r="F216" i="44"/>
  <c r="F217" i="44"/>
  <c r="F218" i="44"/>
  <c r="F219" i="44"/>
  <c r="F220" i="44"/>
  <c r="F221" i="44"/>
  <c r="F222" i="44"/>
  <c r="F223" i="44"/>
  <c r="F224" i="44"/>
  <c r="F225" i="44"/>
  <c r="F226" i="44"/>
  <c r="F227" i="44"/>
  <c r="F228" i="44"/>
  <c r="F229" i="44"/>
  <c r="F230" i="44"/>
  <c r="F231" i="44"/>
  <c r="F232" i="44"/>
  <c r="F233" i="44"/>
  <c r="F234" i="44"/>
  <c r="F235" i="44"/>
  <c r="F236" i="44"/>
  <c r="F237" i="44"/>
  <c r="F238" i="44"/>
  <c r="F239" i="44"/>
  <c r="F240" i="44"/>
  <c r="F241" i="44"/>
  <c r="F242" i="44"/>
  <c r="F243" i="44"/>
  <c r="F244" i="44"/>
  <c r="F245" i="44"/>
  <c r="F246" i="44"/>
  <c r="F247" i="44"/>
  <c r="F248" i="44"/>
  <c r="F249" i="44"/>
  <c r="F250" i="44"/>
  <c r="F251" i="44"/>
  <c r="F252" i="44"/>
  <c r="F253" i="44"/>
  <c r="F254" i="44"/>
  <c r="F255" i="44"/>
  <c r="F256" i="44"/>
  <c r="F257" i="44"/>
  <c r="F258" i="44"/>
  <c r="F259" i="44"/>
  <c r="F260" i="44"/>
  <c r="F261" i="44"/>
  <c r="F262" i="44"/>
  <c r="F263" i="44"/>
  <c r="F264" i="44"/>
  <c r="F265" i="44"/>
  <c r="F266" i="44"/>
  <c r="F267" i="44"/>
  <c r="F268" i="44"/>
  <c r="F269" i="44"/>
  <c r="F270" i="44"/>
  <c r="F271" i="44"/>
  <c r="F272" i="44"/>
  <c r="F273" i="44"/>
  <c r="F274" i="44"/>
  <c r="F275" i="44"/>
  <c r="F276" i="44"/>
  <c r="F277" i="44"/>
  <c r="F278" i="44"/>
  <c r="F279" i="44"/>
  <c r="F280" i="44"/>
  <c r="F281" i="44"/>
  <c r="F282" i="44"/>
  <c r="F283" i="44"/>
  <c r="F284" i="44"/>
  <c r="F285" i="44"/>
  <c r="F286" i="44"/>
  <c r="F287" i="44"/>
  <c r="F288" i="44"/>
  <c r="F289" i="44"/>
  <c r="F290" i="44"/>
  <c r="F291" i="44"/>
  <c r="F292" i="44"/>
  <c r="F293" i="44"/>
  <c r="F294" i="44"/>
  <c r="F295" i="44"/>
  <c r="F296" i="44"/>
  <c r="F297" i="44"/>
  <c r="F298" i="44"/>
  <c r="F299" i="44"/>
  <c r="F300" i="44"/>
  <c r="F301" i="44"/>
  <c r="F302" i="44"/>
  <c r="F303" i="44"/>
  <c r="F304" i="44"/>
  <c r="F305" i="44"/>
  <c r="F306" i="44"/>
  <c r="F307" i="44"/>
  <c r="F308" i="44"/>
  <c r="F309" i="44"/>
  <c r="F310" i="44"/>
  <c r="F311" i="44"/>
  <c r="F312" i="44"/>
  <c r="F313" i="44"/>
  <c r="F314" i="44"/>
  <c r="F315" i="44"/>
  <c r="F316" i="44"/>
  <c r="F317" i="44"/>
  <c r="F318" i="44"/>
  <c r="F319" i="44"/>
  <c r="F320" i="44"/>
  <c r="F321" i="44"/>
  <c r="F322" i="44"/>
  <c r="F323" i="44"/>
  <c r="F324" i="44"/>
  <c r="F325" i="44"/>
  <c r="F326" i="44"/>
  <c r="F327" i="44"/>
  <c r="F328" i="44"/>
  <c r="F329" i="44"/>
  <c r="F330" i="44"/>
  <c r="F331" i="44"/>
  <c r="F332" i="44"/>
  <c r="F333" i="44"/>
  <c r="F334" i="44"/>
  <c r="F335" i="44"/>
  <c r="F336" i="44"/>
  <c r="F337" i="44"/>
  <c r="F338" i="44"/>
  <c r="F339" i="44"/>
  <c r="F340" i="44"/>
  <c r="F341" i="44"/>
  <c r="F342" i="44"/>
  <c r="F343" i="44"/>
  <c r="F344" i="44"/>
  <c r="F345" i="44"/>
  <c r="F346" i="44"/>
  <c r="F347" i="44"/>
  <c r="F348" i="44"/>
  <c r="F349" i="44"/>
  <c r="F350" i="44"/>
  <c r="F351" i="44"/>
  <c r="F352" i="44"/>
  <c r="F353" i="44"/>
  <c r="F354" i="44"/>
  <c r="E16" i="44"/>
  <c r="E17" i="44"/>
  <c r="E18" i="44"/>
  <c r="E19" i="44"/>
  <c r="E20" i="44" s="1"/>
  <c r="E21" i="44" s="1"/>
  <c r="E22" i="44" s="1"/>
  <c r="E23" i="44" s="1"/>
  <c r="E24" i="44" s="1"/>
  <c r="E25" i="44" s="1"/>
  <c r="E26" i="44" s="1"/>
  <c r="E27" i="44" s="1"/>
  <c r="E28" i="44" s="1"/>
  <c r="E29" i="44" s="1"/>
  <c r="E30" i="44" s="1"/>
  <c r="E31" i="44" s="1"/>
  <c r="E32" i="44" s="1"/>
  <c r="E33" i="44" s="1"/>
  <c r="E34" i="44" s="1"/>
  <c r="E35" i="44" s="1"/>
  <c r="E36" i="44" s="1"/>
  <c r="E37" i="44" s="1"/>
  <c r="E38" i="44" s="1"/>
  <c r="E39" i="44" s="1"/>
  <c r="E40" i="44" s="1"/>
  <c r="E41" i="44" s="1"/>
  <c r="E42" i="44" s="1"/>
  <c r="E43" i="44" s="1"/>
  <c r="E44" i="44" s="1"/>
  <c r="E45" i="44" s="1"/>
  <c r="E46" i="44" s="1"/>
  <c r="E47" i="44" s="1"/>
  <c r="E48" i="44" s="1"/>
  <c r="E49" i="44" s="1"/>
  <c r="E50" i="44" s="1"/>
  <c r="E51" i="44" s="1"/>
  <c r="E52" i="44" s="1"/>
  <c r="E15" i="44"/>
  <c r="E14" i="44"/>
  <c r="C894" i="44"/>
  <c r="B894" i="44"/>
  <c r="C8" i="44" s="1"/>
  <c r="C824" i="44"/>
  <c r="D7" i="44" s="1"/>
  <c r="B824" i="44"/>
  <c r="C802" i="44"/>
  <c r="B802" i="44"/>
  <c r="C6" i="44" s="1"/>
  <c r="C718" i="44"/>
  <c r="D5" i="44" s="1"/>
  <c r="B718" i="44"/>
  <c r="C678" i="44"/>
  <c r="C355" i="44"/>
  <c r="D4" i="44" s="1"/>
  <c r="B355" i="44"/>
  <c r="C4" i="44" s="1"/>
  <c r="C9" i="44" s="1"/>
  <c r="C331" i="44"/>
  <c r="C243" i="44"/>
  <c r="D8" i="44"/>
  <c r="C7" i="44"/>
  <c r="D6" i="44"/>
  <c r="C5" i="44"/>
  <c r="M73" i="37"/>
  <c r="N73" i="37"/>
  <c r="O73" i="37"/>
  <c r="P73" i="37"/>
  <c r="Q73" i="37"/>
  <c r="R73" i="37"/>
  <c r="S73" i="37"/>
  <c r="T73" i="37"/>
  <c r="U73" i="37"/>
  <c r="V73" i="37"/>
  <c r="W73" i="37"/>
  <c r="X73" i="37"/>
  <c r="Y73" i="37"/>
  <c r="Z73" i="37"/>
  <c r="AA73" i="37"/>
  <c r="L73" i="37"/>
  <c r="M72" i="37"/>
  <c r="N72" i="37"/>
  <c r="O72" i="37"/>
  <c r="P72" i="37"/>
  <c r="Q72" i="37"/>
  <c r="R72" i="37"/>
  <c r="S72" i="37"/>
  <c r="T72" i="37"/>
  <c r="U72" i="37"/>
  <c r="V72" i="37"/>
  <c r="W72" i="37"/>
  <c r="X72" i="37"/>
  <c r="Y72" i="37"/>
  <c r="Z72" i="37"/>
  <c r="AA72" i="37"/>
  <c r="L72" i="37"/>
  <c r="N64" i="37"/>
  <c r="O64" i="37" s="1"/>
  <c r="U57" i="38" l="1"/>
  <c r="T57" i="38"/>
  <c r="V56" i="38"/>
  <c r="S56" i="38"/>
  <c r="S57" i="38"/>
  <c r="AH65" i="37"/>
  <c r="AL71" i="37"/>
  <c r="AM71" i="37" s="1"/>
  <c r="D9" i="44"/>
  <c r="O65" i="37"/>
  <c r="P64" i="37"/>
  <c r="M10" i="37"/>
  <c r="N10" i="37" s="1"/>
  <c r="O10" i="37" s="1"/>
  <c r="P10" i="37" s="1"/>
  <c r="Q10" i="37" s="1"/>
  <c r="R10" i="37" s="1"/>
  <c r="S10" i="37" s="1"/>
  <c r="T10" i="37" s="1"/>
  <c r="U10" i="37" s="1"/>
  <c r="AJ65" i="37" l="1"/>
  <c r="AN71" i="37"/>
  <c r="AO71" i="37" s="1"/>
  <c r="AP71" i="37" s="1"/>
  <c r="O67" i="37"/>
  <c r="Q64" i="37"/>
  <c r="P65" i="37"/>
  <c r="V10" i="37"/>
  <c r="P15" i="37"/>
  <c r="P12" i="37"/>
  <c r="S15" i="37"/>
  <c r="S12" i="37"/>
  <c r="O12" i="37"/>
  <c r="N15" i="37"/>
  <c r="R12" i="37"/>
  <c r="N12" i="37"/>
  <c r="Q15" i="37"/>
  <c r="Q12" i="37"/>
  <c r="AK65" i="37" l="1"/>
  <c r="AL65" i="37" s="1"/>
  <c r="P67" i="37"/>
  <c r="P66" i="37"/>
  <c r="N14" i="37"/>
  <c r="O14" i="37"/>
  <c r="P14" i="37"/>
  <c r="R14" i="37"/>
  <c r="S14" i="37"/>
  <c r="Q14" i="37"/>
  <c r="R64" i="37"/>
  <c r="Q65" i="37"/>
  <c r="W10" i="37"/>
  <c r="V12" i="37"/>
  <c r="V15" i="37"/>
  <c r="AM65" i="37" l="1"/>
  <c r="AN65" i="37" s="1"/>
  <c r="AO65" i="37" s="1"/>
  <c r="AP65" i="37" s="1"/>
  <c r="Q66" i="37"/>
  <c r="Q67" i="37"/>
  <c r="V14" i="37"/>
  <c r="S64" i="37"/>
  <c r="R65" i="37"/>
  <c r="X10" i="37"/>
  <c r="W12" i="37"/>
  <c r="W15" i="37"/>
  <c r="H337" i="37"/>
  <c r="C8" i="37" s="1"/>
  <c r="B337" i="37"/>
  <c r="C4" i="37" s="1"/>
  <c r="F271" i="37"/>
  <c r="G228" i="37"/>
  <c r="U12" i="37" s="1"/>
  <c r="I221" i="37"/>
  <c r="I213" i="37"/>
  <c r="I190" i="37"/>
  <c r="G190" i="37"/>
  <c r="T12" i="37" s="1"/>
  <c r="I188" i="37"/>
  <c r="F188" i="37"/>
  <c r="I96" i="37"/>
  <c r="M15" i="37" s="1"/>
  <c r="G96" i="37"/>
  <c r="I81" i="37"/>
  <c r="G81" i="37"/>
  <c r="I24" i="37"/>
  <c r="G24" i="37"/>
  <c r="I23" i="37"/>
  <c r="G23" i="37"/>
  <c r="I22" i="37"/>
  <c r="G22" i="37"/>
  <c r="I19" i="37"/>
  <c r="G19" i="37"/>
  <c r="E17" i="37"/>
  <c r="G17" i="37" s="1"/>
  <c r="I16" i="37"/>
  <c r="G16" i="37"/>
  <c r="E14" i="37"/>
  <c r="G14" i="37" s="1"/>
  <c r="E13" i="37"/>
  <c r="T15" i="37" l="1"/>
  <c r="M12" i="37"/>
  <c r="M14" i="37" s="1"/>
  <c r="N65" i="37"/>
  <c r="M65" i="37"/>
  <c r="M67" i="37" s="1"/>
  <c r="R66" i="37"/>
  <c r="R67" i="37"/>
  <c r="T14" i="37"/>
  <c r="U14" i="37"/>
  <c r="W14" i="37"/>
  <c r="S65" i="37"/>
  <c r="T64" i="37"/>
  <c r="I17" i="37"/>
  <c r="U15" i="37"/>
  <c r="Y10" i="37"/>
  <c r="X12" i="37"/>
  <c r="X15" i="37"/>
  <c r="E337" i="37"/>
  <c r="C6" i="37" s="1"/>
  <c r="I13" i="37"/>
  <c r="F337" i="37"/>
  <c r="C5" i="37" s="1"/>
  <c r="G13" i="37"/>
  <c r="I14" i="37"/>
  <c r="K14" i="37" l="1"/>
  <c r="L65" i="37"/>
  <c r="N66" i="37"/>
  <c r="N67" i="37"/>
  <c r="O66" i="37"/>
  <c r="S67" i="37"/>
  <c r="S66" i="37"/>
  <c r="X14" i="37"/>
  <c r="U64" i="37"/>
  <c r="T65" i="37"/>
  <c r="K15" i="37"/>
  <c r="K16" i="37" s="1"/>
  <c r="Z10" i="37"/>
  <c r="Y12" i="37"/>
  <c r="Y15" i="37"/>
  <c r="I337" i="37"/>
  <c r="G337" i="37"/>
  <c r="C7" i="37"/>
  <c r="C9" i="37" l="1"/>
  <c r="L66" i="37"/>
  <c r="L67" i="37"/>
  <c r="T67" i="37"/>
  <c r="T66" i="37"/>
  <c r="Y14" i="37"/>
  <c r="AA10" i="37"/>
  <c r="V64" i="37"/>
  <c r="U65" i="37"/>
  <c r="Z12" i="37"/>
  <c r="Z15" i="37"/>
  <c r="U66" i="37" l="1"/>
  <c r="U67" i="37"/>
  <c r="AB10" i="37"/>
  <c r="AC10" i="37" s="1"/>
  <c r="AD10" i="37" s="1"/>
  <c r="AE10" i="37" s="1"/>
  <c r="AF10" i="37" s="1"/>
  <c r="AG10" i="37" s="1"/>
  <c r="Z14" i="37"/>
  <c r="W64" i="37"/>
  <c r="V65" i="37"/>
  <c r="V66" i="37" l="1"/>
  <c r="V67" i="37"/>
  <c r="W65" i="37"/>
  <c r="X64" i="37"/>
  <c r="W66" i="37" l="1"/>
  <c r="W67" i="37"/>
  <c r="Y64" i="37"/>
  <c r="X65" i="37"/>
  <c r="X67" i="37" l="1"/>
  <c r="X66" i="37"/>
  <c r="Z64" i="37"/>
  <c r="Y65" i="37"/>
  <c r="Y66" i="37" l="1"/>
  <c r="Y67" i="37"/>
  <c r="AA64" i="37"/>
  <c r="Z65" i="37"/>
  <c r="Z66" i="37" l="1"/>
  <c r="Z67" i="37"/>
  <c r="AA65" i="37"/>
  <c r="AB64" i="37"/>
  <c r="AA67" i="37" l="1"/>
  <c r="AA66" i="37"/>
  <c r="AC64" i="37"/>
  <c r="AB67" i="37" l="1"/>
  <c r="AB66" i="37"/>
  <c r="AD64" i="37"/>
  <c r="AC73" i="37"/>
  <c r="AB73" i="37"/>
  <c r="AB72" i="37"/>
  <c r="AC67" i="37" l="1"/>
  <c r="AC66" i="37"/>
  <c r="AE64" i="37"/>
  <c r="AC72" i="37"/>
  <c r="AD67" i="37" l="1"/>
  <c r="AD66" i="37"/>
  <c r="AD73" i="37"/>
  <c r="AD72" i="37"/>
  <c r="AF64" i="37"/>
  <c r="AG64" i="37" l="1"/>
  <c r="AE66" i="37"/>
  <c r="AE67" i="37"/>
  <c r="AE72" i="37"/>
  <c r="AE73" i="37"/>
  <c r="AF66" i="37" l="1"/>
  <c r="AF67" i="37"/>
  <c r="AF72" i="37"/>
  <c r="AF73" i="37"/>
  <c r="AH64" i="37"/>
  <c r="AI64" i="37" l="1"/>
  <c r="AJ64" i="37" s="1"/>
  <c r="AG67" i="37"/>
  <c r="AG66" i="37"/>
  <c r="AG73" i="37"/>
  <c r="AG72" i="37"/>
  <c r="AK64" i="37" l="1"/>
  <c r="AH66" i="37"/>
  <c r="AH67" i="37"/>
  <c r="AH73" i="37"/>
  <c r="AH72" i="37"/>
  <c r="AI67" i="37" l="1"/>
  <c r="AI66" i="37"/>
  <c r="AI72" i="37"/>
  <c r="AI73" i="37"/>
  <c r="AL64" i="37"/>
  <c r="AJ66" i="37" l="1"/>
  <c r="AJ67" i="37"/>
  <c r="AK72" i="37"/>
  <c r="AK73" i="37"/>
  <c r="AM64" i="37"/>
  <c r="AJ72" i="37"/>
  <c r="AJ73" i="37"/>
  <c r="AK67" i="37"/>
  <c r="AK66" i="37"/>
  <c r="AN64" i="37" l="1"/>
  <c r="AL72" i="37"/>
  <c r="AL73" i="37"/>
  <c r="AL67" i="37"/>
  <c r="AL66" i="37"/>
  <c r="AM67" i="37" l="1"/>
  <c r="AM66" i="37"/>
  <c r="AM73" i="37"/>
  <c r="AM72" i="37"/>
  <c r="AO64" i="37"/>
  <c r="AP64" i="37" l="1"/>
  <c r="AN67" i="37"/>
  <c r="AN66" i="37"/>
  <c r="AN72" i="37"/>
  <c r="AN73" i="37"/>
  <c r="AO72" i="37" l="1"/>
  <c r="AO73" i="37"/>
  <c r="AO67" i="37"/>
  <c r="AO66" i="37"/>
  <c r="AP67" i="37" l="1"/>
  <c r="AP66" i="37"/>
  <c r="AP72" i="37"/>
  <c r="AP73" i="37"/>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sharedStrings.xml><?xml version="1.0" encoding="utf-8"?>
<sst xmlns="http://schemas.openxmlformats.org/spreadsheetml/2006/main" count="3836" uniqueCount="1786">
  <si>
    <t>GWh</t>
  </si>
  <si>
    <t>Entity</t>
  </si>
  <si>
    <t>CEC</t>
  </si>
  <si>
    <t>Program Type</t>
  </si>
  <si>
    <t>MM Therms</t>
  </si>
  <si>
    <t>Alameda</t>
  </si>
  <si>
    <t>Riverside</t>
  </si>
  <si>
    <t>Fed/CEC</t>
  </si>
  <si>
    <t>Type</t>
  </si>
  <si>
    <t>Year</t>
  </si>
  <si>
    <t>State Financing</t>
  </si>
  <si>
    <t>ECAA</t>
  </si>
  <si>
    <t>Energy Asset Rating</t>
  </si>
  <si>
    <t>Codes &amp; Standards</t>
  </si>
  <si>
    <t>Title 24</t>
  </si>
  <si>
    <t>Title 20</t>
  </si>
  <si>
    <t>Air Quality Districts</t>
  </si>
  <si>
    <t>AB 802</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</si>
  <si>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</si>
  <si>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</si>
  <si>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</si>
  <si>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</si>
  <si>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</si>
  <si>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</si>
  <si>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</si>
  <si>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</si>
  <si>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</si>
  <si>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</si>
  <si>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</si>
  <si>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</si>
  <si>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</si>
  <si>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</si>
  <si>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</si>
  <si>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</si>
  <si>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</si>
  <si>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HISTORICAL ENERGY SAVINGS DATA FROM MARCH 1, 2000 TO MARCH 31, 2017</t>
  </si>
  <si>
    <t>Summary:</t>
  </si>
  <si>
    <t>Total Number of Approved Loans:</t>
  </si>
  <si>
    <t>Total Approved Loan Amount:</t>
  </si>
  <si>
    <t xml:space="preserve">Total Annual Energy Cost Savings: </t>
  </si>
  <si>
    <t>Total Annual Electric Savings (kWh):</t>
  </si>
  <si>
    <t>Total Annual Demand Savings (kW):</t>
  </si>
  <si>
    <t>Total Annual CO2 reductions (tons):</t>
  </si>
  <si>
    <t>Business Meeting Approval Date</t>
  </si>
  <si>
    <t>Agreement No.</t>
  </si>
  <si>
    <t>Recipient</t>
  </si>
  <si>
    <t>Annual Energy Cost Savings</t>
  </si>
  <si>
    <t>Approved Loan Amount</t>
  </si>
  <si>
    <t>Annual Electric Savings (kWh)</t>
  </si>
  <si>
    <t>Annual Demand Savings (kW)</t>
  </si>
  <si>
    <t>Annual Gas Savings (therms)</t>
  </si>
  <si>
    <t>03/01/2000</t>
  </si>
  <si>
    <t>804-000-ECA</t>
  </si>
  <si>
    <t>Chaminade College Preparatory</t>
  </si>
  <si>
    <t>03/08/2000</t>
  </si>
  <si>
    <t>802-001-ECA</t>
  </si>
  <si>
    <t>Stockton Unified School District</t>
  </si>
  <si>
    <t>802-000-ECA</t>
  </si>
  <si>
    <t>04/26/2000</t>
  </si>
  <si>
    <t>605-001-EPP</t>
  </si>
  <si>
    <t>City of Fontana</t>
  </si>
  <si>
    <t>097-011-SMS</t>
  </si>
  <si>
    <t>Clovis Unified School District</t>
  </si>
  <si>
    <t>05/23/2000</t>
  </si>
  <si>
    <t>806-000-SMS</t>
  </si>
  <si>
    <t>St. John/Baptist Catholic School</t>
  </si>
  <si>
    <t>09/06/2000</t>
  </si>
  <si>
    <t>379-003-ECA</t>
  </si>
  <si>
    <t>City of South Gate</t>
  </si>
  <si>
    <t>09/20/2000</t>
  </si>
  <si>
    <t>809-001-ECA</t>
  </si>
  <si>
    <t>City of Redding</t>
  </si>
  <si>
    <t>809-000-ECA</t>
  </si>
  <si>
    <t>12/06/2000</t>
  </si>
  <si>
    <t>120-001-ECA</t>
  </si>
  <si>
    <t>City of Escondido</t>
  </si>
  <si>
    <t>12/20/2000</t>
  </si>
  <si>
    <t>808-000-ECA</t>
  </si>
  <si>
    <t>City of Palm Springs</t>
  </si>
  <si>
    <t>01/02/2001</t>
  </si>
  <si>
    <t>811-000-ECA</t>
  </si>
  <si>
    <t>City of Sebastopol</t>
  </si>
  <si>
    <t>01/08/2001</t>
  </si>
  <si>
    <t>058-003-ECA</t>
  </si>
  <si>
    <t>City of Pasadena</t>
  </si>
  <si>
    <t>01/10/2001</t>
  </si>
  <si>
    <t>610-001-EPP</t>
  </si>
  <si>
    <t>City of Oakland</t>
  </si>
  <si>
    <t>01/24/2001</t>
  </si>
  <si>
    <t>810-000-ECA</t>
  </si>
  <si>
    <t>County of Alameda</t>
  </si>
  <si>
    <t>05/17/2001</t>
  </si>
  <si>
    <t>813-000-ECX</t>
  </si>
  <si>
    <t>City of San Juan Capistrano</t>
  </si>
  <si>
    <t>05/21/2001</t>
  </si>
  <si>
    <t>814-000-ECX</t>
  </si>
  <si>
    <t>City of El Centro</t>
  </si>
  <si>
    <t>05/31/2001</t>
  </si>
  <si>
    <t>097-012-ECX</t>
  </si>
  <si>
    <t>06/01/2001</t>
  </si>
  <si>
    <t>841-000-ECX</t>
  </si>
  <si>
    <t>City of Bellflower</t>
  </si>
  <si>
    <t>816-000-ECX</t>
  </si>
  <si>
    <t>County of Mendocino</t>
  </si>
  <si>
    <t>06/04/2001</t>
  </si>
  <si>
    <t>817-001-ECX</t>
  </si>
  <si>
    <t>City and County of San Francisco</t>
  </si>
  <si>
    <t>817-000-ECX</t>
  </si>
  <si>
    <t>815-000-ECX</t>
  </si>
  <si>
    <t>City of San Carlos</t>
  </si>
  <si>
    <t>06/11/2001</t>
  </si>
  <si>
    <t>818-000-ECX</t>
  </si>
  <si>
    <t>Del Mar Union School District</t>
  </si>
  <si>
    <t>06/13/2001</t>
  </si>
  <si>
    <t>819-000-ECX</t>
  </si>
  <si>
    <t>City of Belmont</t>
  </si>
  <si>
    <t>06/19/2001</t>
  </si>
  <si>
    <t>821-000-ECX</t>
  </si>
  <si>
    <t>546-001-ECX</t>
  </si>
  <si>
    <t>Town of San Anselmo</t>
  </si>
  <si>
    <t>06/20/2001</t>
  </si>
  <si>
    <t>820-000-ECX</t>
  </si>
  <si>
    <t>Capistrano Unified School District</t>
  </si>
  <si>
    <t>824-000-ECX</t>
  </si>
  <si>
    <t>County of Solano</t>
  </si>
  <si>
    <t>06/22/2001</t>
  </si>
  <si>
    <t>823-000-ECX</t>
  </si>
  <si>
    <t>City of San Buenaventura</t>
  </si>
  <si>
    <t>822-000-ECX</t>
  </si>
  <si>
    <t>City of Westlake Village</t>
  </si>
  <si>
    <t>06/26/2001</t>
  </si>
  <si>
    <t>825-000-ECX</t>
  </si>
  <si>
    <t>Fuller Theological Seminary</t>
  </si>
  <si>
    <t>06/27/2001</t>
  </si>
  <si>
    <t>828-000-ECX</t>
  </si>
  <si>
    <t>City of Manteca</t>
  </si>
  <si>
    <t>828-001-ECX</t>
  </si>
  <si>
    <t>06/28/2001</t>
  </si>
  <si>
    <t>826-000-ECX</t>
  </si>
  <si>
    <t>City of Auburn</t>
  </si>
  <si>
    <t>06/29/2001</t>
  </si>
  <si>
    <t>831-000-ECX</t>
  </si>
  <si>
    <t>Apple Valley Unified School District</t>
  </si>
  <si>
    <t>830-000-ECX</t>
  </si>
  <si>
    <t>Dameron Hospital</t>
  </si>
  <si>
    <t>829-000-ECX</t>
  </si>
  <si>
    <t>Mt. San Antonio College</t>
  </si>
  <si>
    <t>829-001-ECX</t>
  </si>
  <si>
    <t>07/01/2001</t>
  </si>
  <si>
    <t>820-001-ECX</t>
  </si>
  <si>
    <t>07/06/2001</t>
  </si>
  <si>
    <t>101-001-ECX</t>
  </si>
  <si>
    <t>City of Santa Rosa</t>
  </si>
  <si>
    <t>832-000-ECX</t>
  </si>
  <si>
    <t>Sierra View District Hospital</t>
  </si>
  <si>
    <t>07/10/2001</t>
  </si>
  <si>
    <t>833-000-ECX</t>
  </si>
  <si>
    <t>County of Merced</t>
  </si>
  <si>
    <t>07/16/2001</t>
  </si>
  <si>
    <t>836-001-ECX</t>
  </si>
  <si>
    <t>Antelope Valley Community College District</t>
  </si>
  <si>
    <t>836-000-ECX</t>
  </si>
  <si>
    <t>836-002-ECX</t>
  </si>
  <si>
    <t>839-000-ECX</t>
  </si>
  <si>
    <t>Los Angeles Community College District</t>
  </si>
  <si>
    <t>07/17/2001</t>
  </si>
  <si>
    <t>837-000-ECX</t>
  </si>
  <si>
    <t>Middletown Unified School District</t>
  </si>
  <si>
    <t>835-001-ECX</t>
  </si>
  <si>
    <t>Sierra Joint Community College District</t>
  </si>
  <si>
    <t>835-000-ECX</t>
  </si>
  <si>
    <t>07/18/2001</t>
  </si>
  <si>
    <t>610-002-ECX</t>
  </si>
  <si>
    <t>08/02/2001</t>
  </si>
  <si>
    <t>099-001-ECX</t>
  </si>
  <si>
    <t>City of Redlands</t>
  </si>
  <si>
    <t>838-000-ECX</t>
  </si>
  <si>
    <t>City of Sausalito</t>
  </si>
  <si>
    <t>840-000-ECX</t>
  </si>
  <si>
    <t>Southwestern Community College District</t>
  </si>
  <si>
    <t>08/09/2001</t>
  </si>
  <si>
    <t>173-003-ECX</t>
  </si>
  <si>
    <t>City of Modesto</t>
  </si>
  <si>
    <t>477-002-ECX</t>
  </si>
  <si>
    <t>County of Contra Costa</t>
  </si>
  <si>
    <t>477-001-ECX</t>
  </si>
  <si>
    <t>08/10/2001</t>
  </si>
  <si>
    <t>262-001-ECX</t>
  </si>
  <si>
    <t>Kerman Unified School District</t>
  </si>
  <si>
    <t>08/15/2001</t>
  </si>
  <si>
    <t>844-000-ECX</t>
  </si>
  <si>
    <t>Torrance Unified School District</t>
  </si>
  <si>
    <t>08/16/2001</t>
  </si>
  <si>
    <t>842-000-ECX</t>
  </si>
  <si>
    <t>County of Orange</t>
  </si>
  <si>
    <t>842-001-ECX</t>
  </si>
  <si>
    <t>847-000-ECX</t>
  </si>
  <si>
    <t>O'Connor Hospital</t>
  </si>
  <si>
    <t>08/17/2001</t>
  </si>
  <si>
    <t>843-000-ECX</t>
  </si>
  <si>
    <t>City of Fresno Water Division</t>
  </si>
  <si>
    <t>08/23/2001</t>
  </si>
  <si>
    <t>845-000-ECX</t>
  </si>
  <si>
    <t>Latrobe School District</t>
  </si>
  <si>
    <t>09/18/2001</t>
  </si>
  <si>
    <t>846-000-ECX</t>
  </si>
  <si>
    <t>City of Fairfield</t>
  </si>
  <si>
    <t>09/25/2001</t>
  </si>
  <si>
    <t>852-000-ECX</t>
  </si>
  <si>
    <t>County of Riverside</t>
  </si>
  <si>
    <t>09/26/2001</t>
  </si>
  <si>
    <t>853-000-ECX</t>
  </si>
  <si>
    <t>City of Culver City</t>
  </si>
  <si>
    <t>855-000-ECX</t>
  </si>
  <si>
    <t>City of Indio</t>
  </si>
  <si>
    <t>854-000-ECX</t>
  </si>
  <si>
    <t>City of Napa</t>
  </si>
  <si>
    <t>10/11/2001</t>
  </si>
  <si>
    <t>857-000-ECX</t>
  </si>
  <si>
    <t>Rio Linda Union School District</t>
  </si>
  <si>
    <t>10/22/2001</t>
  </si>
  <si>
    <t>859-000-ECX</t>
  </si>
  <si>
    <t>Barstow Unified School District</t>
  </si>
  <si>
    <t>856-000-ECX</t>
  </si>
  <si>
    <t>State Center Community College District</t>
  </si>
  <si>
    <t>10/24/2001</t>
  </si>
  <si>
    <t>865-000-ECX</t>
  </si>
  <si>
    <t>Piner-Olivet Union School District</t>
  </si>
  <si>
    <t>10/29/2001</t>
  </si>
  <si>
    <t>099-002-ECX</t>
  </si>
  <si>
    <t>12/05/2001</t>
  </si>
  <si>
    <t>810-001-ECX</t>
  </si>
  <si>
    <t>12/10/2001</t>
  </si>
  <si>
    <t>861-000-ECX</t>
  </si>
  <si>
    <t>Sutter Extension Water District</t>
  </si>
  <si>
    <t>12/19/2001</t>
  </si>
  <si>
    <t>862-001-ECA</t>
  </si>
  <si>
    <t>County of Humboldt</t>
  </si>
  <si>
    <t>862-000-ECA</t>
  </si>
  <si>
    <t>863-000-ECA</t>
  </si>
  <si>
    <t>East Bay Municipal Utility District</t>
  </si>
  <si>
    <t>864-001-ECA</t>
  </si>
  <si>
    <t>St. Joseph Health System</t>
  </si>
  <si>
    <t>864-000-ECA</t>
  </si>
  <si>
    <t>01/08/2002</t>
  </si>
  <si>
    <t>866-000-ECA</t>
  </si>
  <si>
    <t>Cutten Elementary School District</t>
  </si>
  <si>
    <t>01/09/2002</t>
  </si>
  <si>
    <t>867-000-EPP</t>
  </si>
  <si>
    <t>City of Gardena</t>
  </si>
  <si>
    <t>02/06/2002</t>
  </si>
  <si>
    <t>824-001-EPP</t>
  </si>
  <si>
    <t>County of Sonoma</t>
  </si>
  <si>
    <t>02/27/2002</t>
  </si>
  <si>
    <t>871-000-EPP</t>
  </si>
  <si>
    <t>City of Carson</t>
  </si>
  <si>
    <t>870-000-ECX</t>
  </si>
  <si>
    <t>Loyola Marymount University</t>
  </si>
  <si>
    <t>03/20/2002</t>
  </si>
  <si>
    <t>874-000-SMS</t>
  </si>
  <si>
    <t>Northern Humboldt Unified High School District</t>
  </si>
  <si>
    <t>873-000-ECX</t>
  </si>
  <si>
    <t>Washington Township Hospital</t>
  </si>
  <si>
    <t>04/17/2002</t>
  </si>
  <si>
    <t>184-001-EPP</t>
  </si>
  <si>
    <t>City of Garden Grove</t>
  </si>
  <si>
    <t>06/12/2002</t>
  </si>
  <si>
    <t>876-000-SMS</t>
  </si>
  <si>
    <t>Antelope Valley Union High School District</t>
  </si>
  <si>
    <t>650-002-ECA</t>
  </si>
  <si>
    <t>Chabot Las Positas Community College District</t>
  </si>
  <si>
    <t>06/26/2002</t>
  </si>
  <si>
    <t>021-001-ECA</t>
  </si>
  <si>
    <t>College of The Canyons</t>
  </si>
  <si>
    <t>877-000-SMS</t>
  </si>
  <si>
    <t>Willits Unified School District</t>
  </si>
  <si>
    <t>07/17/2002</t>
  </si>
  <si>
    <t>003-02-EPP</t>
  </si>
  <si>
    <t>County of El Dorado</t>
  </si>
  <si>
    <t>08/14/2002</t>
  </si>
  <si>
    <t>001-02-EPP</t>
  </si>
  <si>
    <t>001-02-ECA</t>
  </si>
  <si>
    <t>County of San Diego</t>
  </si>
  <si>
    <t>001-02-SMS</t>
  </si>
  <si>
    <t>Monterey Peninsula Unified School District</t>
  </si>
  <si>
    <t>08/28/2002</t>
  </si>
  <si>
    <t>006-02-ECA</t>
  </si>
  <si>
    <t>002-02-SMS</t>
  </si>
  <si>
    <t>Sanger Unified School District</t>
  </si>
  <si>
    <t>09/25/2002</t>
  </si>
  <si>
    <t>002-02-EPP</t>
  </si>
  <si>
    <t>City of Ione</t>
  </si>
  <si>
    <t>002-02-ECA</t>
  </si>
  <si>
    <t>Los Angeles Pierce College</t>
  </si>
  <si>
    <t>11/06/2002</t>
  </si>
  <si>
    <t>005-02-ECA</t>
  </si>
  <si>
    <t>United Cerebral Palsy Association, Inc.</t>
  </si>
  <si>
    <t>12/11/2002</t>
  </si>
  <si>
    <t>007-02-ECA</t>
  </si>
  <si>
    <t>Murrieta Valley Unified School District</t>
  </si>
  <si>
    <t>02/19/2003</t>
  </si>
  <si>
    <t>008-02-ECB</t>
  </si>
  <si>
    <t>California Department of Mental Health</t>
  </si>
  <si>
    <t>04/16/2003</t>
  </si>
  <si>
    <t>010-02-ECB</t>
  </si>
  <si>
    <t>County of Marin</t>
  </si>
  <si>
    <t>05/20/2003</t>
  </si>
  <si>
    <t>003-02-ECB</t>
  </si>
  <si>
    <t>07/09/2003</t>
  </si>
  <si>
    <t>001-03-ECB</t>
  </si>
  <si>
    <t>07/23/2003</t>
  </si>
  <si>
    <t>003-03-ECB</t>
  </si>
  <si>
    <t>Chabot-Las Positas Community College District</t>
  </si>
  <si>
    <t>09/03/2003</t>
  </si>
  <si>
    <t>005-03-ECB</t>
  </si>
  <si>
    <t>008-03-ECB</t>
  </si>
  <si>
    <t>006-03-ECA</t>
  </si>
  <si>
    <t>Claremont Graduate University</t>
  </si>
  <si>
    <t>10/08/2003</t>
  </si>
  <si>
    <t>010-03-ECB</t>
  </si>
  <si>
    <t>021-03-ECA</t>
  </si>
  <si>
    <t>Gateway Hospital and Mental Health Center</t>
  </si>
  <si>
    <t>013-03-ECB</t>
  </si>
  <si>
    <t>Irvine Valley College</t>
  </si>
  <si>
    <t>009-03-ECB</t>
  </si>
  <si>
    <t>Mojave Desert Air Quality Management District</t>
  </si>
  <si>
    <t>10/22/2003</t>
  </si>
  <si>
    <t>012-03-ECB</t>
  </si>
  <si>
    <t>El Monte City School District</t>
  </si>
  <si>
    <t>11/19/2003</t>
  </si>
  <si>
    <t>015-03-ECB</t>
  </si>
  <si>
    <t>City of Compton</t>
  </si>
  <si>
    <t>014-03-ECB</t>
  </si>
  <si>
    <t>12/03/2003</t>
  </si>
  <si>
    <t>017-03-ECB</t>
  </si>
  <si>
    <t>Los Angeles Unified School District</t>
  </si>
  <si>
    <t>12/17/2003</t>
  </si>
  <si>
    <t>019-03-ECB</t>
  </si>
  <si>
    <t>County of Butte</t>
  </si>
  <si>
    <t>018-03-ECA</t>
  </si>
  <si>
    <t>01/14/2004</t>
  </si>
  <si>
    <t>020-03-ECB</t>
  </si>
  <si>
    <t>City of Arcata</t>
  </si>
  <si>
    <t>022-03-ECB</t>
  </si>
  <si>
    <t>City of La Habra</t>
  </si>
  <si>
    <t>023-03-ECB</t>
  </si>
  <si>
    <t>City of San Diego</t>
  </si>
  <si>
    <t>02/18/2004</t>
  </si>
  <si>
    <t>024-03-ECB</t>
  </si>
  <si>
    <t>Town of Los Altos Hills</t>
  </si>
  <si>
    <t>03/03/2004</t>
  </si>
  <si>
    <t>025-03-ECB</t>
  </si>
  <si>
    <t>City of Woodland</t>
  </si>
  <si>
    <t>001-03-EPP</t>
  </si>
  <si>
    <t>County of Merced Association of Governments</t>
  </si>
  <si>
    <t>03/17/2004</t>
  </si>
  <si>
    <t>027-03-ECB</t>
  </si>
  <si>
    <t>City of Fresno</t>
  </si>
  <si>
    <t>026-03-ECB</t>
  </si>
  <si>
    <t>County of Napa</t>
  </si>
  <si>
    <t>04/08/2004</t>
  </si>
  <si>
    <t>002-03-EPP</t>
  </si>
  <si>
    <t>05/19/2004</t>
  </si>
  <si>
    <t>034-03-ECB</t>
  </si>
  <si>
    <t>030-03-ECB</t>
  </si>
  <si>
    <t>06/16/2004</t>
  </si>
  <si>
    <t>033-03-ECB</t>
  </si>
  <si>
    <t>032-03-ECB</t>
  </si>
  <si>
    <t>Paradise Unified School District</t>
  </si>
  <si>
    <t>06/30/2004</t>
  </si>
  <si>
    <t>039-03-ECB</t>
  </si>
  <si>
    <t>City of Placerville</t>
  </si>
  <si>
    <t>035-03-ECB</t>
  </si>
  <si>
    <t>036-03-ECB</t>
  </si>
  <si>
    <t>Red Bluff Joint Union High School District</t>
  </si>
  <si>
    <t>07/14/2004</t>
  </si>
  <si>
    <t>002-04-ECB</t>
  </si>
  <si>
    <t>004-04-ECA</t>
  </si>
  <si>
    <t>Ross Valley Unified School District</t>
  </si>
  <si>
    <t>09/01/2004</t>
  </si>
  <si>
    <t>001-04-ECB</t>
  </si>
  <si>
    <t>City of Turlock</t>
  </si>
  <si>
    <t>09/22/2004</t>
  </si>
  <si>
    <t>005-04-ECC</t>
  </si>
  <si>
    <t>12/01/2004</t>
  </si>
  <si>
    <t>006-04-ECC</t>
  </si>
  <si>
    <t>Town of Yucca Valley</t>
  </si>
  <si>
    <t>03/30/2005</t>
  </si>
  <si>
    <t>008-04-ECC</t>
  </si>
  <si>
    <t>05/11/2005</t>
  </si>
  <si>
    <t>009-04-ECC</t>
  </si>
  <si>
    <t>06/08/2005</t>
  </si>
  <si>
    <t>010-04-ECC</t>
  </si>
  <si>
    <t>Brittan School District</t>
  </si>
  <si>
    <t>011-04-ECC</t>
  </si>
  <si>
    <t>Colfax Elementary School District</t>
  </si>
  <si>
    <t>09/21/2005</t>
  </si>
  <si>
    <t>002-05-ECC</t>
  </si>
  <si>
    <t>11/03/2005</t>
  </si>
  <si>
    <t>003-05-ECB</t>
  </si>
  <si>
    <t>City of Victorville</t>
  </si>
  <si>
    <t>11/16/2005</t>
  </si>
  <si>
    <t>005-05-ECC</t>
  </si>
  <si>
    <t>Anderson Union High School District</t>
  </si>
  <si>
    <t>004-05-ECB</t>
  </si>
  <si>
    <t>02/15/2006</t>
  </si>
  <si>
    <t>006-05-ECC</t>
  </si>
  <si>
    <t>City of Capitola</t>
  </si>
  <si>
    <t>008-05-ECC</t>
  </si>
  <si>
    <t>03/01/2006</t>
  </si>
  <si>
    <t>007-05-ECC</t>
  </si>
  <si>
    <t>03/29/2006</t>
  </si>
  <si>
    <t>009-05-ECC</t>
  </si>
  <si>
    <t>City of Los Angeles</t>
  </si>
  <si>
    <t>010-05-ECC</t>
  </si>
  <si>
    <t>Evergreen Union School District</t>
  </si>
  <si>
    <t>07/05/2006</t>
  </si>
  <si>
    <t>001-06-ECB</t>
  </si>
  <si>
    <t>Scotts Valley Unified School District</t>
  </si>
  <si>
    <t>08/02/2006</t>
  </si>
  <si>
    <t>003-06-ECC</t>
  </si>
  <si>
    <t>City of West Covina</t>
  </si>
  <si>
    <t>08/30/2006</t>
  </si>
  <si>
    <t>006-06-ECB</t>
  </si>
  <si>
    <t>004-06-ECC</t>
  </si>
  <si>
    <t>09/27/2006</t>
  </si>
  <si>
    <t>007-06-ECC</t>
  </si>
  <si>
    <t>01/17/2007</t>
  </si>
  <si>
    <t>010-06-ECC</t>
  </si>
  <si>
    <t>02/14/2007</t>
  </si>
  <si>
    <t>011-06-ECB</t>
  </si>
  <si>
    <t>06/06/2007</t>
  </si>
  <si>
    <t>012-06-ECC</t>
  </si>
  <si>
    <t>Santa Barbara City College</t>
  </si>
  <si>
    <t>09/12/2007</t>
  </si>
  <si>
    <t>003-07-ECC</t>
  </si>
  <si>
    <t>San Elijo Joint Power Authority</t>
  </si>
  <si>
    <t>10/10/2007</t>
  </si>
  <si>
    <t>004-07-ECB</t>
  </si>
  <si>
    <t>11/07/2007</t>
  </si>
  <si>
    <t>005-07-ECC</t>
  </si>
  <si>
    <t>County of Alameda, Santa Rita Jail</t>
  </si>
  <si>
    <t>12/05/2007</t>
  </si>
  <si>
    <t>006-07-ECC</t>
  </si>
  <si>
    <t>County of Alameda GSA/TSD</t>
  </si>
  <si>
    <t>12/06/2007</t>
  </si>
  <si>
    <t>007-07-ECC</t>
  </si>
  <si>
    <t>02/27/2008</t>
  </si>
  <si>
    <t>008-07-ECC</t>
  </si>
  <si>
    <t>City of Chula Vista</t>
  </si>
  <si>
    <t>009-07-ECC</t>
  </si>
  <si>
    <t>City of Lynwood</t>
  </si>
  <si>
    <t>04/23/2008</t>
  </si>
  <si>
    <t>011-07-ECC</t>
  </si>
  <si>
    <t>Shasta-Tehama-Trinity Joint Community College District</t>
  </si>
  <si>
    <t>06/18/2008</t>
  </si>
  <si>
    <t>013-07-ECC</t>
  </si>
  <si>
    <t>Pasadena Center Operating Company</t>
  </si>
  <si>
    <t>07/23/2008</t>
  </si>
  <si>
    <t>001-08-ECB</t>
  </si>
  <si>
    <t>Santa Maria-Bonita School District</t>
  </si>
  <si>
    <t>10/22/2008</t>
  </si>
  <si>
    <t>001-08-ECD</t>
  </si>
  <si>
    <t>Benicia Unified School District</t>
  </si>
  <si>
    <t>001-08-ECC</t>
  </si>
  <si>
    <t>City of Monterey</t>
  </si>
  <si>
    <t>11/05/2008</t>
  </si>
  <si>
    <t>002-08-ECD</t>
  </si>
  <si>
    <t>01/28/2009</t>
  </si>
  <si>
    <t>003-08-ECD</t>
  </si>
  <si>
    <t>Loomis Union School District</t>
  </si>
  <si>
    <t>08/26/2009</t>
  </si>
  <si>
    <t>001-09-ECC</t>
  </si>
  <si>
    <t>California Department of Corrections and Rehabilitation</t>
  </si>
  <si>
    <t>002-09-ECD</t>
  </si>
  <si>
    <t>09/09/2009</t>
  </si>
  <si>
    <t>001-09-ECE-ARRA</t>
  </si>
  <si>
    <t>004-09-ECE-ARRA</t>
  </si>
  <si>
    <t>City of Carlsbad</t>
  </si>
  <si>
    <t>09/16/2009</t>
  </si>
  <si>
    <t>002-09-ECE-ARRA</t>
  </si>
  <si>
    <t>Town of Hillsborough</t>
  </si>
  <si>
    <t>12/02/2009</t>
  </si>
  <si>
    <t>005-09-ECE-ARRA</t>
  </si>
  <si>
    <t>City of Clovis</t>
  </si>
  <si>
    <t>01/13/2010</t>
  </si>
  <si>
    <t>003-09-ECD</t>
  </si>
  <si>
    <t>006-09-ECE-ARRA</t>
  </si>
  <si>
    <t>001-09-ECD</t>
  </si>
  <si>
    <t>010-09-ECE-ARRA</t>
  </si>
  <si>
    <t>City of Grover Beach</t>
  </si>
  <si>
    <t>009-09-ECE-ARRA</t>
  </si>
  <si>
    <t>City of Rancho Mirage</t>
  </si>
  <si>
    <t>004-09-ECD</t>
  </si>
  <si>
    <t>County of Yolo</t>
  </si>
  <si>
    <t>01/27/2010</t>
  </si>
  <si>
    <t>011-09-ECE-ARRA</t>
  </si>
  <si>
    <t>City of Ventura</t>
  </si>
  <si>
    <t>008-09-ECE-ARRA</t>
  </si>
  <si>
    <t>012-09-ECE-ARRA</t>
  </si>
  <si>
    <t>City of Dinuba</t>
  </si>
  <si>
    <t>015-09-ECE-ARRA</t>
  </si>
  <si>
    <t>007-09-ECD</t>
  </si>
  <si>
    <t>017-09-ECE-ARRA</t>
  </si>
  <si>
    <t>006-09-ECD</t>
  </si>
  <si>
    <t>County of Nevada</t>
  </si>
  <si>
    <t>005-09-ECD</t>
  </si>
  <si>
    <t>County of Sacramento</t>
  </si>
  <si>
    <t>009-09-ECD</t>
  </si>
  <si>
    <t>02/17/2010</t>
  </si>
  <si>
    <t>021-09-ECE-ARRA</t>
  </si>
  <si>
    <t>City of Albany</t>
  </si>
  <si>
    <t>020-09-ECE-ARRA</t>
  </si>
  <si>
    <t>Sonoma Valley Health Care District</t>
  </si>
  <si>
    <t>03/03/2010</t>
  </si>
  <si>
    <t>022-09-ECE-ARRA</t>
  </si>
  <si>
    <t>Butte Glenn Community College District</t>
  </si>
  <si>
    <t>008-09-ECD</t>
  </si>
  <si>
    <t>City of South Lake Tahoe</t>
  </si>
  <si>
    <t>023-09-ECE-ARRA</t>
  </si>
  <si>
    <t>City of Seaside</t>
  </si>
  <si>
    <t>03/24/2010</t>
  </si>
  <si>
    <t>024-09-ECE-ARRA</t>
  </si>
  <si>
    <t>City of Brisbane</t>
  </si>
  <si>
    <t>027-09-ECE-ARRA</t>
  </si>
  <si>
    <t>City of Hollister</t>
  </si>
  <si>
    <t>025-09-ECE-ARRA</t>
  </si>
  <si>
    <t>County of San Benito</t>
  </si>
  <si>
    <t>003-09-ECA</t>
  </si>
  <si>
    <t>002-09-ECC</t>
  </si>
  <si>
    <t>Kern Community College District</t>
  </si>
  <si>
    <t>013-09-ECE-ARRA</t>
  </si>
  <si>
    <t>McKinleyville Community Services District</t>
  </si>
  <si>
    <t>005-09-ECA</t>
  </si>
  <si>
    <t>Town of Mammoth Lakes</t>
  </si>
  <si>
    <t>008-09-ECA-ARRA</t>
  </si>
  <si>
    <t>Marin County Dept of Public Works</t>
  </si>
  <si>
    <t>007-09-ECA</t>
  </si>
  <si>
    <t>Town of Moraga</t>
  </si>
  <si>
    <t>004-09-ECA</t>
  </si>
  <si>
    <t>City of Hayward</t>
  </si>
  <si>
    <t>006-09-ECA</t>
  </si>
  <si>
    <t>County of Shasta</t>
  </si>
  <si>
    <t>010-09-ECA</t>
  </si>
  <si>
    <t>Town of Yountville</t>
  </si>
  <si>
    <t>011-09-ECA</t>
  </si>
  <si>
    <t>City of Watsonville</t>
  </si>
  <si>
    <t>001-10-ECE-ARRA</t>
  </si>
  <si>
    <t>County of Del Norte</t>
  </si>
  <si>
    <t>006-10-ECD</t>
  </si>
  <si>
    <t>City of Lancaster</t>
  </si>
  <si>
    <t>006-10-ECE-ARRA</t>
  </si>
  <si>
    <t>003-10-ECE-ARRA</t>
  </si>
  <si>
    <t>City of Duarte</t>
  </si>
  <si>
    <t>007-10-ECE-ARRA</t>
  </si>
  <si>
    <t>001-10-ECD</t>
  </si>
  <si>
    <t>City of Richmond</t>
  </si>
  <si>
    <t>002-10-ECE-ARRA</t>
  </si>
  <si>
    <t>City of Arroyo Grande</t>
  </si>
  <si>
    <t>001-10-ECC</t>
  </si>
  <si>
    <t>002-10-ECC</t>
  </si>
  <si>
    <t>San Francisco Public Utilities Commission</t>
  </si>
  <si>
    <t>008-10-ECE-ARRA</t>
  </si>
  <si>
    <t xml:space="preserve">008-10-ECD </t>
  </si>
  <si>
    <t>City of Pittsburg</t>
  </si>
  <si>
    <t xml:space="preserve">007-10-ECD </t>
  </si>
  <si>
    <t>001-10-ECA</t>
  </si>
  <si>
    <t>County of Santa Cruz</t>
  </si>
  <si>
    <t>009-10-ECE-ARRA</t>
  </si>
  <si>
    <t>City of Calimesa</t>
  </si>
  <si>
    <t>002-10-ECA</t>
  </si>
  <si>
    <t>001-11-ECA</t>
  </si>
  <si>
    <t>City of Yuba</t>
  </si>
  <si>
    <t>001-11-ECD</t>
  </si>
  <si>
    <t>002-11-ECE-ARRA</t>
  </si>
  <si>
    <t>County of Glenn</t>
  </si>
  <si>
    <t>003-11-ECE-ARRA</t>
  </si>
  <si>
    <t>City of Burlingame</t>
  </si>
  <si>
    <t>004-11-ECE-ARRA</t>
  </si>
  <si>
    <t>City of Ceres</t>
  </si>
  <si>
    <t>005-11-ECE-ARRA</t>
  </si>
  <si>
    <t>City of Kerman</t>
  </si>
  <si>
    <t>006-11-ECE-ARRA</t>
  </si>
  <si>
    <t>City of Salinas</t>
  </si>
  <si>
    <t>001-11-ECF</t>
  </si>
  <si>
    <t>Golden Valley Unified School District</t>
  </si>
  <si>
    <t>002-11-ECF</t>
  </si>
  <si>
    <t>Taft City School District</t>
  </si>
  <si>
    <t>003-11-ECF</t>
  </si>
  <si>
    <t>004-11-ECF</t>
  </si>
  <si>
    <t>001-12-ECF</t>
  </si>
  <si>
    <t>Scott Valley Unified School District</t>
  </si>
  <si>
    <t>002-12-ECF</t>
  </si>
  <si>
    <t>003-12-ECF</t>
  </si>
  <si>
    <t>County of Santa Clara</t>
  </si>
  <si>
    <t>009-12-ECF</t>
  </si>
  <si>
    <t>City of Santa Maria</t>
  </si>
  <si>
    <t>005-12-ECF</t>
  </si>
  <si>
    <t>004-12-ECF</t>
  </si>
  <si>
    <t>Monterey Peninsula USD</t>
  </si>
  <si>
    <t>007-12-ECF</t>
  </si>
  <si>
    <t>008-12-ECF</t>
  </si>
  <si>
    <t>City of San Luis Obispo</t>
  </si>
  <si>
    <t>006-12-ECF</t>
  </si>
  <si>
    <t>City of San Marcos</t>
  </si>
  <si>
    <t>011-12-ECF</t>
  </si>
  <si>
    <t>010-12-ECF</t>
  </si>
  <si>
    <t>City of Rancho Cordova</t>
  </si>
  <si>
    <t>001-12-ECD</t>
  </si>
  <si>
    <t>Yuba Community College District</t>
  </si>
  <si>
    <t>003-12-ECD</t>
  </si>
  <si>
    <t>City of Patterson</t>
  </si>
  <si>
    <t>004-12-ECD</t>
  </si>
  <si>
    <t>Santa Barbara Community College District</t>
  </si>
  <si>
    <t>005-12-ECD</t>
  </si>
  <si>
    <t>City of San Pablo</t>
  </si>
  <si>
    <t>006-12-ECD</t>
  </si>
  <si>
    <t>City of California City</t>
  </si>
  <si>
    <t>007-12-ECD</t>
  </si>
  <si>
    <t>County of Inyo</t>
  </si>
  <si>
    <t>008-12-ECD</t>
  </si>
  <si>
    <t>City of Visalia</t>
  </si>
  <si>
    <t>009-12-ECD</t>
  </si>
  <si>
    <t>Fairfield-Suisun Unified School District</t>
  </si>
  <si>
    <t>010-12-ECD</t>
  </si>
  <si>
    <t>Loma Prieta Joint Union School District</t>
  </si>
  <si>
    <t>011-12-ECD</t>
  </si>
  <si>
    <t>City of Pleasanton</t>
  </si>
  <si>
    <t>012-12-ECD</t>
  </si>
  <si>
    <t>Placer Hills Union School District</t>
  </si>
  <si>
    <t>013-12-ECD</t>
  </si>
  <si>
    <t>City of Fort Bragg</t>
  </si>
  <si>
    <t>014-12-ECD</t>
  </si>
  <si>
    <t>Winters Joint Unified Schoold District</t>
  </si>
  <si>
    <t>015-12-ECD</t>
  </si>
  <si>
    <t>Redwood City Unified School District</t>
  </si>
  <si>
    <t>002-13-ECD</t>
  </si>
  <si>
    <t>Delta Diablo Sanitation District</t>
  </si>
  <si>
    <t>003-13-ECD</t>
  </si>
  <si>
    <t>004-13-ECD</t>
  </si>
  <si>
    <t>City of Waterford</t>
  </si>
  <si>
    <t>001-13-ECA</t>
  </si>
  <si>
    <t>005-13-ECD</t>
  </si>
  <si>
    <t>City of Berkeley</t>
  </si>
  <si>
    <t>007-13-ECD</t>
  </si>
  <si>
    <t>City of Morgan Hill</t>
  </si>
  <si>
    <t>008-13-ECD</t>
  </si>
  <si>
    <t>009-13-ECD</t>
  </si>
  <si>
    <t>002-13-ECA</t>
  </si>
  <si>
    <t>North County Fire Protection District</t>
  </si>
  <si>
    <t>010-13-ECD</t>
  </si>
  <si>
    <t>City of Gilroy</t>
  </si>
  <si>
    <t>003-13-ECA</t>
  </si>
  <si>
    <t>California Polytechnic State University</t>
  </si>
  <si>
    <t>001-13-ECG</t>
  </si>
  <si>
    <t>011-13-ECD</t>
  </si>
  <si>
    <t>City of South El Monte</t>
  </si>
  <si>
    <t>001-14-ECG</t>
  </si>
  <si>
    <t>Pittsburg Unified School District</t>
  </si>
  <si>
    <t>001-14-ECD</t>
  </si>
  <si>
    <t>003-14-ECG</t>
  </si>
  <si>
    <t>Hartnell Community College District</t>
  </si>
  <si>
    <t>002-14-ECG</t>
  </si>
  <si>
    <t>Tulare City School District</t>
  </si>
  <si>
    <t>004-14-ECG</t>
  </si>
  <si>
    <t>005-14-ECG</t>
  </si>
  <si>
    <t>006-14-ECG</t>
  </si>
  <si>
    <t>Campbell Unified School District - Rosemary Elementary</t>
  </si>
  <si>
    <t>007-14-ECG</t>
  </si>
  <si>
    <t>Campbell Unified School District -  Rolling Hills Middle School</t>
  </si>
  <si>
    <t>008-14-ECG</t>
  </si>
  <si>
    <t>Campbell Unified School District -  Marshall Lane Elementary</t>
  </si>
  <si>
    <t>009-14-ECG</t>
  </si>
  <si>
    <t>Campbell Unified School District -  Lynhaven Elementary</t>
  </si>
  <si>
    <t>010-14-ECG</t>
  </si>
  <si>
    <t>Campbell Unified School District -  Forest Hill Elementary</t>
  </si>
  <si>
    <t>013-14-ECG</t>
  </si>
  <si>
    <t>Campbell Unified School District -  Castlemont Elementary</t>
  </si>
  <si>
    <t>014-14-ECG</t>
  </si>
  <si>
    <t>Campbell Unified School District -  Blackford Elementary</t>
  </si>
  <si>
    <t>015-14-ECG</t>
  </si>
  <si>
    <t>Campbell Unified School District -  Sherman Oaks Elementary</t>
  </si>
  <si>
    <t>016-14-ECG</t>
  </si>
  <si>
    <t>Campbell Unified School District -  Monroe Middle School</t>
  </si>
  <si>
    <t>017-14-ECG</t>
  </si>
  <si>
    <t>Campbell Unified School District -  Capri Elementary and Village School</t>
  </si>
  <si>
    <t>018-14-ECG</t>
  </si>
  <si>
    <t>Campbell Unified School District -  Campbell Middle School and Corportae Yard</t>
  </si>
  <si>
    <t>011-14-ECG</t>
  </si>
  <si>
    <t>Newport Mesa Unified School District</t>
  </si>
  <si>
    <t>019-14-ECG</t>
  </si>
  <si>
    <t>002-14-ECD</t>
  </si>
  <si>
    <t>City of San Mateo</t>
  </si>
  <si>
    <t>003-14-ECD</t>
  </si>
  <si>
    <t>City of Morro Bay</t>
  </si>
  <si>
    <t>021-14-ECG</t>
  </si>
  <si>
    <t>Sequoias Community College District</t>
  </si>
  <si>
    <t>004-14-ECD</t>
  </si>
  <si>
    <t>020-14-ECG</t>
  </si>
  <si>
    <t>Chico Unified School District</t>
  </si>
  <si>
    <t>023-14-ECG</t>
  </si>
  <si>
    <t>Sylvan Unified School District</t>
  </si>
  <si>
    <t>005-14-ECD</t>
  </si>
  <si>
    <t>City of Davis</t>
  </si>
  <si>
    <t>001-15-ECG</t>
  </si>
  <si>
    <t>Salida Union School District</t>
  </si>
  <si>
    <t>001-15-ECD</t>
  </si>
  <si>
    <t>002-15-ECD</t>
  </si>
  <si>
    <t>City of Santa Cruz</t>
  </si>
  <si>
    <t>002-15-ECG</t>
  </si>
  <si>
    <t>Montague Elementary School District</t>
  </si>
  <si>
    <t>003--15-ECG</t>
  </si>
  <si>
    <t>Durham Unified School District</t>
  </si>
  <si>
    <t>County of San Luis Obispo</t>
  </si>
  <si>
    <t>004-13-ECG</t>
  </si>
  <si>
    <t>Vista del Mar Union School District</t>
  </si>
  <si>
    <t>005-15-ECD</t>
  </si>
  <si>
    <t>Lamont Public Utility District</t>
  </si>
  <si>
    <t>005-15-ECG</t>
  </si>
  <si>
    <t>Oroville Union High School District</t>
  </si>
  <si>
    <t>007-15-ECD</t>
  </si>
  <si>
    <t>001-15-ECC</t>
  </si>
  <si>
    <t>City of Huntington Beach</t>
  </si>
  <si>
    <t>008-15-ECD</t>
  </si>
  <si>
    <t>Eastern Contra Costa Transit Authority</t>
  </si>
  <si>
    <t>006-15-ECG</t>
  </si>
  <si>
    <t>Soledad Unified School District</t>
  </si>
  <si>
    <t>007-15-ECG</t>
  </si>
  <si>
    <t>009-15-ECD</t>
  </si>
  <si>
    <t>City of Baldwin Park</t>
  </si>
  <si>
    <t>001-16-ECD</t>
  </si>
  <si>
    <t>001-16-ECG</t>
  </si>
  <si>
    <t>Woodlake Unified School District</t>
  </si>
  <si>
    <t>002-16-ECG</t>
  </si>
  <si>
    <t>Waterford Unified School District</t>
  </si>
  <si>
    <t>002-16-ECD</t>
  </si>
  <si>
    <t>North Net Training Authority</t>
  </si>
  <si>
    <t>SUBTOTAL</t>
  </si>
  <si>
    <t>Measure Category</t>
  </si>
  <si>
    <t>Smart Meter Data Analytics</t>
  </si>
  <si>
    <t>BRO's</t>
  </si>
  <si>
    <t>GGRF: Water-Energy Grant</t>
  </si>
  <si>
    <t>Proposition 39</t>
  </si>
  <si>
    <t>GGRF: Low Income Weather</t>
  </si>
  <si>
    <t>Project Manager</t>
  </si>
  <si>
    <t>Agreement Number</t>
  </si>
  <si>
    <t>Loan Recipient</t>
  </si>
  <si>
    <t>Commission Business Meeting Approval Date</t>
  </si>
  <si>
    <t>Loan Recipient's Address</t>
  </si>
  <si>
    <t>County</t>
  </si>
  <si>
    <t>Project Summary</t>
  </si>
  <si>
    <t>Amir Ehyai</t>
  </si>
  <si>
    <t>777 B Street, Hayward, CA 94541-5007</t>
  </si>
  <si>
    <t>Lighting systems upgrades and solar PV panel installation.</t>
  </si>
  <si>
    <t>Akasha Khalsa</t>
  </si>
  <si>
    <t>777 B Street, Hayward</t>
  </si>
  <si>
    <t>Install a 1,000 kilowatt solar photovoltaic project.</t>
  </si>
  <si>
    <t>Retrofit 7,599 streetlight fixtures to LED</t>
  </si>
  <si>
    <t>Adel Suleiman</t>
  </si>
  <si>
    <t>1401 Lakeside Dr., Ste 1115, Oakland, CA 94612</t>
  </si>
  <si>
    <t>Upgrade interior lighting systems at Santa Rita Jail in Dublin.</t>
  </si>
  <si>
    <t>1000 San Pablo Ave. Albany, CA 94706</t>
  </si>
  <si>
    <t>Replace 451 high pressure sodium vapor (HPSV) street lights with LED.</t>
  </si>
  <si>
    <t>399 Elmhurst Street Hayward, CA 94544</t>
  </si>
  <si>
    <t>Retrofit 7,500 street light fixtures from HPS to LED.</t>
  </si>
  <si>
    <t>Install 250 kW photovoltaic system at the Castro Valley Library.</t>
  </si>
  <si>
    <t>Shahid Chaudhry</t>
  </si>
  <si>
    <t>Retrofit 7,590 street, park, and pathway lights at City facilities.</t>
  </si>
  <si>
    <t>Cheng Moua</t>
  </si>
  <si>
    <t>Upgrade 7653 streetlights to LED.</t>
  </si>
  <si>
    <t>Install a 1,724 kW Solar PV</t>
  </si>
  <si>
    <t>3536 Butte Campus Drive, Oroville, CA 95965</t>
  </si>
  <si>
    <t>Butte</t>
  </si>
  <si>
    <t>Upgrade lighting systems, mechanical and HVAC systems.</t>
  </si>
  <si>
    <t>Install a Solar PV at 5 campuses</t>
  </si>
  <si>
    <t>003-15-ECG</t>
  </si>
  <si>
    <t>Install a total of 575.1 kW solar PV</t>
  </si>
  <si>
    <t xml:space="preserve">Install a 839 kW roof and parking structure mounted PV system. </t>
  </si>
  <si>
    <t>Karen Perrin</t>
  </si>
  <si>
    <t>4/6/2011 &amp; 02/08/12</t>
  </si>
  <si>
    <t>65 Civic Ave, Pittsburg</t>
  </si>
  <si>
    <t>Contra Costa</t>
  </si>
  <si>
    <t>Installation of LED street lighting to replace existing high pressure sodium and mercury vapor streetlights.</t>
  </si>
  <si>
    <t>450 Civic Center Plaza</t>
  </si>
  <si>
    <t>Upgrade high pressure sodium and mercury vapor streetlights with more efficient LED streetlights.</t>
  </si>
  <si>
    <t>Haile Bucaneg</t>
  </si>
  <si>
    <t>2100 Donald Dr., Moraga, CA 94556</t>
  </si>
  <si>
    <t>Upgrade HVAC, lighting controls, installation of LED lights and installation of photovoltaic system.</t>
  </si>
  <si>
    <t>Upgrade 2,542 HPS streetlights to LED.</t>
  </si>
  <si>
    <t>Joseph Wang</t>
  </si>
  <si>
    <t>Install 3 PV systems totaling 280 kWac at the City Hall, Police Station, and the Senior Center buildings.</t>
  </si>
  <si>
    <t>Install a fats, oils, and grease (FOG) receiving facility at the wastewater treatment plant.</t>
  </si>
  <si>
    <t>Install a 150 kW PV system, lighting retrofits for 9 schools and occupancy controls for HVAC systems at 3 schools.</t>
  </si>
  <si>
    <t>Install roof and parking structure mounted PV panels at their facilities.</t>
  </si>
  <si>
    <t>981 H Street, Suite 210 Crescent City, CA 95531</t>
  </si>
  <si>
    <t>Mechanical system upgrades at the County's Sheriff Office and Jail Facility in Crescent City.</t>
  </si>
  <si>
    <t>31901 Airport Road #210, South Lake Tahoe, CA 96150</t>
  </si>
  <si>
    <t>El Dorado</t>
  </si>
  <si>
    <t>Install 65 kW microturbine cogeneration system, new boilers and a premium efficiency motor with pump speed control, a new filtration system, and upgraded interior lights.</t>
  </si>
  <si>
    <t>1033 5th St. Clovis, CA 93612</t>
  </si>
  <si>
    <t>Fresno</t>
  </si>
  <si>
    <t>Install personal computer management software on 600 computers, upgrade interior and exterior lighting, and replace boilers and chillers.</t>
  </si>
  <si>
    <t>Install solar photovoltaic (PV) panels at Police Department, Fire Station #1 and Fire Station #5 with a total installed capacity of 385 kWac.</t>
  </si>
  <si>
    <t>Upgrade HPS streetlights to LED</t>
  </si>
  <si>
    <t>Upgrade 374 streetlights to LED.</t>
  </si>
  <si>
    <t>Jim Holland</t>
  </si>
  <si>
    <t>Install energy efficiency measures at three of the school district's facilties.</t>
  </si>
  <si>
    <t>777 North Colusa Street, Willows, CA 95988</t>
  </si>
  <si>
    <t>Glenn</t>
  </si>
  <si>
    <t>Install energy efficient packaged HVAC system and energy efficient interior lights.</t>
  </si>
  <si>
    <t>Cheng Muoa</t>
  </si>
  <si>
    <t>1656 Sutter Road, McKinleyville, CA 95519</t>
  </si>
  <si>
    <t>Humboldt</t>
  </si>
  <si>
    <t>Upgrade old pumps at Grant Ramey Pump Station.</t>
  </si>
  <si>
    <t>Inyo</t>
  </si>
  <si>
    <t>Install a total of 426 kW of PV systems at the Courthouse Annex, Adult Jail, and Juvenile Hall.</t>
  </si>
  <si>
    <t>Joji Castillo</t>
  </si>
  <si>
    <t>2100 Chester Ave, Bakersfield, CA 93301</t>
  </si>
  <si>
    <t>Kern</t>
  </si>
  <si>
    <t xml:space="preserve">Install 1 MW ground tracking photovoltaic system. </t>
  </si>
  <si>
    <t xml:space="preserve">Install 10 solar projects totalling 680 Kwac, upgrade interior and exterior lighting and controls and install vending machine misers.  </t>
  </si>
  <si>
    <t>Install new HVAC systems and retrofit energy efficient lights at the City Hall, Police Station, Fire Station, City Yard, Airport, and Animal Control buildings.</t>
  </si>
  <si>
    <t>Install a solar PV at Porterville College</t>
  </si>
  <si>
    <t>12/9/2015 &amp; 09/14/16</t>
  </si>
  <si>
    <t>Install a 1,006.5 kW DC ground mounted single-axis tracking solar PV system at the District wastewater treatment plant.</t>
  </si>
  <si>
    <t>California Department of Corrections and Rehabilitation (Corcoran State Prison Substance Abuse Treatment Facility)</t>
  </si>
  <si>
    <t>9/7/2011 &amp; 08/09/12</t>
  </si>
  <si>
    <t>Kings</t>
  </si>
  <si>
    <t>Install interior and exterior lighting upgrades.</t>
  </si>
  <si>
    <t>Anne Fisher</t>
  </si>
  <si>
    <t>44933 Fern Ave, Lancaster, CA 93534</t>
  </si>
  <si>
    <t>Los Angeles</t>
  </si>
  <si>
    <t>Upgrade athletic field lighting, upgrade HVAC, install weather stations to reduce water pump energy, and install solar hot water heating.</t>
  </si>
  <si>
    <t xml:space="preserve">111 East 1st Street, Los Angeles </t>
  </si>
  <si>
    <t>Upgrade interior lighting systems and controls at multiple city-owned buildings.</t>
  </si>
  <si>
    <t>1600 Huntington Dr. Duarte, CA 91010</t>
  </si>
  <si>
    <t xml:space="preserve">Implement energy efficiency measures including HVAC upgrades, HVAC building control upgrades, lighting equipment and controls upgrades, and installing vending machine misers. </t>
  </si>
  <si>
    <t>Upgrade interior lighting at several city buildings and install controls.</t>
  </si>
  <si>
    <t>Install 694.19kW DC solar photovoltaic system located in various city-owned facilities.</t>
  </si>
  <si>
    <t>Upgrade inefficient streetlights with LED.</t>
  </si>
  <si>
    <t>Install energy efficiency upgrades and install solar PV panels at city-owned facilities.</t>
  </si>
  <si>
    <t>Madera</t>
  </si>
  <si>
    <t>Install 1.12 MW Solar PV</t>
  </si>
  <si>
    <t>008-09-ECA</t>
  </si>
  <si>
    <t>3501 Civic Centre Dr., San Rafael, CA 94903</t>
  </si>
  <si>
    <t>Marin</t>
  </si>
  <si>
    <t xml:space="preserve">Upgrade HVAC, insulation and LED lighting. </t>
  </si>
  <si>
    <t xml:space="preserve">10 Ave of The Flags, San Rafael </t>
  </si>
  <si>
    <t xml:space="preserve">Upgrade interior and exterior lighting and replace heating and cooling systems at the Marin County Civic Auditorium. </t>
  </si>
  <si>
    <t xml:space="preserve">11 Ave of The Flags, San Rafael </t>
  </si>
  <si>
    <t>Install energy efficiency and renewable projects at the Emergency Operation Facility.</t>
  </si>
  <si>
    <t>625 Court St. Woodland, CA 95695</t>
  </si>
  <si>
    <t>Mendocino</t>
  </si>
  <si>
    <t>Install a gas boiler, variable speed drives, energy efficient lights, condensing furnace and PV systems totalling 51 kW.</t>
  </si>
  <si>
    <t>P.O. Box 1609 Mammoth Lakes, CA 93546</t>
  </si>
  <si>
    <t>Mono</t>
  </si>
  <si>
    <t>Install 3 high efficiency boilers.</t>
  </si>
  <si>
    <t>735 Pacific St. Monterey, CA 93940</t>
  </si>
  <si>
    <t>Monterey</t>
  </si>
  <si>
    <t>Upgrade tunnel, bike path, and street lights with induction lighting and LED lighting.</t>
  </si>
  <si>
    <t>440 Harcourt Ave, Seaside, CA 93955</t>
  </si>
  <si>
    <t>Upgrade streetlights with LED lighting and replace a 40-year old boiler.</t>
  </si>
  <si>
    <t>Upgrade 52 garage lights to LED and fluorescent</t>
  </si>
  <si>
    <t>Install a total of 797.4 kW solar PV on several school facilities.</t>
  </si>
  <si>
    <t>003-11-ECG</t>
  </si>
  <si>
    <t>Upgrade boiler and install solar PV.</t>
  </si>
  <si>
    <t>Install 820.6 kW PV system.</t>
  </si>
  <si>
    <t>Install a total of 463 kW PV.</t>
  </si>
  <si>
    <t>6550 Yount St., Yountville, CA 94599</t>
  </si>
  <si>
    <t>Napa</t>
  </si>
  <si>
    <t>Replace lights, heating and air conditioning, retrofit streetlights and replace motors at the waste water treatment plant.</t>
  </si>
  <si>
    <t>Upgrade 4,747 streetlights to LED and induction.</t>
  </si>
  <si>
    <t>950 Maidu Ave, Nevada City, CA 95959</t>
  </si>
  <si>
    <t>Nevada</t>
  </si>
  <si>
    <t xml:space="preserve">Replacement HVAC systems, HVAC controls, boilers and lighting efficiency improvements. </t>
  </si>
  <si>
    <t>Orange</t>
  </si>
  <si>
    <t>Install a PV system.</t>
  </si>
  <si>
    <t>Retrofit streetlights with LED.</t>
  </si>
  <si>
    <t>Replace AHU and to install a new DDC system at the existing HVAC system.</t>
  </si>
  <si>
    <t>Placer</t>
  </si>
  <si>
    <t>Install 190 kW PV system at Weimar Hills School</t>
  </si>
  <si>
    <t>California Department of Corrections and Rehabilitation (Norco State Prison Hospital)</t>
  </si>
  <si>
    <t>9838 Old Placerville Rd., Sacramento, CA 95827</t>
  </si>
  <si>
    <t>Upgrade interior lighting system from T12 to T8.</t>
  </si>
  <si>
    <t>908 Park Avenue, Calimesa, CA 92320</t>
  </si>
  <si>
    <t>Replace 6 HVAC heat pump units.</t>
  </si>
  <si>
    <t>69825 Highway 111, Rancho Mirage</t>
  </si>
  <si>
    <t>Install new 150 ton oil free, variable speed drive centrifugal chiller and upgraded chilled water pump sequencing control.</t>
  </si>
  <si>
    <t>9660 Ecology Lane, Sacramento, CA 95827</t>
  </si>
  <si>
    <t>Sacramento</t>
  </si>
  <si>
    <t>Replacement of chiller, interior lighting and energy management system controls with more reliable and energy-efficient models.</t>
  </si>
  <si>
    <t>Upgrade 4,736 streetlights to LED.</t>
  </si>
  <si>
    <t>Retrofit 8,233 high pressure sodium and mercury vapor streetlights with LED.</t>
  </si>
  <si>
    <t>1321 South St, Hollister</t>
  </si>
  <si>
    <t>San Benito</t>
  </si>
  <si>
    <t>Replace oversized 30-year old HVAC with 24.5 ton high efficiency HVAC systems with economizers on roof.</t>
  </si>
  <si>
    <t>3220 Southside Road, Hollister, CA 95023</t>
  </si>
  <si>
    <t>Install a new 60 ton chiller, retrofit lighting, and upgrade street lights with energy efficient induction lamps.</t>
  </si>
  <si>
    <t>276 Fourth St. Chula Vista, CA 91910</t>
  </si>
  <si>
    <t>San Diego</t>
  </si>
  <si>
    <t>Upgrade energy efficient lighting and install photovoltaic system.</t>
  </si>
  <si>
    <t>9601 Ridgehaven Court, San Diego, CA 92123</t>
  </si>
  <si>
    <t>Upgrade 5,700 street light fixtures from HPS to Induction.</t>
  </si>
  <si>
    <t>Elizabeth Shirakh</t>
  </si>
  <si>
    <t>405 Oak Ave, Carlsbad, CA 92008</t>
  </si>
  <si>
    <t>Convert street light fixtures from high pressure sodium lamps to induction lamps.</t>
  </si>
  <si>
    <t>Convert 4,600 street light fixtures from high pressure sodium lamps to LED lamps.</t>
  </si>
  <si>
    <t>Upgrade 2,147 HPS streetlights to higher efficiency lighting.</t>
  </si>
  <si>
    <t>Retrofit various HVAC systems and install VFDs for pumping system.</t>
  </si>
  <si>
    <t>Upgrade 2,000 HPS and MV streetlight fixture with LED.</t>
  </si>
  <si>
    <t>Upgrade 2,200 streetlight fixtures with LED.</t>
  </si>
  <si>
    <t>Install a 135.71 kW Solar PV at district  facilities.</t>
  </si>
  <si>
    <t>Install 43.7 kW roof-mounted PV panels at Fire Station No. 5.</t>
  </si>
  <si>
    <t>214 East Branch St. Arroyo Grande, CA 93420</t>
  </si>
  <si>
    <t>San Luis Obispo</t>
  </si>
  <si>
    <t>Upgrade HVAC equipment and controls, lighting equipment and controls upgrade, install LED streetlights, install computer controls and LCD monitors,  and install controls on vending machines.</t>
  </si>
  <si>
    <t>154 South 8th St. Grover Beach, CA 93433</t>
  </si>
  <si>
    <t>Energy efficiency upgrades and installation of a photovoltaic system.</t>
  </si>
  <si>
    <t>Upgrade 2,263 HPS and Mercury Vapor streetlights to LED.</t>
  </si>
  <si>
    <t>Upgrade interior and exterior lighting, install central plant measures and transformer replacement measures.</t>
  </si>
  <si>
    <t>Upgrade 14 HVAC units, install programmable thermostats, and install four single-axis tracking solar PV systems.</t>
  </si>
  <si>
    <t>004-15-ECD</t>
  </si>
  <si>
    <t>Retrofit lighting fixtures and controls, upgrade central plan chillers, continuous retrocommission air handling systems, and install kitchen exhaust hood controls</t>
  </si>
  <si>
    <t>50 Park Place, Brisbane, CA 94005</t>
  </si>
  <si>
    <t>San Mateo</t>
  </si>
  <si>
    <t>Upgrade streetlight fixtures from HPS to LED.</t>
  </si>
  <si>
    <t>1600 Floribunda Ave, Hillsborough, CA 94010</t>
  </si>
  <si>
    <t>Install premium efficiency pumps and control upgrades for its water system.</t>
  </si>
  <si>
    <t>Install a new energy efficient pump and new energy efficient interior lights.</t>
  </si>
  <si>
    <t>Upgrade 2,212 streetlights to LED</t>
  </si>
  <si>
    <t>Retrofit lighting and install occupancy sensors at 17 schools in the district.</t>
  </si>
  <si>
    <t>Upgrade 5,047 streetlight fixtures with LED</t>
  </si>
  <si>
    <t>Santa Barbara</t>
  </si>
  <si>
    <t>Upgrade 5,283 streetlights to LED.</t>
  </si>
  <si>
    <t>Energy efficiency upgrades at Santa Barbara City College East and West Main Campuses</t>
  </si>
  <si>
    <t>004-15-ECG</t>
  </si>
  <si>
    <t>Install 55 kWac PV</t>
  </si>
  <si>
    <t>26379 Fremont Road, Los Altos Hill, CA 94022</t>
  </si>
  <si>
    <t>Santa Clara</t>
  </si>
  <si>
    <t>Install a solar hot water heater, heat pump backup boiler, and photovoltaic system.</t>
  </si>
  <si>
    <t>Energy efficiency upgrades at the County Government Center.</t>
  </si>
  <si>
    <t>Chris Olvera</t>
  </si>
  <si>
    <t>Upgrade streetlights to LED</t>
  </si>
  <si>
    <t>Install energy efficiency measures and a PV system.</t>
  </si>
  <si>
    <t>Install energy efficiency measures.</t>
  </si>
  <si>
    <t>250 Main St., Watsonville, CA 95077</t>
  </si>
  <si>
    <t>Santa Cruz</t>
  </si>
  <si>
    <t>Upgrade high pressure street lighting system with energy efficient LED lights.</t>
  </si>
  <si>
    <t>701 Ocean St, Rm 330, Santa Cruz, CA 95060</t>
  </si>
  <si>
    <t>Install HVAC equipment upgrades and upgrade to LED streetlights.</t>
  </si>
  <si>
    <t>Retrofit interior gymnasium lighting and exterior lighting.</t>
  </si>
  <si>
    <t>Upgrade interior and exterior lights, streetlights HVAC and install high efficiency motors.</t>
  </si>
  <si>
    <t>1855 Place Street, Redding</t>
  </si>
  <si>
    <t>Shasta</t>
  </si>
  <si>
    <t xml:space="preserve">Install two 125-ton chillers, 9 packaged HVAC units and controls, upgraded interior lighting and occupancy sensor controls and demand control ventilation systems. </t>
  </si>
  <si>
    <t>Siskiyou</t>
  </si>
  <si>
    <t>Upgrade interior lighting systems and controls and install a 180 kW photovoltaic system.</t>
  </si>
  <si>
    <t>Install energy efficiency and renewable energy measures at the district.</t>
  </si>
  <si>
    <t>1000 Webster St. Fairfield, CA 94533</t>
  </si>
  <si>
    <t>Solano</t>
  </si>
  <si>
    <t>Upgrade interior lighting systems and install photovoltaic system.</t>
  </si>
  <si>
    <t>Upgrade street lighting fixtures from high pressure sodium to induction.</t>
  </si>
  <si>
    <t>Retrofit lighting and install lighting and HVAC controls on portable classrooms throughout  the district.</t>
  </si>
  <si>
    <t>Install a 721.35 kWdc PV,</t>
  </si>
  <si>
    <t>347 Andrieux St. Sonoma, CA 95476</t>
  </si>
  <si>
    <t>Sonoma</t>
  </si>
  <si>
    <t xml:space="preserve">Install high efficiency interior and exterior lighting, HVAC upgrades and desktop virtualization technologies. </t>
  </si>
  <si>
    <t>348 Andrieux St. Sonoma, CA 95476</t>
  </si>
  <si>
    <t xml:space="preserve">Install premium efficiency motors and pumps, variable air volume equipment for HVAC systems, building envelope projects, lighting efficiency projects, high efficiency sterilizing equipment, and replacement of the hospital's chiller unit. </t>
  </si>
  <si>
    <t>Install 93 kWdc rooftop solar PV.</t>
  </si>
  <si>
    <t>156 S. Broadway Ste. 110, Turlock, CA 95380</t>
  </si>
  <si>
    <t>Stanislaus</t>
  </si>
  <si>
    <t xml:space="preserve">Upgrade streetlights from sodium vapor and mercury vapor to induction lighting. </t>
  </si>
  <si>
    <t>Upgrade 787 streetlights to LED</t>
  </si>
  <si>
    <t>Renewable energy generation and eenergy efficiency measures at city-owned facilities</t>
  </si>
  <si>
    <t>Install 297 kW PV at the Wastewater Treatment Facility (WWTF), Community Center, and City Hall, Efficiency upgrades at the WWTF operations, and replace 381 HPS streetlights to LED.</t>
  </si>
  <si>
    <t xml:space="preserve">*Jobs information is a metric reported monthly by loan recipients of the American Recovery &amp; Reinvestment Act (ARRA) funded loans.  These loans are designated by the letters ARRA at the end of their agreement number.  The "jobs information" column is only filled in once project installation/construction is completed and the loan funds have been fully disbursed.  </t>
  </si>
  <si>
    <t>012-14-ECG</t>
  </si>
  <si>
    <t>Patterson Joint Unified School District</t>
  </si>
  <si>
    <t>Sylvan Union School District</t>
  </si>
  <si>
    <t>Install energy efficiency measures at 8 schools, District Office, Central Kitchen, and Maintenance Facility</t>
  </si>
  <si>
    <t>Energy efficiency measures and photovoltaic installations at multiple district facilities.</t>
  </si>
  <si>
    <t>Install energy efficiency projects at two district schools involving exterior and interior lighting including control retrofits.</t>
  </si>
  <si>
    <t xml:space="preserve">City of Yuba City </t>
  </si>
  <si>
    <t>1201 Civic Center Boulevard, Yuba City, CA 95993</t>
  </si>
  <si>
    <t>Sutter</t>
  </si>
  <si>
    <t>Upgrade 3,300 streetlights to LED</t>
  </si>
  <si>
    <t>405 East El Monte Way, Dinuba, CA 93618</t>
  </si>
  <si>
    <t>Tulare</t>
  </si>
  <si>
    <t>Implement energy efficiency measures at wastewater reclamation facility.</t>
  </si>
  <si>
    <t>4/10/2013 &amp; 07/10/13</t>
  </si>
  <si>
    <t>Retrofit lighting controls and HVAC projects</t>
  </si>
  <si>
    <t>Install a solar PV at 8 schools.</t>
  </si>
  <si>
    <t>Install 0.798 MW Solar PV</t>
  </si>
  <si>
    <t>Install 324.4 kWdc rooftop-mounted PV</t>
  </si>
  <si>
    <t>336 San Jon Road, Ventura, CA 93001</t>
  </si>
  <si>
    <t>Ventura</t>
  </si>
  <si>
    <t>Install a new 220 ton variable speed drive chiller, upgrade interior and exterior lights, and upgrade computer server cooling control.</t>
  </si>
  <si>
    <t>Yolo</t>
  </si>
  <si>
    <t>Install photovoltaic tracking system.</t>
  </si>
  <si>
    <t>Install a district-wide EMS and retrofit various interor lighting at John Clayton School and the Administration Building</t>
  </si>
  <si>
    <t>022-14-ECG</t>
  </si>
  <si>
    <t>Esparto Unified School District</t>
  </si>
  <si>
    <t>Install a 227.7 kW Solar PV</t>
  </si>
  <si>
    <t>Upgrade 4486 streetlights to LED.</t>
  </si>
  <si>
    <t>Yuba</t>
  </si>
  <si>
    <t>Energy efficiency upgrades in Yuba, Woodland, and Clearlake Community Colleges</t>
  </si>
  <si>
    <t>Install a new EMS system and VFD control for a well pump.</t>
  </si>
  <si>
    <t>Funding Data</t>
  </si>
  <si>
    <t>Single Family</t>
  </si>
  <si>
    <t>FOR LOOKUP PURPOSES</t>
  </si>
  <si>
    <t xml:space="preserve">Energy Unit </t>
  </si>
  <si>
    <t>ELECTRICITY - CUMULATIVE SAVINGS</t>
  </si>
  <si>
    <t>GAS - CUMULATIVE SAVINGS</t>
  </si>
  <si>
    <t>Detailed Funding History</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</si>
  <si>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</si>
  <si>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</si>
  <si>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</si>
  <si>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</si>
  <si>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</si>
  <si>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</si>
  <si>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</si>
  <si>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</si>
  <si>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</si>
  <si>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</si>
  <si>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</si>
  <si>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</si>
  <si>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</si>
  <si>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</si>
  <si>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</si>
  <si>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</si>
  <si>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</si>
  <si>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 xml:space="preserve"> </t>
  </si>
  <si>
    <t>Program</t>
  </si>
  <si>
    <t>Annual Electric Savings</t>
  </si>
  <si>
    <t>Annual Gas Savings</t>
  </si>
  <si>
    <t>Original</t>
  </si>
  <si>
    <t>Electric Savings</t>
  </si>
  <si>
    <t>Annual loan amount</t>
  </si>
  <si>
    <t>HISTORICAL ECAA LOANS FROM 1979 TO  MARCH 31, 2017</t>
  </si>
  <si>
    <t>Summary by Recipient Type</t>
  </si>
  <si>
    <t>Total Number of Loans Awarded</t>
  </si>
  <si>
    <t>Total Loan Amount Awarded</t>
  </si>
  <si>
    <t>Local Government Loans</t>
  </si>
  <si>
    <t>K-12 School Loans</t>
  </si>
  <si>
    <t>College Loans</t>
  </si>
  <si>
    <t>Special District Loans</t>
  </si>
  <si>
    <t>Public Care &amp; Hospital Loans</t>
  </si>
  <si>
    <t>Grand Total:</t>
  </si>
  <si>
    <t>LOCAL GOVERNMENTS</t>
  </si>
  <si>
    <t>YEAR</t>
  </si>
  <si>
    <t>RECIPIENT</t>
  </si>
  <si>
    <t>APPROVED LOAN AMOUNT</t>
  </si>
  <si>
    <t>FUND TYPE</t>
  </si>
  <si>
    <t>CITY OF BERKELEY</t>
  </si>
  <si>
    <t>CITY OF GRAND TERRACE</t>
  </si>
  <si>
    <t>CITY OF LOS ANGELES</t>
  </si>
  <si>
    <t>CITY OF MILPITAS</t>
  </si>
  <si>
    <t>CITY OF MONROVIA</t>
  </si>
  <si>
    <t>CITY OF ONTARIO</t>
  </si>
  <si>
    <t>CITY OF PASADENA</t>
  </si>
  <si>
    <t>CITY OF RIVERSIDE</t>
  </si>
  <si>
    <t>CITY OF SAN BERNARDINO</t>
  </si>
  <si>
    <t xml:space="preserve">COUNTY OF LOS ANGELES </t>
  </si>
  <si>
    <t>COUNTY OF SOLANO</t>
  </si>
  <si>
    <t>CITY OF ALAMEDA</t>
  </si>
  <si>
    <t>CITY OF ALBANY</t>
  </si>
  <si>
    <t>CITY OF ALHAMBRA</t>
  </si>
  <si>
    <t>CITY OF BAKERSFIELD</t>
  </si>
  <si>
    <t>CITY OF BALDWIN PARK</t>
  </si>
  <si>
    <t>CITY OF CAMPBELL</t>
  </si>
  <si>
    <t>CITY OF CARLSBAD</t>
  </si>
  <si>
    <t>CITY OF CARSON</t>
  </si>
  <si>
    <t>CITY OF CORCORAN</t>
  </si>
  <si>
    <t>CITY OF CUPERTINO</t>
  </si>
  <si>
    <t>CITY OF EL CAJON</t>
  </si>
  <si>
    <t>CITY OF ESCONDIDO</t>
  </si>
  <si>
    <t>CITY OF FRESNO</t>
  </si>
  <si>
    <t>CITY OF FULLERTON</t>
  </si>
  <si>
    <t>CITY OF GARDEN GROVE</t>
  </si>
  <si>
    <t>CITY OF GILROY</t>
  </si>
  <si>
    <t>CITY OF LA MESA</t>
  </si>
  <si>
    <t>CITY OF LANCASTER</t>
  </si>
  <si>
    <t>CITY OF LEMOORE</t>
  </si>
  <si>
    <t>CITY OF MARYSVILLE</t>
  </si>
  <si>
    <t>CITY OF MERCED</t>
  </si>
  <si>
    <t>CITY OF MODESTO</t>
  </si>
  <si>
    <t>CITY OF OCEAN SIDE</t>
  </si>
  <si>
    <t>CITY OF REDLANDS</t>
  </si>
  <si>
    <t>CITY OF REDWOOD CITY</t>
  </si>
  <si>
    <t>CITY OF RICHMOND</t>
  </si>
  <si>
    <t>CITY OF SAN CARLOS</t>
  </si>
  <si>
    <t>CITY OF SAN CLEMENTE</t>
  </si>
  <si>
    <t>CITY OF SANTA CRUZ</t>
  </si>
  <si>
    <t>CITY OF SANTA ROSA</t>
  </si>
  <si>
    <t>CITY OF TULARE</t>
  </si>
  <si>
    <t>CITY OF UNION CITY</t>
  </si>
  <si>
    <t xml:space="preserve">COUNTY OF CONTRA COSTA </t>
  </si>
  <si>
    <t>COUNTY OF SAN MATEO</t>
  </si>
  <si>
    <t>COUNTY OF LOS ANGELES - PUBLIC WORKS</t>
  </si>
  <si>
    <t>SACTO HOUSING &amp; REDEVELOPMENT AGENCY</t>
  </si>
  <si>
    <t>CITY OF DALY CITY</t>
  </si>
  <si>
    <t>CITY OF SAN FERNANDO</t>
  </si>
  <si>
    <t>CITY OF SOUTH PASADENA</t>
  </si>
  <si>
    <t>CITY OF VISTA</t>
  </si>
  <si>
    <t>COUNTY OF SONOMA - GENERAL SERVICES</t>
  </si>
  <si>
    <t>CITY OF BURLINGAME</t>
  </si>
  <si>
    <t>CITY OF CORONA</t>
  </si>
  <si>
    <t>CITY OF NEWPORT BEACH</t>
  </si>
  <si>
    <t>CITY OF SANTA ANA</t>
  </si>
  <si>
    <t>CITY OF SHAFTER</t>
  </si>
  <si>
    <t>COUNTY OF SANTA CRUZ</t>
  </si>
  <si>
    <t>CITY OF COMPTON</t>
  </si>
  <si>
    <t>CITY OF EL CERRITO</t>
  </si>
  <si>
    <t>CITY OF HEALDSBURG</t>
  </si>
  <si>
    <t>CITY OF INGLEWOOD - ENGR DEPT</t>
  </si>
  <si>
    <t>CITY OF SANTA ANA - PUBLIC SERVICES</t>
  </si>
  <si>
    <t>CITY OF SANTA CLARA</t>
  </si>
  <si>
    <t xml:space="preserve">CITY OF INGLEWOOD </t>
  </si>
  <si>
    <t>CITY OF LAKEWOOD</t>
  </si>
  <si>
    <t>CITY OF PORTERVILLE</t>
  </si>
  <si>
    <t>CITY OF SAN JUAN CAPISTRANO</t>
  </si>
  <si>
    <t>CITY OF SOUTH GATE</t>
  </si>
  <si>
    <t>COUNTY OF DEL NORTE</t>
  </si>
  <si>
    <t>CITY OF SACRAMENTO</t>
  </si>
  <si>
    <t>CITY OF TURLOCK</t>
  </si>
  <si>
    <t>CITY OF DUNSMUIR</t>
  </si>
  <si>
    <t>LJEAA</t>
  </si>
  <si>
    <t>CITY OF CHINO</t>
  </si>
  <si>
    <t>CITY OF SAN JOSE</t>
  </si>
  <si>
    <t>COUNTY OF LAKE</t>
  </si>
  <si>
    <t>COUNTY OF PLUMAS</t>
  </si>
  <si>
    <t>COUNTY OF SANTA CLARA</t>
  </si>
  <si>
    <t>TOWN OF SAN ANSELMO</t>
  </si>
  <si>
    <t>CITY OF FONTANA</t>
  </si>
  <si>
    <t>CITY OF HUNTINGTON BEACH</t>
  </si>
  <si>
    <t>CITY OF LOMA LINDA</t>
  </si>
  <si>
    <t>CITY OF OAKLAND</t>
  </si>
  <si>
    <t>CITY OF SAN LEANDRO</t>
  </si>
  <si>
    <t>CITY OF SANTA BARBARA</t>
  </si>
  <si>
    <t>CITY OF LOMPOC</t>
  </si>
  <si>
    <t>COUNTY OF MODOC</t>
  </si>
  <si>
    <t>CITY OF GRASS VALLEY</t>
  </si>
  <si>
    <t>CITY OF HANFORD</t>
  </si>
  <si>
    <t>CITY OF MARTINEZ</t>
  </si>
  <si>
    <t>CITY OF MONTEREY</t>
  </si>
  <si>
    <t>CITY OF SEASIDE</t>
  </si>
  <si>
    <t>CITY OF WOODLAND</t>
  </si>
  <si>
    <t>COUNTY OF KERN</t>
  </si>
  <si>
    <t>COUNTY OF NEVADA</t>
  </si>
  <si>
    <t>COUNTY OF STANISLAUS</t>
  </si>
  <si>
    <t>COUNTY OF YUBA</t>
  </si>
  <si>
    <t>TOWN OF LOS GATOS</t>
  </si>
  <si>
    <t>CITY OF CLOVERDALE</t>
  </si>
  <si>
    <t>CITY OF WHEATLAND</t>
  </si>
  <si>
    <t>COUNTY OF MARIPOSA</t>
  </si>
  <si>
    <t>COUNTY OF SHASTA</t>
  </si>
  <si>
    <t>CITY OF ANDERSON</t>
  </si>
  <si>
    <t>CITY OF WESTMINSTER</t>
  </si>
  <si>
    <t>CITY OF NOVATO</t>
  </si>
  <si>
    <t>CITY OF RIO VISTA</t>
  </si>
  <si>
    <t>COUNTY OF EL DORADO</t>
  </si>
  <si>
    <t>COUNTY OF MARIN</t>
  </si>
  <si>
    <t>CITY OF PALM SPRINGS</t>
  </si>
  <si>
    <t>CITY OF REDDING</t>
  </si>
  <si>
    <t>CITY &amp; COUNTY OF SAN FRANCISCO</t>
  </si>
  <si>
    <t>CITY OF AUBURN</t>
  </si>
  <si>
    <t>CITY OF BELMONT</t>
  </si>
  <si>
    <t>CITY OF EL CENTRO</t>
  </si>
  <si>
    <t>CITY OF MANTECA</t>
  </si>
  <si>
    <t>CITY OF SAN BUENAVENTURA</t>
  </si>
  <si>
    <t>CITY OF SEBASTOPOL</t>
  </si>
  <si>
    <t>CITY OF WESTLAKE VILLAGE</t>
  </si>
  <si>
    <t>COUNTY OF ALAMEDA</t>
  </si>
  <si>
    <t>COUNTY OF MENDOCINO</t>
  </si>
  <si>
    <t>CITY OF BELLFLOWER</t>
  </si>
  <si>
    <t>CITY OF CULVER CITY</t>
  </si>
  <si>
    <t>CITY OF FAIRFIELD</t>
  </si>
  <si>
    <t>CITY OF FRESNO - WATER DIVISION</t>
  </si>
  <si>
    <t>CITY OF INDIO</t>
  </si>
  <si>
    <t>CITY OF NAPA</t>
  </si>
  <si>
    <t>CITY OF SAUSALITO</t>
  </si>
  <si>
    <t>COUNTY OF HUMBOLDT</t>
  </si>
  <si>
    <t>COUNTY OF MERCED</t>
  </si>
  <si>
    <t>COUNTY OF ORANGE</t>
  </si>
  <si>
    <t>COUNTY OF RIVERSIDE</t>
  </si>
  <si>
    <t>CITY OF GARDENA</t>
  </si>
  <si>
    <t>COUNTY OF SONOMA</t>
  </si>
  <si>
    <t>CITY OF IONE</t>
  </si>
  <si>
    <t>COUNTY OF SAN DIEGO</t>
  </si>
  <si>
    <t>CITY OF OAKLAND - PUBLIC WORKS</t>
  </si>
  <si>
    <t>COUNTY OF BUTTE</t>
  </si>
  <si>
    <t>CITY OF ARCATA</t>
  </si>
  <si>
    <t>CITY OF LA HABRA</t>
  </si>
  <si>
    <t>CITY OF PLACERVILLE</t>
  </si>
  <si>
    <t>CITY OF SAN DIEGO</t>
  </si>
  <si>
    <t>COUNTY OF NAPA</t>
  </si>
  <si>
    <t>COUNTY OF MERCED - ASSOCIATION OF GOVTS</t>
  </si>
  <si>
    <t>TOWN OF LOS ALTOS HILLS</t>
  </si>
  <si>
    <t>TOWN OF YUCCA VALLEY</t>
  </si>
  <si>
    <t>CITY OF VICTORVILLE</t>
  </si>
  <si>
    <t>CITY OF CAPITOLA</t>
  </si>
  <si>
    <t>CITY OF WEST COVINA</t>
  </si>
  <si>
    <t>COUNTY OF MARIN 3</t>
  </si>
  <si>
    <t>COUNTY OF MARIN 4</t>
  </si>
  <si>
    <t>CITY OF SAN DIEGO 2</t>
  </si>
  <si>
    <t>COUNTY OF ALAMEDA 4</t>
  </si>
  <si>
    <t>COUNTY OF SAN DIEGO 3</t>
  </si>
  <si>
    <t>CITY OF CHULA VISTA</t>
  </si>
  <si>
    <t>CITY OF LYNWOOD</t>
  </si>
  <si>
    <t>PASADENA CENTER OPERATING COMPANY</t>
  </si>
  <si>
    <t>TOWN OF HILLSBOROUGH</t>
  </si>
  <si>
    <t>ARRA</t>
  </si>
  <si>
    <t>CITY OF CLOVIS</t>
  </si>
  <si>
    <t>CITY OF GROVER BEACH</t>
  </si>
  <si>
    <t>CITY OF RANCHO MIRAGE</t>
  </si>
  <si>
    <t>CITY OF VENTURA</t>
  </si>
  <si>
    <t>CITY OF DINUBA</t>
  </si>
  <si>
    <t>CITY OF SOUTH LAKE TAHOE</t>
  </si>
  <si>
    <t>COUNTY OF YOLO</t>
  </si>
  <si>
    <t>COUNTY OF SACRAMENTO</t>
  </si>
  <si>
    <t xml:space="preserve">CITY OF BRISBANE </t>
  </si>
  <si>
    <t>COUNTY OF SAN BENITO</t>
  </si>
  <si>
    <t>CITY OF HOLLISTER</t>
  </si>
  <si>
    <t>TOWN OF MAMMOTH LAKES</t>
  </si>
  <si>
    <t>TOWN OF MORAGA</t>
  </si>
  <si>
    <t>CITY OF HAYWARD</t>
  </si>
  <si>
    <t>TOWN OF YOUNTVILLE</t>
  </si>
  <si>
    <t>CITY OF WATSONVILLE</t>
  </si>
  <si>
    <t>CITY OF DUARTE</t>
  </si>
  <si>
    <t>CITY OF ARROYO GRANDE</t>
  </si>
  <si>
    <t>CITY OF PITTSBURG</t>
  </si>
  <si>
    <t>CITY OF CALIMESA</t>
  </si>
  <si>
    <t>CITY OF YUBA</t>
  </si>
  <si>
    <t>COUNTY OF GLENN</t>
  </si>
  <si>
    <t>CITY OF SALINAS</t>
  </si>
  <si>
    <t>CITY OF CERES</t>
  </si>
  <si>
    <t>CITY OF KERMAN</t>
  </si>
  <si>
    <t>CITY OF SANTA MARIA</t>
  </si>
  <si>
    <t>CITY OF SAN LUIS OBISPO</t>
  </si>
  <si>
    <t>CITY OF SAN MARCOS</t>
  </si>
  <si>
    <t>CITY OF LOS ANGELES, DGS</t>
  </si>
  <si>
    <t>CITY OF RANCHO CORDOVA</t>
  </si>
  <si>
    <t>CITY OF PATTERSON</t>
  </si>
  <si>
    <t>CITY OF SAN PABLO</t>
  </si>
  <si>
    <t>CITY OF CALIFORNIA CITY</t>
  </si>
  <si>
    <t>COUNTY OF INYO</t>
  </si>
  <si>
    <t>CITY OF VISALIA</t>
  </si>
  <si>
    <t>CITY OF PLEASANTON</t>
  </si>
  <si>
    <t>CITY OF FORT BRAGG</t>
  </si>
  <si>
    <t>MARIN COUNTY DEPARTMENT OF PUBLIC WORKS</t>
  </si>
  <si>
    <t>CITY OF WATERFORD</t>
  </si>
  <si>
    <t>CITY OF MORGAN HILL</t>
  </si>
  <si>
    <t>CITY OF SOUTH EL MONTE</t>
  </si>
  <si>
    <t>CITY OF SAN MATEO</t>
  </si>
  <si>
    <t>CITY OF MORRO BAY</t>
  </si>
  <si>
    <t>CITY OF DAVIS</t>
  </si>
  <si>
    <t>COUNTY OF SAN LUIS OBISPO</t>
  </si>
  <si>
    <t>SUBTOTAL LOCAL GOVERNMENTS</t>
  </si>
  <si>
    <t>SCHOOLS</t>
  </si>
  <si>
    <t>BERRYESSA UNION SCHOOL</t>
  </si>
  <si>
    <t>BONITA UNIFIED SCHOOL</t>
  </si>
  <si>
    <t>LASSEN UNION HIGH</t>
  </si>
  <si>
    <t>MENDOCINO UNIFIED SCHOOL</t>
  </si>
  <si>
    <t>MT DIABLO UNIFIED SCHOOL</t>
  </si>
  <si>
    <t>NAPA VALLEY UNIFIED</t>
  </si>
  <si>
    <t>PACIFIC GROVE UNIFIED SCHOOL</t>
  </si>
  <si>
    <t>PARADISE UNIFIED SCHOOL</t>
  </si>
  <si>
    <t>POMONA UNIFIED SCHOOL</t>
  </si>
  <si>
    <t>SALINAS UNION HIGH</t>
  </si>
  <si>
    <t>SIERRA JT UNION</t>
  </si>
  <si>
    <t>SPRECKELS ELEMENTARY</t>
  </si>
  <si>
    <t>VENTURA UNIFIED SCHOOL</t>
  </si>
  <si>
    <t>BAKERSFIELD CITY SCHOOL</t>
  </si>
  <si>
    <t>CARMEL UNIFIED SCHOOL</t>
  </si>
  <si>
    <t>CLOVIS  UNIFIED  SCHOOL</t>
  </si>
  <si>
    <t>CUPERTINO  UNION SCHOOL</t>
  </si>
  <si>
    <t>DELANO JOINT UNION</t>
  </si>
  <si>
    <t>EMPIRE UNION SCHOOL</t>
  </si>
  <si>
    <t>FOLSOM-CORDOVA UNION</t>
  </si>
  <si>
    <t>FRESNO UNIFIED SCHOOL</t>
  </si>
  <si>
    <t>KING CITY JOINT</t>
  </si>
  <si>
    <t>MONACHE HIGH</t>
  </si>
  <si>
    <t>PLACENTIA-YORBA LINDA UNIFIED</t>
  </si>
  <si>
    <t>PORTERVILLE UNION HIGH</t>
  </si>
  <si>
    <t>REEF SUNSET UNIFIED</t>
  </si>
  <si>
    <t>SANTA MARIA JOINT UNION HIGH SCHOOL</t>
  </si>
  <si>
    <t>SANTA PAULA UNION HIGH</t>
  </si>
  <si>
    <t>SUSANVILLE UNIFIED SCHOOL</t>
  </si>
  <si>
    <t>TAHOE TRUCKEE UNIFIED</t>
  </si>
  <si>
    <t>WALNUT VALLEY UNIFIED</t>
  </si>
  <si>
    <t>WASHINGTON  UNION  HIGH</t>
  </si>
  <si>
    <t>WILSON ELEMENTARY</t>
  </si>
  <si>
    <t>YORBA LINDA SCHOOL</t>
  </si>
  <si>
    <t>COALINGA-HURON UNIFIED SCHOOL</t>
  </si>
  <si>
    <t>GROSSMONT UNION HIGH</t>
  </si>
  <si>
    <t>MT SHASTA UNION</t>
  </si>
  <si>
    <t>FONTANA UNIFIED SCHOOL</t>
  </si>
  <si>
    <t>LINCOLN UNIFIED SCHOOL</t>
  </si>
  <si>
    <t>MADERA UNIFIED SCHOOL</t>
  </si>
  <si>
    <t>RICHMOND UNIFIED SCHOOL</t>
  </si>
  <si>
    <t>SAN MARINO UNIFIED</t>
  </si>
  <si>
    <t>SELMA UNIFIED SCHOOL</t>
  </si>
  <si>
    <t>SURPRISE VALLEY JOINT</t>
  </si>
  <si>
    <t>WESTWOOD UNIFIED SCHOOL</t>
  </si>
  <si>
    <t>YOSEMITE UNION</t>
  </si>
  <si>
    <t>EXETER PUBLIC SCHOOL</t>
  </si>
  <si>
    <t>SANGER UNIFIED SCHOOL</t>
  </si>
  <si>
    <t>NORTH FORK UNION ELEMENTARY</t>
  </si>
  <si>
    <t>WESTSIDE UNION SCHOOL</t>
  </si>
  <si>
    <t>HUGHSON UNION HIGH SCHOOL</t>
  </si>
  <si>
    <t>JEFFERSON UNION HIGH</t>
  </si>
  <si>
    <t>LOS BANOS UNIFIED SCHOOL</t>
  </si>
  <si>
    <t>NOTRE DAME HIGH</t>
  </si>
  <si>
    <t>OAKLAND UNIFIED SCHOOL</t>
  </si>
  <si>
    <t>SAN FRANCISCO UNIFIED</t>
  </si>
  <si>
    <t>MC CABE SCHOOL</t>
  </si>
  <si>
    <t>PORTOLA VALLEY SCHOOL</t>
  </si>
  <si>
    <t>ST ALBANS COUNTRY SCHOOL</t>
  </si>
  <si>
    <t>BRET HARTE UNION HIGH SCHOOL</t>
  </si>
  <si>
    <t>CALAVERAS UNIFIED SCHOOL</t>
  </si>
  <si>
    <t>CHAFFEY JOINT UNION HIGH</t>
  </si>
  <si>
    <t xml:space="preserve">EARLIMART SCHOOL </t>
  </si>
  <si>
    <t>ESPARTO UNIFIED</t>
  </si>
  <si>
    <t>GALT JOINT UNION HIGH</t>
  </si>
  <si>
    <t>HARMONY UNION</t>
  </si>
  <si>
    <t>LEMOORE UNION HIGH</t>
  </si>
  <si>
    <t>LONG BEACH UNION</t>
  </si>
  <si>
    <t>LUCERNE VALLEY</t>
  </si>
  <si>
    <t>ORO LOMA ELEMENTARY</t>
  </si>
  <si>
    <t>PATTERSON JOINT UNIFIED</t>
  </si>
  <si>
    <t>RIVERDALE JOINT UNION HIGH</t>
  </si>
  <si>
    <t>SANTA YNEZ  VALLEY UNION</t>
  </si>
  <si>
    <t>SOUTH KERN UNIFIED SCHOOL</t>
  </si>
  <si>
    <t>VALLECITO UNION SCHOOL</t>
  </si>
  <si>
    <t>ARCATA SD</t>
  </si>
  <si>
    <t>BISHOP JOINT UNION HIGH SD</t>
  </si>
  <si>
    <t>BISHOP UNION ELEMENTARY</t>
  </si>
  <si>
    <t>CHOWCHILLA UNION</t>
  </si>
  <si>
    <t>IMPERIAL UNIFIED</t>
  </si>
  <si>
    <t>LOMPOC UNIFIED</t>
  </si>
  <si>
    <t>LOS ALTOS ELEMENTARY</t>
  </si>
  <si>
    <t>MORENO VALLEY - R BLAKLEY</t>
  </si>
  <si>
    <t>NEW HOPE ELEMENTARY</t>
  </si>
  <si>
    <t>RED BLUFF JOINT UNION</t>
  </si>
  <si>
    <t>RIVER  DELTA UNIFIED</t>
  </si>
  <si>
    <t>RIVERSIDE UNIFIED</t>
  </si>
  <si>
    <t>STONE CREEK JOINT UNIFIED</t>
  </si>
  <si>
    <t>JOHN SWETT UNIFIED</t>
  </si>
  <si>
    <t>NEVADA CITY SCHOOL</t>
  </si>
  <si>
    <t>POWAY UNIFIED</t>
  </si>
  <si>
    <t>SHAFFER ELEMENTARY</t>
  </si>
  <si>
    <t>TULELAKE  BASIN JOINT</t>
  </si>
  <si>
    <t>TWIN RIDGES ELEMENTARY</t>
  </si>
  <si>
    <t>ANDERSON VALLEY USD</t>
  </si>
  <si>
    <t>BONNY DOON UESD</t>
  </si>
  <si>
    <t>CAMINO UNION ESD</t>
  </si>
  <si>
    <t xml:space="preserve">ELVERTA JOINT </t>
  </si>
  <si>
    <t>HAYWARD  UNIFIED SCHOOL</t>
  </si>
  <si>
    <t>JONSTONVILLE ESD</t>
  </si>
  <si>
    <t>KNIGHTSEN ESD</t>
  </si>
  <si>
    <t>LOWELL JOINT</t>
  </si>
  <si>
    <t>MARICOPA USD</t>
  </si>
  <si>
    <t>MERCED UNION HIGH</t>
  </si>
  <si>
    <t>MOUNTAIN VALLEY UNIFIED</t>
  </si>
  <si>
    <t>NEWARK UNIFIED SCHOOL</t>
  </si>
  <si>
    <t>OCEAN VIEW SCHOOL</t>
  </si>
  <si>
    <t>ORLAND JUHSD</t>
  </si>
  <si>
    <t>PALO VERDE UNIFIED SCHOOL</t>
  </si>
  <si>
    <t>RAISIN CITY SD</t>
  </si>
  <si>
    <t>ROSS VALLEY UNIFIED</t>
  </si>
  <si>
    <t>SOMIS UNION ELEMENTARY</t>
  </si>
  <si>
    <t>WILLOWS UNIFIED</t>
  </si>
  <si>
    <t>WOODSIDE ELEMENTARY</t>
  </si>
  <si>
    <t>COLUSA UNIFIED</t>
  </si>
  <si>
    <t>FORTUNA UNION HIGH</t>
  </si>
  <si>
    <t>LIVE OAK UNIFIED</t>
  </si>
  <si>
    <t>LOS NIETOS</t>
  </si>
  <si>
    <t>MARCUM- ILLINOIS UNION SCHOOL</t>
  </si>
  <si>
    <t>MARIN PRIMARY</t>
  </si>
  <si>
    <t>ROSEVILLE JOINT UNION HIGH</t>
  </si>
  <si>
    <t>ROUND VALLEY UNIFIED</t>
  </si>
  <si>
    <t>TEMPLE CITY UNIFIED SCHOOL</t>
  </si>
  <si>
    <t>BLACK OAK MINE</t>
  </si>
  <si>
    <t>KONOCTI UNIFIED</t>
  </si>
  <si>
    <t>LIBERTY ELEMENTARY</t>
  </si>
  <si>
    <t>LINDEN UNIFIED</t>
  </si>
  <si>
    <t>MERCY HIGH</t>
  </si>
  <si>
    <t>SONORA UNION HIGH</t>
  </si>
  <si>
    <t>YUCAIPA - CALIMESA JOINT</t>
  </si>
  <si>
    <t>ACKERMAN</t>
  </si>
  <si>
    <t>ANTELOPE</t>
  </si>
  <si>
    <t>CAMBRIA UNION ELEMENTARY</t>
  </si>
  <si>
    <t>CAMBRIAN</t>
  </si>
  <si>
    <t>CAYUCOS ELEMENTARY</t>
  </si>
  <si>
    <t>CHAWANAKEE JOINT</t>
  </si>
  <si>
    <t>COARSEGOLD UNION</t>
  </si>
  <si>
    <t>COAST UNION HIGH</t>
  </si>
  <si>
    <t>DUNHAM</t>
  </si>
  <si>
    <t>EAST NICOLAUS JOINT UNION</t>
  </si>
  <si>
    <t>HAMILTON UNION HIGH</t>
  </si>
  <si>
    <t>KINGS RIVER UNION ELEMENTARY-1</t>
  </si>
  <si>
    <t>LAKE ELEMENTARY SCHOOL</t>
  </si>
  <si>
    <t>LOS ALAMITOS UNIFIED</t>
  </si>
  <si>
    <t>MAPLE</t>
  </si>
  <si>
    <t>NORTH COUNTY JOINT UNION</t>
  </si>
  <si>
    <t>OJAI UNIFIED SCHOOL</t>
  </si>
  <si>
    <t>OPHIR ELEMENTARY</t>
  </si>
  <si>
    <t>PACIFIC GROVE UNIFIED  SCHOOL</t>
  </si>
  <si>
    <t>PLAZA ELEMENTARY SCHOOL</t>
  </si>
  <si>
    <t>ROBLA</t>
  </si>
  <si>
    <t>SOQUEL UNION ELEMENTARY</t>
  </si>
  <si>
    <t>STRATHMORE UNION HIGH</t>
  </si>
  <si>
    <t>TRINITY UNION HIGH</t>
  </si>
  <si>
    <t>UNION HILLS SCHOOL</t>
  </si>
  <si>
    <t>WOODLAKE UNION ELEMENTARY</t>
  </si>
  <si>
    <t>BASS LAKE JT. UNION ELEMENTARY</t>
  </si>
  <si>
    <t>CONEJO VALLEY UNIFIED</t>
  </si>
  <si>
    <t>GOLDEN OAK UNION</t>
  </si>
  <si>
    <t>HAPPY VALLEY ELEMENTARY</t>
  </si>
  <si>
    <t>MAGNOLIA ELEMENTARY</t>
  </si>
  <si>
    <t>MOUNTAIN  ELEMENTARY</t>
  </si>
  <si>
    <t>OAK GROVE UNION</t>
  </si>
  <si>
    <t>SAN ARDO UNION ELEMENTARY</t>
  </si>
  <si>
    <t>CLEAR CREEK ELEMENTARY</t>
  </si>
  <si>
    <t>FALL RIVER JOINT UNIFIED</t>
  </si>
  <si>
    <t>GRIDLEY UNIFIED (GRIDLEY UNION HIGH)</t>
  </si>
  <si>
    <t>PENRYN ELEMENTARY</t>
  </si>
  <si>
    <t>PRINCETON JOINT UNIFIED</t>
  </si>
  <si>
    <t>WESTERN CHRISTIAN</t>
  </si>
  <si>
    <t>WOODLAKE UNION HIGH</t>
  </si>
  <si>
    <t>HANFORD JOINT UNION HIGH</t>
  </si>
  <si>
    <t>CHAMINADE COLLEGE PREPARATORY</t>
  </si>
  <si>
    <t>ST. JOHN/BAPTIST CATHOLIC</t>
  </si>
  <si>
    <t xml:space="preserve">STOCKTON UNIFIED </t>
  </si>
  <si>
    <t>CAPISTRANO UNIFIED SCHOOL DISTRICT</t>
  </si>
  <si>
    <t>DEL MAR UNION SCHOOL DISTRICT</t>
  </si>
  <si>
    <t>APPLE VALLEY UNIFIED</t>
  </si>
  <si>
    <t>BARSTOW UNIFIED</t>
  </si>
  <si>
    <t>KERMAN UNIFIED SCHOOL DISTRICT</t>
  </si>
  <si>
    <t>LATROBE SCHOOL DISTRICT</t>
  </si>
  <si>
    <t>MIDDLETOWN  UNIFIED SCHOOL DISTRICT</t>
  </si>
  <si>
    <t>PINER-OLIVET UNION</t>
  </si>
  <si>
    <t>RIO LINDA UNION</t>
  </si>
  <si>
    <t>TORRANCE UNIFIED</t>
  </si>
  <si>
    <t>ANTELOPE VALLEY UNION</t>
  </si>
  <si>
    <t>CUTTEN ELEMENTARY SCHOOL DISTRICT</t>
  </si>
  <si>
    <t>NORTHERN HUMBOLDT UNION</t>
  </si>
  <si>
    <t>WILLITS UNIFIED SCHOOL</t>
  </si>
  <si>
    <t>MONTEREY PENINSULA UNIFIED SCHOOL DISTRICT</t>
  </si>
  <si>
    <t>MURRIETA VALLEY UNITFIED SCHOOL DISTRICT</t>
  </si>
  <si>
    <t>EL MONTE CITY SCHOOL DISTRICT</t>
  </si>
  <si>
    <t>LOS ANGELES UNIFIED</t>
  </si>
  <si>
    <t>BRITTAIN SCHOOL</t>
  </si>
  <si>
    <t>COLFAX ELEMENTARY SCHOOL</t>
  </si>
  <si>
    <t>ANDERSON UNION HIGH SCHOOL</t>
  </si>
  <si>
    <t>EVERGREEN UNIFIED SCHOOL DISTRICT</t>
  </si>
  <si>
    <t>SCOTTS VALLEY UNIFIED SCHOOL DISTRICT</t>
  </si>
  <si>
    <t>SANTA MARIA BONITA UNIFIED SCHOOL</t>
  </si>
  <si>
    <t>BENICIA UNIFIED</t>
  </si>
  <si>
    <t>LOOMIS UNION UNIFIED SCHOOL</t>
  </si>
  <si>
    <t>GOLDEN VALLEY UNIFIED SCHOOL DISTRICT</t>
  </si>
  <si>
    <t>TAFT CITY SCHOOL DISTRICT</t>
  </si>
  <si>
    <t>SCOTT VALLEY UNIFIED SCHOOL DISTRICT</t>
  </si>
  <si>
    <t>LOMA PRIETA JOINT UNION SCHOOL DISTRICT</t>
  </si>
  <si>
    <t>FAIRFIELD-SUISUN UNIFIED SCHOOL DISTRICT</t>
  </si>
  <si>
    <t>PLACER HILLS UNION SCHOOL DISTRICT</t>
  </si>
  <si>
    <t>WINTERS JOINT UNIFIED SCHOOL DISTRICT</t>
  </si>
  <si>
    <t>REDWOOD CITY UNIFIED SCHOOL DISTRICT</t>
  </si>
  <si>
    <t>ECAA-Ed</t>
  </si>
  <si>
    <t>PITTSBURG UNIFIED SCHOOL DISTRICT</t>
  </si>
  <si>
    <t>TULARE CITY SCHOOL DISTRICT</t>
  </si>
  <si>
    <t>KERN COMMUNITY COLLEGE DISTRICT</t>
  </si>
  <si>
    <t>YUBA COMMUNTIY COLLEGE DISTRICT</t>
  </si>
  <si>
    <t>CAMPBELL UNIFIED SCHOOL DISTRICT - ROSEMARY ELEMENTARY</t>
  </si>
  <si>
    <t>CAMPBELL UNIFIED SCHOOL DISTRICT -  ROLLING HILLS MIDDLE SCHOOL</t>
  </si>
  <si>
    <t>CAMPBELL UNIFIED SCHOOL DISTRICT -  MARSHALL LANE ELEMENTARY</t>
  </si>
  <si>
    <t>CAMPBELL UNIFIED SCHOOL DISTRICT -  LYNHAVEN ELEMENTARY</t>
  </si>
  <si>
    <t>CAMPBELL UNIFIED SCHOOL DISTRICT -  FOREST HILL ELEMENTARY</t>
  </si>
  <si>
    <t>CAMPBELL UNIFIED SCHOOL DISTRICT -  CASTLEMONT ELEMENTARY</t>
  </si>
  <si>
    <t>CAMPBELL UNIFIED SCHOOL DISTRICT -  BLACKFORD ELEMENTARY</t>
  </si>
  <si>
    <t>CAMPBELL UNIFIED SCHOOL DISTRICT -  SHERMAN OAKS ELEMENTARY</t>
  </si>
  <si>
    <t>CAMPBELL UNIFIED SCHOOL DISTRICT -  MONROE MIDDLE SCHOOL</t>
  </si>
  <si>
    <t>CAMPBELL UNIFIED SCHOOL DISTRICT -  CAPRI ELEMENTARY AND VILLAGE SCHOOL</t>
  </si>
  <si>
    <t>CAMPBELL UNIFIED SCHOOL DISTRICT -  CAMPBELL MIDDLE SCHOOL AND CORPORTAE YARD</t>
  </si>
  <si>
    <t>NEWPORT MESA UNIFIED SCHOOL DISTRICT</t>
  </si>
  <si>
    <t>CHICO UNIFIED SCHOOL DISTRICT</t>
  </si>
  <si>
    <t>SYLVAN UNIION SCHOOL DISTRICT</t>
  </si>
  <si>
    <t>SALIDA UNION SCHOOL DISTRICT</t>
  </si>
  <si>
    <t>MONTAGUE ELEMENTARY SCHOOL DISTRICT</t>
  </si>
  <si>
    <t>DURHAM UNIFIED SCHOOL DISTRICT</t>
  </si>
  <si>
    <t>VISTA DEL MAR UNION SCHOOL DISTRICT</t>
  </si>
  <si>
    <t>OROVILLE UNION HIGH SCHOOL DISTRICT</t>
  </si>
  <si>
    <t>SOLEDAD UNIFIED SCHOOL DISTRICT</t>
  </si>
  <si>
    <t>BENICIA UNIFIED SCHOOL DISTRICT</t>
  </si>
  <si>
    <t>WOODLAKE UNIFIED SCHOOL DISTRICT</t>
  </si>
  <si>
    <t>WATERFORD UNIFIED SCHOOL DISTRICT</t>
  </si>
  <si>
    <t>SUBTOTAL SCHOOLS</t>
  </si>
  <si>
    <t>COLLEGES</t>
  </si>
  <si>
    <t>COLLEGE OF THE CANYONS</t>
  </si>
  <si>
    <t>GOLDEN WEST COLLEGE</t>
  </si>
  <si>
    <t>MERCED COLLEGE</t>
  </si>
  <si>
    <t>OHLONE COLLEGE</t>
  </si>
  <si>
    <t>ORANGE COAST COLLEGE</t>
  </si>
  <si>
    <t>SIERRA COLLEGE</t>
  </si>
  <si>
    <t>YUBA CCD</t>
  </si>
  <si>
    <t>ALLAN HANCOCK JOINT CCD</t>
  </si>
  <si>
    <t>COAST CCD</t>
  </si>
  <si>
    <t>COLLEGE OF THE REDWOODS</t>
  </si>
  <si>
    <t>GROSSMONT COLLEGE</t>
  </si>
  <si>
    <t>KERN CCD</t>
  </si>
  <si>
    <t>MARIN ACADEMY</t>
  </si>
  <si>
    <t>PERALTA CCD</t>
  </si>
  <si>
    <t>SAN LUIS OBISPO CCD</t>
  </si>
  <si>
    <t>SHASTA COLLEGE</t>
  </si>
  <si>
    <t>ST MARYS COLLEGE OF CALIFORNIA</t>
  </si>
  <si>
    <t>CERRITOS CCD</t>
  </si>
  <si>
    <t>LONG BEACH CCD</t>
  </si>
  <si>
    <t>STANFORD UNIVERSITY</t>
  </si>
  <si>
    <t>SADDLEBACK COMMUNITY COLLEGE</t>
  </si>
  <si>
    <t>CABRILLO COMMUNITY COLLEGE</t>
  </si>
  <si>
    <t>PATTON COLLEGE</t>
  </si>
  <si>
    <t>UNIVERSITY OF JUDAISM</t>
  </si>
  <si>
    <t>FREMONT NEWARK CD</t>
  </si>
  <si>
    <t>MIRA COSTA CCD</t>
  </si>
  <si>
    <t>CHAPMAN COLLEGE/UNIVERSITY</t>
  </si>
  <si>
    <t>PACIFIC LUTHERAN THEOLOGICAL SEMINARY</t>
  </si>
  <si>
    <t>WEST HILLS CCD</t>
  </si>
  <si>
    <t>YOSEMITE CCD</t>
  </si>
  <si>
    <t>SAN BERNARDINO CCD</t>
  </si>
  <si>
    <t>DESERT CCD</t>
  </si>
  <si>
    <t>THE REGENTS OF THE UNIV OF CA</t>
  </si>
  <si>
    <t>WEST VALLEY- MISSION CCD</t>
  </si>
  <si>
    <t>DESERT CCD-1</t>
  </si>
  <si>
    <t>SISKIYOU JT CCD</t>
  </si>
  <si>
    <t>UC SANTA BARBARA</t>
  </si>
  <si>
    <t>FULLER THEOLOGICAL SEMINARY</t>
  </si>
  <si>
    <t>MT. SAN ANTONIO COLLEGE</t>
  </si>
  <si>
    <t>ANTELOPE VALLEY CCD</t>
  </si>
  <si>
    <t>LOS ANGELES CCD</t>
  </si>
  <si>
    <t>SIERRA JOINT COMMUNITY COLLEGE DISTRICT</t>
  </si>
  <si>
    <t>SOUTHWESTERN CCD</t>
  </si>
  <si>
    <t>STATE CENTER CCD</t>
  </si>
  <si>
    <t>CHABOT LAS POSITAS CCD</t>
  </si>
  <si>
    <t>LOYOLA MARYMOUNT UNIVERSITY</t>
  </si>
  <si>
    <t>LOS ANGELES  PIERCE COLLEGE</t>
  </si>
  <si>
    <t>CLAREMONT GRADUATE UNIVERSITY</t>
  </si>
  <si>
    <t>IRVINE VALLEY COLLEGE</t>
  </si>
  <si>
    <t>SANTA BARBARA CITY COLLEGE</t>
  </si>
  <si>
    <t>SHASTA-TEHAMA-TRINITY JOINT CCD</t>
  </si>
  <si>
    <t>BUTTE GLENN COMMUNITY COLLEGE DISTRICT</t>
  </si>
  <si>
    <t>YUBA COMMUNITY COLLEGE DISTRICT</t>
  </si>
  <si>
    <t>SANTA BARBARA COMMUNITY COLLEGE DISTRICT</t>
  </si>
  <si>
    <t>CALIFORNIA POLYTECHNIC STATE UNIVERSITY</t>
  </si>
  <si>
    <t>HARTNELL COMMUNITY COLLEGE DISTRICT</t>
  </si>
  <si>
    <t>SEQUOIAS COMMUNITY COLLEGE DISTRICT</t>
  </si>
  <si>
    <t>SUBTOTAL COLLEGES</t>
  </si>
  <si>
    <t>SPECIAL DISTRICTS</t>
  </si>
  <si>
    <t>MURRIETA COUNTY WATER DISTRICT</t>
  </si>
  <si>
    <t>SONOMA  VALLEY COUNTY SANITATION</t>
  </si>
  <si>
    <t>SAN MATEO CO. HARBOR DISTRICT</t>
  </si>
  <si>
    <t>HUMBOLDT BAY MUNICIPAL WATER DISTRICT</t>
  </si>
  <si>
    <t>DELANO- EARLIMART IRRIGATION DISTRICT</t>
  </si>
  <si>
    <t>SAN JUAN WATER DISTRICT</t>
  </si>
  <si>
    <t>EAST BAY MUNICIPAL UTILITY DISTRICT</t>
  </si>
  <si>
    <t>SUTTER EXTENSION WATER DISTRICT</t>
  </si>
  <si>
    <t>MOJAVE DESERT AIR QUALITY MANAGEMENT DISTRICT</t>
  </si>
  <si>
    <t>SAN ELIJO JOINT POWERS AUTHORITY</t>
  </si>
  <si>
    <t>MCKINLEYVILLE COMMUNITY SERVICES DISTRICT</t>
  </si>
  <si>
    <t>NORTH COUNTY FIRE PROTECTION DISTRICT</t>
  </si>
  <si>
    <t>LAMONT PUBLIC UTILITY DISTRICT</t>
  </si>
  <si>
    <t>EASTERN CONTRA COSTA TRANSIT AUTHORITY</t>
  </si>
  <si>
    <t>NORTH NET TRAINING AUTHORITY</t>
  </si>
  <si>
    <t>SUBTOTAL SPECIAL DISTRICTS</t>
  </si>
  <si>
    <t>PUBLIC CARE &amp; HOSPITALS</t>
  </si>
  <si>
    <t>EASTER SEAL SOCIETY</t>
  </si>
  <si>
    <t>ESKATON AMERICAN RIVER HEALTH CARE CENTER</t>
  </si>
  <si>
    <t>GLENDALE ADVENTIST MEDICAL CENTER</t>
  </si>
  <si>
    <t>HOLY CROSS HOSPITAL</t>
  </si>
  <si>
    <t>JOHN MUIR MEMORIAL HOSPITAL</t>
  </si>
  <si>
    <t>MERCY  HOSPITAL AND MEDICAL CENTER</t>
  </si>
  <si>
    <t>MT SHASTA COMMUNITY HOSPITAL</t>
  </si>
  <si>
    <t>SAN JOSE MEDICAL CENTER</t>
  </si>
  <si>
    <t>ST ELIZABETH COMMUNITY HOSPITAL</t>
  </si>
  <si>
    <t>WOODLAND MEMORIAL HOSPITAL</t>
  </si>
  <si>
    <t>CHULA VISTA COMMUNITY HOSPITAL</t>
  </si>
  <si>
    <t>CO. OF FRESNO VALLEY MEDICAL CENTER</t>
  </si>
  <si>
    <t>EASTERN PLUMAS DIST HOSPITAL</t>
  </si>
  <si>
    <t>FRENCH HOSPITAL MEDICAL CENTER</t>
  </si>
  <si>
    <t>GROSSMONT DISTRICT HOSPITAL</t>
  </si>
  <si>
    <t>PACIFIC MEDICAL CENTER</t>
  </si>
  <si>
    <t>PLUMAS HOSPITAL DISTRICT</t>
  </si>
  <si>
    <t>SAINT FRANCES MEMORIAL HOSPITAL</t>
  </si>
  <si>
    <t>SAINT JOSEPH MEDICAL CENTER</t>
  </si>
  <si>
    <t>SAN BERNARDINO CO. MED CENTER</t>
  </si>
  <si>
    <t>VERDUGO HILLS HOSPITAL</t>
  </si>
  <si>
    <t>YOLO GENERAL HOSPITAL</t>
  </si>
  <si>
    <t>ADVENTIST HEALTH SYSTEMS - WEST</t>
  </si>
  <si>
    <t>SCRIPPS MEMORIAL HOSPITAL</t>
  </si>
  <si>
    <t>SCRIPPS CLINIC &amp;  RESEARCH FACILITY</t>
  </si>
  <si>
    <t>TAHOE FOREST HOSPITAL DISTRICT</t>
  </si>
  <si>
    <t>MONTEREY COUNTY NATIVIDAD MED CTR</t>
  </si>
  <si>
    <t>VALLEY MEMORIAL HOSPITAL</t>
  </si>
  <si>
    <t>CHILDRENS HOSPITAL</t>
  </si>
  <si>
    <t>HIGHLAND HOSP/CO OF ALAMEDA</t>
  </si>
  <si>
    <t>COMMUNITY HOSPITALS OF CENTRAL CA</t>
  </si>
  <si>
    <t>SACRED HEART HOSPITAL</t>
  </si>
  <si>
    <t>SAN DIEGO HOSP ASSOC/ SHARP MEMORIAL</t>
  </si>
  <si>
    <t>SELMA DISTRICT HOSPITAL</t>
  </si>
  <si>
    <t>MERCED COMMUNITY MEDICAL CENTER</t>
  </si>
  <si>
    <t>CHILDHELP USA</t>
  </si>
  <si>
    <t>FOOTHILL PRESBYTERIAN HOSPITAL</t>
  </si>
  <si>
    <t>INTER-COMMUNITY MED. CNTR.INC</t>
  </si>
  <si>
    <t>BEAR VALLEY COMMUNITY HOSPITAL DISTRICT</t>
  </si>
  <si>
    <t>DAMERON HOSPITAL</t>
  </si>
  <si>
    <t>O CONNOR HOSPITAL</t>
  </si>
  <si>
    <t>SIERRA VIEW DISTRICT HOSPITAL</t>
  </si>
  <si>
    <t>ST. JOSEPH HEALTH SYSTEM</t>
  </si>
  <si>
    <t>WASHINGTON TOWNSHIP HOSPITAL</t>
  </si>
  <si>
    <t>UNITED CEREBRAL PALSY ASSOCIATION</t>
  </si>
  <si>
    <t>CA DEPT OF MENTAL HEALTH (NAPA)</t>
  </si>
  <si>
    <t>CA DEPT OF MENTAL HEALTH (PATTON)</t>
  </si>
  <si>
    <t>GATEWAY HOSP/MENTAL CENTER</t>
  </si>
  <si>
    <t>CA DEPT OF MENTAL HEALTH (METRO)</t>
  </si>
  <si>
    <t>CA DEPT OF CORRECTION AND REHABILITATION</t>
  </si>
  <si>
    <t>SONOMA  VALLEY HEALTH CARE DISTRICT</t>
  </si>
  <si>
    <t>CALIFORNIA DEPT OF CORRECTION AND REHABILITATION</t>
  </si>
  <si>
    <t>DELTA DIABLO SANITATION DISTRICT</t>
  </si>
  <si>
    <t>SUBTOTAL PUBLIC CARE &amp; HOSPITALS</t>
  </si>
  <si>
    <t>Solar Y/N</t>
  </si>
  <si>
    <t>kWh savings</t>
  </si>
  <si>
    <t>Therm Savings</t>
  </si>
  <si>
    <t>Therm Price</t>
  </si>
  <si>
    <t>kwh Price</t>
  </si>
  <si>
    <t>$ saved</t>
  </si>
  <si>
    <t>Assumption</t>
  </si>
  <si>
    <t>Decay inputs:</t>
  </si>
  <si>
    <t>Weighting</t>
  </si>
  <si>
    <t>EUL</t>
  </si>
  <si>
    <t>HVAC Equipment</t>
  </si>
  <si>
    <t>Note: These weightings are from Prop 39 data.  Feel free to change them if you have program-specific data to support the change.  We can also update the categories and EULs as necessary but we should make that decision as a team, not at the individual program level.  Assumption for decay is that savings decay by 50% after each EUL period (50% decay after 1 EUL period. 75% after 2, 87.5% after 3, etc.).  Decay maxes out at 93.75% after 4 EUL periods.</t>
  </si>
  <si>
    <t>HVAC Control Equipment</t>
  </si>
  <si>
    <t>HVAC Control Operations</t>
  </si>
  <si>
    <t>Lighting Equipment</t>
  </si>
  <si>
    <t>Lighting Control</t>
  </si>
  <si>
    <t>Other</t>
  </si>
  <si>
    <t>Total</t>
  </si>
  <si>
    <t>Incremental savings by Year:</t>
  </si>
  <si>
    <t>Electricity (GWh)</t>
  </si>
  <si>
    <t>Manually Entered Value</t>
  </si>
  <si>
    <t>Automatic Calculation</t>
  </si>
  <si>
    <t>Decay-adjusted Values</t>
  </si>
  <si>
    <t>Cumulative</t>
  </si>
  <si>
    <t>Gas (MM Therms)</t>
  </si>
  <si>
    <t>Cumulative Savings (MM Therms)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</si>
  <si>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</si>
  <si>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</si>
  <si>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</si>
  <si>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</si>
  <si>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</si>
  <si>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</si>
  <si>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</si>
  <si>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</si>
  <si>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</si>
  <si>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</si>
  <si>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</si>
  <si>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</si>
  <si>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</si>
  <si>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</si>
  <si>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</si>
  <si>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</si>
  <si>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</si>
  <si>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</si>
  <si>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</si>
  <si>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</si>
  <si>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</si>
  <si>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</si>
  <si>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</si>
  <si>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 xml:space="preserve">This tab contains the raw data and processed data that contributed to the analysis. </t>
  </si>
  <si>
    <t>Acronym Definition</t>
  </si>
  <si>
    <t>Definition</t>
  </si>
  <si>
    <t xml:space="preserve">Gigawatt hours </t>
  </si>
  <si>
    <t>Million therms</t>
  </si>
  <si>
    <t>SB 350</t>
  </si>
  <si>
    <t>Senate Bill 350</t>
  </si>
  <si>
    <t>AAEE</t>
  </si>
  <si>
    <t>AAEE is defined as energy savings not yet considered committed but deemed likely to occur, including future updates of building codes, appliance regulations, and utility efficiency programs</t>
  </si>
  <si>
    <t>Single family and multi-family buildings</t>
  </si>
  <si>
    <t>Non-residential</t>
  </si>
  <si>
    <t xml:space="preserve">Commercial and public buildings, excluding industrial and agriculture. </t>
  </si>
  <si>
    <t>Program Information</t>
  </si>
  <si>
    <t>Category</t>
  </si>
  <si>
    <t>Data Sources</t>
  </si>
  <si>
    <t>Savings Allocation by Sector</t>
  </si>
  <si>
    <t>Savings Overlap Assumptions</t>
  </si>
  <si>
    <t>Utility Savings Overlap</t>
  </si>
  <si>
    <t>4% assuming the same overlap percentage as Proposition 39</t>
  </si>
  <si>
    <t>Demand Forecast Overlap</t>
  </si>
  <si>
    <t>Negligible</t>
  </si>
  <si>
    <t>AAEE Overlap</t>
  </si>
  <si>
    <t>Scenario Assumptions</t>
  </si>
  <si>
    <t>Reference Case</t>
  </si>
  <si>
    <t>Conservative Case</t>
  </si>
  <si>
    <t>Aggressive Case</t>
  </si>
  <si>
    <t>Scenario:</t>
  </si>
  <si>
    <t>All</t>
  </si>
  <si>
    <t>Scenario</t>
  </si>
  <si>
    <t>Cumulative Energy Savings Potential - Electricity</t>
  </si>
  <si>
    <t>Aggressive</t>
  </si>
  <si>
    <t>Cumulative Energy Savings Potential - Gas</t>
  </si>
  <si>
    <t xml:space="preserve">Residential </t>
  </si>
  <si>
    <t>Combined</t>
  </si>
  <si>
    <t>Step 1</t>
  </si>
  <si>
    <t>First-Year Savings</t>
  </si>
  <si>
    <t>Assumption:</t>
  </si>
  <si>
    <t>No overlap, full savings potential</t>
  </si>
  <si>
    <t>Step 2</t>
  </si>
  <si>
    <t>First-Year Savings minus Renewable Energy</t>
  </si>
  <si>
    <t>Step 3</t>
  </si>
  <si>
    <t>Assume Prop 39 overlap</t>
  </si>
  <si>
    <t>Step 4</t>
  </si>
  <si>
    <t>First-Year Savings minus Utility Overlap</t>
  </si>
  <si>
    <t>Appendix A11 - ECAA Financing</t>
  </si>
  <si>
    <t>ECAA Transfers In &amp; Out</t>
  </si>
  <si>
    <t>(In Thousands)</t>
  </si>
  <si>
    <t>Seed Money Into ECAA</t>
  </si>
  <si>
    <t>AB 900</t>
  </si>
  <si>
    <t>General Fund</t>
  </si>
  <si>
    <t>AB 29X</t>
  </si>
  <si>
    <t>Budget Act of 1993</t>
  </si>
  <si>
    <t>ERPA</t>
  </si>
  <si>
    <t xml:space="preserve">ARRA </t>
  </si>
  <si>
    <t>(originally allocated $25M but only spent $19,490, the rest went to other ARRA projects)</t>
  </si>
  <si>
    <t>RRTF</t>
  </si>
  <si>
    <t>(originally allocated $25M but only spent $18,332, the rest went back to RRTF)</t>
  </si>
  <si>
    <t>ECAA-Ed 2013/14</t>
  </si>
  <si>
    <t>($28M allocated to ECAA but, of that, $2.8M allocated to tech assistance, $25.2M for loans)</t>
  </si>
  <si>
    <t>ECAA-Ed 2014/15</t>
  </si>
  <si>
    <t>($91,524.33 was liquidated from Bright Schools kW contract and made available for loans)</t>
  </si>
  <si>
    <t>Total Seed Money</t>
  </si>
  <si>
    <t>Transfers Out of ECAA</t>
  </si>
  <si>
    <t xml:space="preserve">Chapter 967/90 </t>
  </si>
  <si>
    <t>Transfer to ETAP</t>
  </si>
  <si>
    <t>Transfer to ERPA</t>
  </si>
  <si>
    <t>Budget Act of 1992</t>
  </si>
  <si>
    <t>Transfer to General Fund</t>
  </si>
  <si>
    <t>FY 03/04</t>
  </si>
  <si>
    <t>Transfer to PUC for Bond</t>
  </si>
  <si>
    <t>FY 04/05</t>
  </si>
  <si>
    <t>Transfer to and from PUC for Bond</t>
  </si>
  <si>
    <t>Total Transfers Out</t>
  </si>
  <si>
    <t>Net Amount ECAA</t>
  </si>
  <si>
    <t>Program Term</t>
  </si>
  <si>
    <t>1979-Present</t>
  </si>
  <si>
    <t>Total Funding / Loan</t>
  </si>
  <si>
    <t>See "ECAA Funding" tab</t>
  </si>
  <si>
    <t>First-Year Savings beyond Demand Forecast</t>
  </si>
  <si>
    <t xml:space="preserve">This is for Senate Bill 110 and mentions that ECAA would be getting $100,000,000 (Section 26205.5(a)2) which is a lot more than is usually given to ECAA. </t>
  </si>
  <si>
    <t>Joji mentioned that it will most likely be available July 1, 2018.</t>
  </si>
  <si>
    <t>ECAA NEW FUNDING starting July 2018</t>
  </si>
  <si>
    <t>http://leginfo.legislature.ca.gov/faces/billTextClient.xhtml?bill_id=201720180SB110</t>
  </si>
  <si>
    <t xml:space="preserve">(2) The next one hundred million dollars ($100,000,000) shall be deposited into the Education Subaccount, created pursuant to Section 26227, </t>
  </si>
  <si>
    <t xml:space="preserve">for the purpose of low-interest and no-interest revolving loans and loan loss reserves for eligible projects and technical assistance on a competitive basis. </t>
  </si>
  <si>
    <t xml:space="preserve">Priority shall be given to local educational agencies based on the percentage of students eligible for free or reduced-price meals in the prior year, </t>
  </si>
  <si>
    <t xml:space="preserve">energy savings, geographic diversity, and diversity in the size of the local educational agencies’ student populations. If a local educational agency </t>
  </si>
  <si>
    <t xml:space="preserve">has a project eligible for a loan under this paragraph, the maximum loan amount for the project shall be the project cost reduced by both of the following, </t>
  </si>
  <si>
    <t xml:space="preserve">New ECAA funding expected July 2018, in the amount of $100 million distributed through an unknown period of time. </t>
  </si>
  <si>
    <t xml:space="preserve">ALL savings up to 2018 assumed to be captured in Demand Forecast with no incremental savings for SB 350. </t>
  </si>
  <si>
    <t xml:space="preserve">Beginning 2019, assume that additional funding will contribute to 10% increase in savings that is attributable to SB 350, beyond Demand Forecast. </t>
  </si>
  <si>
    <t>Same as reference case</t>
  </si>
  <si>
    <t xml:space="preserve">Beginning 2019, assume that additional funding will contribute to 30% increase in savings that is attributable to SB 350, beyond Demand Forecast. </t>
  </si>
  <si>
    <t xml:space="preserve">Assume new funding does not significantly change savings level and that all savings after 2018 will continue to be claimed by Demand Forecast. </t>
  </si>
  <si>
    <t xml:space="preserve">New ECAA funding expected July 2018, in the amount of $100 million distributed through an unknown period of time. 
ALL savings up to 2018 assumed to be captured in Demand Forecast with no incremental savings for SB 350.
Beginning 2019, assume that additional funding will contribute to 10% increase in savings that is attributable to SB 350, beyond Demand Forecast. </t>
  </si>
  <si>
    <t>Beginning 2019, assume that additional funding will contribute to 30% increase in savings that is attributable to SB 350, beyond Demand Forecast.</t>
  </si>
  <si>
    <t>Approved Loans</t>
  </si>
  <si>
    <t>Market Transformation</t>
  </si>
  <si>
    <t>Fuel Substitution</t>
  </si>
  <si>
    <t>Energy Conservation Assistance Act</t>
  </si>
  <si>
    <t>2015-2016 Project Data Workbook</t>
  </si>
  <si>
    <t xml:space="preserve">The Energy Commission has provided both high-level and measure-level product data for the past two years.  </t>
  </si>
  <si>
    <t>ECAA Program Loans Website</t>
  </si>
  <si>
    <t>This resource provides a little background information on the ECAA program, as well as county by county data concerning loan information.  Data are also available at the project level for loan amount, cost savings, electricity savings and natural gas savings at the project level, dating back to the year 2000.</t>
  </si>
  <si>
    <t xml:space="preserve">Assume new funding does not significantly change savings level and that all savings from 2015 through 2029 will continue to be claimed by Demand Forecast. </t>
  </si>
  <si>
    <t>Raw Annual Data</t>
  </si>
  <si>
    <t>Raw Measure Data</t>
  </si>
  <si>
    <t>Historical Loan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</si>
</sst>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quot;$&quot;#,##0.00"/>
    <numFmt numFmtId="168" formatCode="mm/dd/yy;@"/>
    <numFmt numFmtId="169" formatCode="_(&quot;$&quot;* #,##0_);_(&quot;$&quot;* \(#,##0\);_(&quot;$&quot;* &quot;-&quot;??_);_(@_)"/>
    <numFmt numFmtId="170" formatCode="_(* #,##0.000000_);_(* \(#,##0.000000\);_(* &quot;-&quot;??_);_(@_)"/>
    <numFmt numFmtId="171" formatCode="0.000"/>
    <numFmt numFmtId="172" formatCode="[$-F800]dddd\,\ mmmm\ dd\,\ yyyy"/>
    <numFmt numFmtId="173" formatCode="_(* #,##0.0_);_(* \(#,##0.0\);_(* &quot;-&quot;??_);_(@_)"/>
  </numFmts>
  <fonts count="41"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0"/>
      <name val="Arial"/>
      <family val="2"/>
    </font>
    <font>
      <sz val="8"/>
      <name val="Arial"/>
      <family val="2"/>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b/>
      <sz val="14"/>
      <color rgb="FF0070C0"/>
      <name val="Calibri"/>
      <family val="2"/>
      <scheme val="minor"/>
    </font>
    <font>
      <sz val="9"/>
      <color indexed="81"/>
      <name val="Tahoma"/>
      <family val="2"/>
    </font>
    <font>
      <b/>
      <sz val="9"/>
      <color indexed="81"/>
      <name val="Tahoma"/>
      <family val="2"/>
    </font>
    <font>
      <b/>
      <sz val="16"/>
      <name val="Arial"/>
      <family val="2"/>
    </font>
    <font>
      <sz val="16"/>
      <name val="Arial"/>
      <family val="2"/>
    </font>
    <font>
      <sz val="10"/>
      <name val="Arial"/>
      <family val="2"/>
    </font>
    <font>
      <b/>
      <sz val="8"/>
      <name val="Arial"/>
      <family val="2"/>
    </font>
    <font>
      <sz val="10"/>
      <color indexed="8"/>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rgb="FFFF0000"/>
      <name val="Arial"/>
      <family val="2"/>
    </font>
    <font>
      <sz val="10"/>
      <color theme="0" tint="-0.499984740745262"/>
      <name val="Calibri"/>
      <family val="2"/>
      <scheme val="minor"/>
    </font>
    <font>
      <sz val="12"/>
      <color theme="1"/>
      <name val="Calibri"/>
      <family val="2"/>
      <scheme val="minor"/>
    </font>
    <font>
      <b/>
      <sz val="14"/>
      <name val="Arial"/>
      <family val="2"/>
    </font>
    <font>
      <sz val="11"/>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u/>
      <sz val="9"/>
      <color theme="10"/>
      <name val="Calibri"/>
      <family val="2"/>
      <scheme val="minor"/>
    </font>
    <font>
      <b/>
      <sz val="10"/>
      <name val="Calibri"/>
      <family val="2"/>
      <scheme val="minor"/>
    </font>
    <font>
      <sz val="10"/>
      <name val="Calibri"/>
      <family val="2"/>
      <scheme val="minor"/>
    </font>
    <font>
      <u/>
      <sz val="11"/>
      <color theme="10"/>
      <name val="Calibri"/>
      <family val="2"/>
      <scheme val="minor"/>
    </font>
    <font>
      <b/>
      <sz val="10"/>
      <color rgb="FFFF0000"/>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5" tint="0.59999389629810485"/>
        <bgColor rgb="FFC0C0C0"/>
      </patternFill>
    </fill>
    <fill>
      <patternFill patternType="solid">
        <fgColor theme="0"/>
        <bgColor indexed="64"/>
      </patternFill>
    </fill>
    <fill>
      <patternFill patternType="solid">
        <fgColor theme="8" tint="0.79998168889431442"/>
        <bgColor rgb="FFC0C0C0"/>
      </patternFill>
    </fill>
    <fill>
      <patternFill patternType="solid">
        <fgColor theme="7"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
    <xf numFmtId="0" fontId="0" fillId="0" borderId="0"/>
    <xf numFmtId="44" fontId="5" fillId="0" borderId="0" applyFont="0" applyFill="0" applyBorder="0" applyAlignment="0" applyProtection="0"/>
    <xf numFmtId="43" fontId="17" fillId="0" borderId="0" applyFont="0" applyFill="0" applyBorder="0" applyAlignment="0" applyProtection="0">
      <alignment wrapText="1"/>
    </xf>
    <xf numFmtId="44" fontId="17" fillId="0" borderId="0" applyFont="0" applyFill="0" applyBorder="0" applyAlignment="0" applyProtection="0">
      <alignment wrapText="1"/>
    </xf>
    <xf numFmtId="43" fontId="17" fillId="0" borderId="0" applyFont="0" applyFill="0" applyBorder="0" applyAlignment="0" applyProtection="0">
      <alignment wrapText="1"/>
    </xf>
    <xf numFmtId="0" fontId="17" fillId="0" borderId="0">
      <alignment wrapText="1"/>
    </xf>
    <xf numFmtId="9"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36" fillId="0" borderId="0" applyNumberFormat="0" applyFill="0" applyBorder="0" applyAlignment="0" applyProtection="0"/>
    <xf numFmtId="0" fontId="17" fillId="0" borderId="0"/>
    <xf numFmtId="0" fontId="17" fillId="0" borderId="0"/>
    <xf numFmtId="0" fontId="5" fillId="0" borderId="0"/>
    <xf numFmtId="0" fontId="5" fillId="0" borderId="0"/>
    <xf numFmtId="9" fontId="17" fillId="0" borderId="0" applyFont="0" applyFill="0" applyBorder="0" applyAlignment="0" applyProtection="0"/>
    <xf numFmtId="9" fontId="17" fillId="0" borderId="0" applyFont="0" applyFill="0" applyBorder="0" applyAlignment="0" applyProtection="0"/>
    <xf numFmtId="0" fontId="39" fillId="0" borderId="0" applyNumberFormat="0" applyFill="0" applyBorder="0" applyAlignment="0" applyProtection="0"/>
  </cellStyleXfs>
  <cellXfs count="405">
    <xf numFmtId="0" fontId="0" fillId="0" borderId="0" xfId="0"/>
    <xf numFmtId="0" fontId="3" fillId="0" borderId="0" xfId="0" applyFont="1"/>
    <xf numFmtId="0" fontId="0" fillId="0" borderId="0" xfId="0" applyFont="1"/>
    <xf numFmtId="0" fontId="0" fillId="0" borderId="0" xfId="0" applyBorder="1"/>
    <xf numFmtId="0" fontId="0" fillId="0" borderId="0" xfId="0" applyAlignment="1">
      <alignment wrapText="1"/>
    </xf>
    <xf numFmtId="0" fontId="8" fillId="0" borderId="0" xfId="0" applyFont="1"/>
    <xf numFmtId="0" fontId="4" fillId="0" borderId="0" xfId="0" applyFont="1" applyAlignment="1">
      <alignment horizontal="left"/>
    </xf>
    <xf numFmtId="0" fontId="9" fillId="0" borderId="0" xfId="0" applyFont="1"/>
    <xf numFmtId="0" fontId="0" fillId="0" borderId="0" xfId="0" applyFont="1" applyFill="1" applyBorder="1"/>
    <xf numFmtId="0" fontId="10" fillId="0" borderId="0" xfId="0" applyFont="1"/>
    <xf numFmtId="0" fontId="16" fillId="0" borderId="0" xfId="0" applyFont="1" applyFill="1" applyBorder="1" applyAlignment="1"/>
    <xf numFmtId="14" fontId="17" fillId="0" borderId="0" xfId="0" applyNumberFormat="1" applyFont="1" applyFill="1" applyBorder="1" applyAlignment="1">
      <alignment horizontal="left"/>
    </xf>
    <xf numFmtId="0" fontId="17" fillId="0" borderId="0" xfId="0" applyNumberFormat="1" applyFont="1" applyFill="1" applyBorder="1" applyAlignment="1">
      <alignment horizontal="center"/>
    </xf>
    <xf numFmtId="0" fontId="17" fillId="0" borderId="0" xfId="0" applyFont="1" applyFill="1" applyBorder="1" applyAlignment="1"/>
    <xf numFmtId="166" fontId="17" fillId="0" borderId="0" xfId="0" applyNumberFormat="1" applyFont="1" applyFill="1" applyBorder="1" applyAlignment="1"/>
    <xf numFmtId="3" fontId="17" fillId="0" borderId="0" xfId="2" applyNumberFormat="1" applyFont="1" applyFill="1" applyBorder="1" applyAlignment="1"/>
    <xf numFmtId="3" fontId="17" fillId="0" borderId="0" xfId="0" applyNumberFormat="1" applyFont="1" applyFill="1" applyBorder="1" applyAlignment="1"/>
    <xf numFmtId="14" fontId="6" fillId="0" borderId="0" xfId="0" applyNumberFormat="1" applyFont="1" applyFill="1" applyBorder="1" applyAlignment="1">
      <alignment horizontal="left"/>
    </xf>
    <xf numFmtId="0" fontId="6" fillId="0" borderId="0" xfId="0" applyFont="1" applyFill="1" applyBorder="1" applyAlignment="1"/>
    <xf numFmtId="166" fontId="6" fillId="0" borderId="0" xfId="0" applyNumberFormat="1" applyFont="1" applyFill="1" applyBorder="1" applyAlignment="1"/>
    <xf numFmtId="3" fontId="6" fillId="0" borderId="0" xfId="2" applyNumberFormat="1" applyFont="1" applyFill="1" applyBorder="1" applyAlignment="1"/>
    <xf numFmtId="3" fontId="6" fillId="0" borderId="0" xfId="0" applyNumberFormat="1" applyFont="1" applyFill="1" applyBorder="1" applyAlignment="1"/>
    <xf numFmtId="14" fontId="6" fillId="0" borderId="8" xfId="0" applyNumberFormat="1" applyFont="1" applyFill="1" applyBorder="1" applyAlignment="1">
      <alignment horizontal="left"/>
    </xf>
    <xf numFmtId="0" fontId="6" fillId="0" borderId="9" xfId="0" applyFont="1" applyFill="1" applyBorder="1" applyAlignment="1"/>
    <xf numFmtId="0" fontId="6" fillId="0" borderId="10" xfId="0" applyNumberFormat="1" applyFont="1" applyFill="1" applyBorder="1" applyAlignment="1"/>
    <xf numFmtId="14" fontId="6" fillId="0" borderId="2" xfId="0" applyNumberFormat="1" applyFont="1" applyFill="1" applyBorder="1" applyAlignment="1">
      <alignment horizontal="left"/>
    </xf>
    <xf numFmtId="0" fontId="6" fillId="0" borderId="0" xfId="0" applyNumberFormat="1" applyFont="1" applyFill="1" applyBorder="1" applyAlignment="1">
      <alignment horizontal="center"/>
    </xf>
    <xf numFmtId="166" fontId="6" fillId="0" borderId="11" xfId="0" applyNumberFormat="1" applyFont="1" applyFill="1" applyBorder="1" applyAlignment="1"/>
    <xf numFmtId="167" fontId="6" fillId="0" borderId="0" xfId="0" applyNumberFormat="1" applyFont="1" applyFill="1" applyBorder="1" applyAlignment="1"/>
    <xf numFmtId="165" fontId="6" fillId="0" borderId="0" xfId="2" applyNumberFormat="1" applyFont="1" applyFill="1" applyBorder="1" applyAlignment="1"/>
    <xf numFmtId="3" fontId="6" fillId="0" borderId="11" xfId="0" applyNumberFormat="1" applyFont="1" applyFill="1" applyBorder="1" applyAlignment="1"/>
    <xf numFmtId="166" fontId="18" fillId="0" borderId="0" xfId="0" applyNumberFormat="1" applyFont="1" applyFill="1" applyBorder="1" applyAlignment="1"/>
    <xf numFmtId="14" fontId="6" fillId="0" borderId="4" xfId="0" applyNumberFormat="1" applyFont="1" applyFill="1" applyBorder="1" applyAlignment="1">
      <alignment horizontal="left"/>
    </xf>
    <xf numFmtId="0" fontId="6" fillId="0" borderId="3" xfId="0" applyNumberFormat="1" applyFont="1" applyFill="1" applyBorder="1" applyAlignment="1">
      <alignment horizontal="center"/>
    </xf>
    <xf numFmtId="37" fontId="6" fillId="0" borderId="12" xfId="2" applyNumberFormat="1" applyFont="1" applyFill="1" applyBorder="1" applyAlignment="1"/>
    <xf numFmtId="37" fontId="6" fillId="0" borderId="0" xfId="2" applyNumberFormat="1" applyFont="1" applyFill="1" applyBorder="1" applyAlignment="1"/>
    <xf numFmtId="14" fontId="6" fillId="2" borderId="1" xfId="0" applyNumberFormat="1" applyFont="1" applyFill="1" applyBorder="1" applyAlignment="1">
      <alignment horizontal="center" wrapText="1"/>
    </xf>
    <xf numFmtId="0" fontId="6" fillId="2" borderId="1" xfId="0" applyNumberFormat="1" applyFont="1" applyFill="1" applyBorder="1" applyAlignment="1">
      <alignment horizontal="center" wrapText="1"/>
    </xf>
    <xf numFmtId="0" fontId="6" fillId="2" borderId="1" xfId="0" applyFont="1" applyFill="1" applyBorder="1" applyAlignment="1">
      <alignment horizontal="center" wrapText="1"/>
    </xf>
    <xf numFmtId="166" fontId="6" fillId="2" borderId="1" xfId="0" applyNumberFormat="1" applyFont="1" applyFill="1" applyBorder="1" applyAlignment="1">
      <alignment horizontal="center" wrapText="1"/>
    </xf>
    <xf numFmtId="3" fontId="6" fillId="2" borderId="1" xfId="2" applyNumberFormat="1" applyFont="1" applyFill="1" applyBorder="1" applyAlignment="1" applyProtection="1">
      <alignment horizontal="center" wrapText="1"/>
    </xf>
    <xf numFmtId="3" fontId="6" fillId="4" borderId="1" xfId="2" applyNumberFormat="1" applyFont="1" applyFill="1" applyBorder="1" applyAlignment="1" applyProtection="1">
      <alignment horizontal="center" vertical="center" wrapText="1"/>
    </xf>
    <xf numFmtId="3" fontId="6" fillId="2" borderId="1" xfId="0" applyNumberFormat="1" applyFont="1" applyFill="1" applyBorder="1" applyAlignment="1" applyProtection="1">
      <alignment horizontal="center" wrapText="1"/>
    </xf>
    <xf numFmtId="0" fontId="6" fillId="0" borderId="0" xfId="0" applyFont="1" applyFill="1" applyBorder="1" applyAlignment="1">
      <alignment horizontal="center" wrapText="1"/>
    </xf>
    <xf numFmtId="14" fontId="17" fillId="0" borderId="1" xfId="0" applyNumberFormat="1" applyFont="1" applyFill="1" applyBorder="1" applyAlignment="1">
      <alignment horizontal="left" vertical="top"/>
    </xf>
    <xf numFmtId="0" fontId="17" fillId="0" borderId="1" xfId="0" applyNumberFormat="1" applyFont="1" applyFill="1" applyBorder="1" applyAlignment="1">
      <alignment horizontal="center" vertical="top"/>
    </xf>
    <xf numFmtId="0" fontId="17" fillId="0" borderId="1" xfId="0" applyFont="1" applyFill="1" applyBorder="1" applyAlignment="1">
      <alignment vertical="top"/>
    </xf>
    <xf numFmtId="166" fontId="17" fillId="0" borderId="1" xfId="0" applyNumberFormat="1" applyFont="1" applyFill="1" applyBorder="1" applyAlignment="1">
      <alignment vertical="top"/>
    </xf>
    <xf numFmtId="3" fontId="17" fillId="0" borderId="1" xfId="2" applyNumberFormat="1" applyFont="1" applyFill="1" applyBorder="1" applyAlignment="1" applyProtection="1">
      <alignment horizontal="right" vertical="center" wrapText="1"/>
    </xf>
    <xf numFmtId="3" fontId="17" fillId="0" borderId="1" xfId="0" applyNumberFormat="1" applyFont="1" applyFill="1" applyBorder="1" applyAlignment="1" applyProtection="1">
      <alignment horizontal="right" vertical="center" wrapText="1"/>
    </xf>
    <xf numFmtId="0" fontId="17" fillId="5" borderId="0" xfId="0" applyFont="1" applyFill="1" applyBorder="1" applyAlignment="1"/>
    <xf numFmtId="3" fontId="17" fillId="0" borderId="1" xfId="2" applyNumberFormat="1" applyFont="1" applyFill="1" applyBorder="1" applyAlignment="1" applyProtection="1">
      <alignment horizontal="right" vertical="center"/>
    </xf>
    <xf numFmtId="3" fontId="17" fillId="0" borderId="1" xfId="0" applyNumberFormat="1" applyFont="1" applyFill="1" applyBorder="1" applyAlignment="1" applyProtection="1">
      <alignment horizontal="right" vertical="center"/>
    </xf>
    <xf numFmtId="14" fontId="17" fillId="5" borderId="1" xfId="0" applyNumberFormat="1" applyFont="1" applyFill="1" applyBorder="1" applyAlignment="1">
      <alignment horizontal="left" vertical="top"/>
    </xf>
    <xf numFmtId="0" fontId="17" fillId="5" borderId="1" xfId="0" applyNumberFormat="1" applyFont="1" applyFill="1" applyBorder="1" applyAlignment="1">
      <alignment horizontal="center" vertical="top"/>
    </xf>
    <xf numFmtId="0" fontId="17" fillId="5" borderId="1" xfId="0" applyFont="1" applyFill="1" applyBorder="1" applyAlignment="1">
      <alignment vertical="top"/>
    </xf>
    <xf numFmtId="166" fontId="17" fillId="5" borderId="1" xfId="0" applyNumberFormat="1" applyFont="1" applyFill="1" applyBorder="1" applyAlignment="1">
      <alignment vertical="top"/>
    </xf>
    <xf numFmtId="3" fontId="17" fillId="5" borderId="1" xfId="2" applyNumberFormat="1" applyFont="1" applyFill="1" applyBorder="1" applyAlignment="1" applyProtection="1">
      <alignment horizontal="right" vertical="center" wrapText="1"/>
    </xf>
    <xf numFmtId="3" fontId="17" fillId="5" borderId="1" xfId="0" applyNumberFormat="1" applyFont="1" applyFill="1" applyBorder="1" applyAlignment="1" applyProtection="1">
      <alignment horizontal="right" vertical="center" wrapText="1"/>
    </xf>
    <xf numFmtId="167" fontId="17" fillId="0" borderId="0" xfId="0" applyNumberFormat="1" applyFont="1" applyFill="1" applyBorder="1" applyAlignment="1"/>
    <xf numFmtId="0" fontId="19" fillId="0" borderId="1" xfId="0" applyFont="1" applyFill="1" applyBorder="1" applyAlignment="1">
      <alignment wrapText="1"/>
    </xf>
    <xf numFmtId="5" fontId="19" fillId="0" borderId="1" xfId="3" applyNumberFormat="1" applyFont="1" applyFill="1" applyBorder="1" applyAlignment="1">
      <alignment wrapText="1"/>
    </xf>
    <xf numFmtId="5" fontId="0" fillId="0" borderId="1" xfId="3" applyNumberFormat="1" applyFont="1" applyFill="1" applyBorder="1" applyAlignment="1"/>
    <xf numFmtId="0" fontId="17" fillId="0" borderId="1" xfId="0" applyFont="1" applyFill="1" applyBorder="1" applyAlignment="1"/>
    <xf numFmtId="166" fontId="17" fillId="0" borderId="1" xfId="0" applyNumberFormat="1" applyFont="1" applyFill="1" applyBorder="1" applyAlignment="1"/>
    <xf numFmtId="3" fontId="17" fillId="0" borderId="1" xfId="2" applyNumberFormat="1" applyFont="1" applyFill="1" applyBorder="1" applyAlignment="1"/>
    <xf numFmtId="3" fontId="17" fillId="0" borderId="1" xfId="0" applyNumberFormat="1" applyFont="1" applyFill="1" applyBorder="1" applyAlignment="1"/>
    <xf numFmtId="0" fontId="17" fillId="0" borderId="1" xfId="0" applyFont="1" applyFill="1" applyBorder="1" applyAlignment="1">
      <alignment horizontal="left"/>
    </xf>
    <xf numFmtId="14" fontId="17" fillId="0" borderId="1" xfId="0" applyNumberFormat="1" applyFont="1" applyFill="1" applyBorder="1" applyAlignment="1">
      <alignment horizontal="left"/>
    </xf>
    <xf numFmtId="0" fontId="17" fillId="0" borderId="1" xfId="0" applyNumberFormat="1" applyFont="1" applyFill="1" applyBorder="1" applyAlignment="1">
      <alignment horizontal="center"/>
    </xf>
    <xf numFmtId="0" fontId="17" fillId="0" borderId="1" xfId="0" applyFont="1" applyFill="1" applyBorder="1" applyAlignment="1">
      <alignment wrapText="1"/>
    </xf>
    <xf numFmtId="3" fontId="17" fillId="0" borderId="1" xfId="4" applyNumberFormat="1" applyFont="1" applyFill="1" applyBorder="1" applyAlignment="1"/>
    <xf numFmtId="43" fontId="17" fillId="0" borderId="0" xfId="2" applyFont="1" applyFill="1" applyBorder="1" applyAlignment="1">
      <alignment horizontal="left"/>
    </xf>
    <xf numFmtId="43" fontId="17" fillId="0" borderId="0" xfId="2" applyFont="1" applyFill="1" applyBorder="1" applyAlignment="1"/>
    <xf numFmtId="43" fontId="17" fillId="0" borderId="0" xfId="2" applyFont="1" applyFill="1" applyBorder="1" applyAlignment="1">
      <alignment horizontal="center"/>
    </xf>
    <xf numFmtId="0" fontId="0" fillId="0" borderId="0" xfId="0" applyFont="1" applyFill="1" applyBorder="1" applyAlignment="1">
      <alignment horizontal="left"/>
    </xf>
    <xf numFmtId="0" fontId="3" fillId="0" borderId="0" xfId="0" applyFont="1" applyAlignment="1"/>
    <xf numFmtId="0" fontId="6" fillId="3" borderId="1" xfId="0" applyNumberFormat="1" applyFont="1" applyFill="1" applyBorder="1" applyAlignment="1">
      <alignment horizontal="center" wrapText="1"/>
    </xf>
    <xf numFmtId="0" fontId="6" fillId="3" borderId="1" xfId="0" applyFont="1" applyFill="1" applyBorder="1" applyAlignment="1">
      <alignment horizontal="center" wrapText="1"/>
    </xf>
    <xf numFmtId="14" fontId="6" fillId="3" borderId="1" xfId="0" applyNumberFormat="1" applyFont="1" applyFill="1" applyBorder="1" applyAlignment="1">
      <alignment horizontal="center" wrapText="1"/>
    </xf>
    <xf numFmtId="166" fontId="6" fillId="3" borderId="1" xfId="0" applyNumberFormat="1" applyFont="1" applyFill="1" applyBorder="1" applyAlignment="1">
      <alignment horizontal="center" wrapText="1"/>
    </xf>
    <xf numFmtId="3" fontId="6" fillId="3" borderId="1" xfId="2" applyNumberFormat="1" applyFont="1" applyFill="1" applyBorder="1" applyAlignment="1" applyProtection="1">
      <alignment horizontal="center" wrapText="1"/>
    </xf>
    <xf numFmtId="3" fontId="6" fillId="6" borderId="1" xfId="2" applyNumberFormat="1" applyFont="1" applyFill="1" applyBorder="1" applyAlignment="1" applyProtection="1">
      <alignment horizontal="center" wrapText="1"/>
    </xf>
    <xf numFmtId="3" fontId="6" fillId="3" borderId="1" xfId="0" applyNumberFormat="1" applyFont="1" applyFill="1" applyBorder="1" applyAlignment="1" applyProtection="1">
      <alignment horizontal="center" wrapText="1"/>
    </xf>
    <xf numFmtId="0" fontId="17" fillId="0" borderId="0" xfId="0" applyNumberFormat="1" applyFont="1" applyFill="1" applyAlignment="1">
      <alignment horizontal="center"/>
    </xf>
    <xf numFmtId="0" fontId="17" fillId="0" borderId="1" xfId="0" applyFont="1" applyFill="1" applyBorder="1" applyAlignment="1">
      <alignment horizontal="center"/>
    </xf>
    <xf numFmtId="168" fontId="17" fillId="0" borderId="1" xfId="0" applyNumberFormat="1" applyFont="1" applyFill="1" applyBorder="1" applyAlignment="1">
      <alignment horizontal="center"/>
    </xf>
    <xf numFmtId="3" fontId="17" fillId="0" borderId="1" xfId="2" applyNumberFormat="1" applyFont="1" applyFill="1" applyBorder="1" applyAlignment="1" applyProtection="1">
      <alignment horizontal="right" wrapText="1"/>
    </xf>
    <xf numFmtId="3" fontId="17" fillId="0" borderId="1" xfId="0" applyNumberFormat="1" applyFont="1" applyFill="1" applyBorder="1" applyAlignment="1" applyProtection="1">
      <alignment horizontal="right" wrapText="1"/>
    </xf>
    <xf numFmtId="0" fontId="17" fillId="0" borderId="1" xfId="0" applyNumberFormat="1" applyFont="1" applyFill="1" applyBorder="1" applyAlignment="1">
      <alignment horizontal="center" wrapText="1"/>
    </xf>
    <xf numFmtId="0" fontId="17" fillId="0" borderId="0" xfId="0" applyFont="1" applyAlignment="1">
      <alignment horizontal="center" wrapText="1"/>
    </xf>
    <xf numFmtId="0" fontId="17" fillId="0" borderId="1" xfId="0" applyFont="1" applyBorder="1" applyAlignment="1">
      <alignment horizontal="center" wrapText="1"/>
    </xf>
    <xf numFmtId="0" fontId="17"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xf>
    <xf numFmtId="0" fontId="17" fillId="0" borderId="1" xfId="0" applyFont="1" applyFill="1" applyBorder="1" applyAlignment="1">
      <alignment horizontal="center" wrapText="1"/>
    </xf>
    <xf numFmtId="0" fontId="17" fillId="0" borderId="0" xfId="0" applyNumberFormat="1" applyFont="1" applyFill="1" applyBorder="1" applyAlignment="1">
      <alignment horizontal="center" vertical="center"/>
    </xf>
    <xf numFmtId="0" fontId="7" fillId="0" borderId="9" xfId="0" applyNumberFormat="1" applyFont="1" applyFill="1" applyBorder="1" applyAlignment="1">
      <alignment horizontal="left" wrapText="1"/>
    </xf>
    <xf numFmtId="0" fontId="17" fillId="0" borderId="5" xfId="0" applyFont="1" applyFill="1" applyBorder="1" applyAlignment="1">
      <alignment horizontal="center"/>
    </xf>
    <xf numFmtId="0" fontId="17" fillId="0" borderId="5" xfId="0" applyFont="1" applyFill="1" applyBorder="1" applyAlignment="1"/>
    <xf numFmtId="14" fontId="17" fillId="0" borderId="5" xfId="0" applyNumberFormat="1" applyFont="1" applyFill="1" applyBorder="1" applyAlignment="1">
      <alignment horizontal="center"/>
    </xf>
    <xf numFmtId="0" fontId="17" fillId="0" borderId="5" xfId="0" applyFont="1" applyFill="1" applyBorder="1" applyAlignment="1">
      <alignment wrapText="1"/>
    </xf>
    <xf numFmtId="166" fontId="17" fillId="0" borderId="5" xfId="0" applyNumberFormat="1" applyFont="1" applyFill="1" applyBorder="1" applyAlignment="1"/>
    <xf numFmtId="3" fontId="17" fillId="0" borderId="5" xfId="4" applyNumberFormat="1" applyFont="1" applyFill="1" applyBorder="1" applyAlignment="1"/>
    <xf numFmtId="3" fontId="17" fillId="0" borderId="5" xfId="0" applyNumberFormat="1" applyFont="1" applyFill="1" applyBorder="1" applyAlignment="1"/>
    <xf numFmtId="168" fontId="17" fillId="0" borderId="1" xfId="0" applyNumberFormat="1" applyFont="1" applyFill="1" applyBorder="1" applyAlignment="1">
      <alignment horizontal="center" wrapText="1"/>
    </xf>
    <xf numFmtId="0" fontId="17" fillId="0" borderId="1" xfId="0" applyFont="1" applyFill="1" applyBorder="1" applyAlignment="1">
      <alignment horizontal="center" vertical="top"/>
    </xf>
    <xf numFmtId="0" fontId="17" fillId="0" borderId="0" xfId="0" applyFont="1" applyAlignment="1">
      <alignment wrapText="1"/>
    </xf>
    <xf numFmtId="0" fontId="7" fillId="0" borderId="9" xfId="0" applyNumberFormat="1" applyFont="1" applyFill="1" applyBorder="1" applyAlignment="1">
      <alignment horizontal="left"/>
    </xf>
    <xf numFmtId="3" fontId="17" fillId="0" borderId="5" xfId="2" applyNumberFormat="1" applyFont="1" applyFill="1" applyBorder="1" applyAlignment="1"/>
    <xf numFmtId="14" fontId="17" fillId="0" borderId="1" xfId="0" applyNumberFormat="1" applyFont="1" applyFill="1" applyBorder="1" applyAlignment="1">
      <alignment horizontal="center" wrapText="1"/>
    </xf>
    <xf numFmtId="0" fontId="17" fillId="0" borderId="5" xfId="0" applyNumberFormat="1" applyFont="1" applyFill="1" applyBorder="1" applyAlignment="1">
      <alignment horizontal="center"/>
    </xf>
    <xf numFmtId="0" fontId="17" fillId="0" borderId="1" xfId="0" applyFont="1" applyBorder="1" applyAlignment="1">
      <alignment wrapText="1"/>
    </xf>
    <xf numFmtId="0" fontId="7" fillId="0" borderId="1" xfId="0" applyNumberFormat="1" applyFont="1" applyFill="1" applyBorder="1" applyAlignment="1">
      <alignment horizontal="left" wrapText="1"/>
    </xf>
    <xf numFmtId="0" fontId="19" fillId="0" borderId="5" xfId="0" applyFont="1" applyFill="1" applyBorder="1" applyAlignment="1">
      <alignment wrapText="1"/>
    </xf>
    <xf numFmtId="168" fontId="17" fillId="0" borderId="5" xfId="0" applyNumberFormat="1" applyFont="1" applyFill="1" applyBorder="1" applyAlignment="1">
      <alignment horizontal="center"/>
    </xf>
    <xf numFmtId="0" fontId="17" fillId="0" borderId="5" xfId="0" applyFont="1" applyBorder="1" applyAlignment="1">
      <alignment horizontal="center" wrapText="1"/>
    </xf>
    <xf numFmtId="5" fontId="19" fillId="0" borderId="5" xfId="3" applyNumberFormat="1" applyFont="1" applyFill="1" applyBorder="1" applyAlignment="1">
      <alignment wrapText="1"/>
    </xf>
    <xf numFmtId="3" fontId="17" fillId="0" borderId="5" xfId="2" applyNumberFormat="1" applyFont="1" applyFill="1" applyBorder="1" applyAlignment="1" applyProtection="1">
      <alignment horizontal="right" wrapText="1"/>
    </xf>
    <xf numFmtId="3" fontId="17" fillId="0" borderId="5" xfId="0" applyNumberFormat="1" applyFont="1" applyFill="1" applyBorder="1" applyAlignment="1" applyProtection="1">
      <alignment horizontal="right" wrapText="1"/>
    </xf>
    <xf numFmtId="0" fontId="17" fillId="0" borderId="6" xfId="0" applyFont="1" applyFill="1" applyBorder="1" applyAlignment="1">
      <alignment horizontal="center"/>
    </xf>
    <xf numFmtId="0" fontId="0" fillId="0" borderId="1" xfId="0" applyFill="1" applyBorder="1" applyAlignment="1"/>
    <xf numFmtId="0" fontId="0" fillId="0" borderId="1" xfId="0" applyFill="1" applyBorder="1" applyAlignment="1">
      <alignment wrapText="1"/>
    </xf>
    <xf numFmtId="0" fontId="17" fillId="0" borderId="1" xfId="5" applyNumberFormat="1" applyFont="1" applyFill="1" applyBorder="1" applyAlignment="1">
      <alignment horizontal="center"/>
    </xf>
    <xf numFmtId="0" fontId="17" fillId="0" borderId="0" xfId="5" applyFont="1" applyAlignment="1">
      <alignment horizontal="center" wrapText="1"/>
    </xf>
    <xf numFmtId="0" fontId="17" fillId="0" borderId="1" xfId="5" applyFont="1" applyFill="1" applyBorder="1" applyAlignment="1">
      <alignment horizontal="center"/>
    </xf>
    <xf numFmtId="0" fontId="17" fillId="0" borderId="1" xfId="5" applyFont="1" applyFill="1" applyBorder="1" applyAlignment="1">
      <alignment wrapText="1"/>
    </xf>
    <xf numFmtId="168" fontId="17" fillId="0" borderId="1" xfId="5" applyNumberFormat="1" applyFont="1" applyFill="1" applyBorder="1" applyAlignment="1">
      <alignment horizontal="center"/>
    </xf>
    <xf numFmtId="0" fontId="17" fillId="0" borderId="1" xfId="5" applyFont="1" applyFill="1" applyBorder="1" applyAlignment="1"/>
    <xf numFmtId="166" fontId="17" fillId="0" borderId="1" xfId="5" applyNumberFormat="1" applyFont="1" applyFill="1" applyBorder="1" applyAlignment="1"/>
    <xf numFmtId="3" fontId="17" fillId="0" borderId="1" xfId="4" applyNumberFormat="1" applyFont="1" applyFill="1" applyBorder="1" applyAlignment="1" applyProtection="1">
      <alignment horizontal="right" wrapText="1"/>
    </xf>
    <xf numFmtId="3" fontId="17" fillId="0" borderId="1" xfId="5" applyNumberFormat="1" applyFont="1" applyFill="1" applyBorder="1" applyAlignment="1" applyProtection="1">
      <alignment horizontal="right" wrapText="1"/>
    </xf>
    <xf numFmtId="0" fontId="17" fillId="0" borderId="1" xfId="5" applyFont="1" applyBorder="1" applyAlignment="1">
      <alignment horizontal="center" wrapText="1"/>
    </xf>
    <xf numFmtId="0" fontId="17" fillId="0" borderId="0" xfId="5" applyNumberFormat="1" applyFont="1" applyFill="1" applyAlignment="1">
      <alignment horizontal="center"/>
    </xf>
    <xf numFmtId="0" fontId="17" fillId="0" borderId="5" xfId="5" applyFont="1" applyFill="1" applyBorder="1" applyAlignment="1">
      <alignment horizontal="center"/>
    </xf>
    <xf numFmtId="0" fontId="19" fillId="0" borderId="5" xfId="5" applyFont="1" applyFill="1" applyBorder="1" applyAlignment="1">
      <alignment wrapText="1"/>
    </xf>
    <xf numFmtId="168" fontId="17" fillId="0" borderId="5" xfId="5" applyNumberFormat="1" applyFont="1" applyFill="1" applyBorder="1" applyAlignment="1">
      <alignment horizontal="center"/>
    </xf>
    <xf numFmtId="0" fontId="7" fillId="0" borderId="9" xfId="5" applyNumberFormat="1" applyFont="1" applyFill="1" applyBorder="1" applyAlignment="1">
      <alignment horizontal="left"/>
    </xf>
    <xf numFmtId="0" fontId="17" fillId="0" borderId="5" xfId="5" applyFont="1" applyFill="1" applyBorder="1" applyAlignment="1">
      <alignment wrapText="1"/>
    </xf>
    <xf numFmtId="166" fontId="17" fillId="0" borderId="5" xfId="5" applyNumberFormat="1" applyFont="1" applyFill="1" applyBorder="1" applyAlignment="1"/>
    <xf numFmtId="3" fontId="17" fillId="0" borderId="5" xfId="4" applyNumberFormat="1" applyFont="1" applyFill="1" applyBorder="1" applyAlignment="1" applyProtection="1">
      <alignment horizontal="right" wrapText="1"/>
    </xf>
    <xf numFmtId="3" fontId="17" fillId="0" borderId="5" xfId="5" applyNumberFormat="1" applyFont="1" applyFill="1" applyBorder="1" applyAlignment="1" applyProtection="1">
      <alignment horizontal="right" wrapText="1"/>
    </xf>
    <xf numFmtId="0" fontId="17" fillId="0" borderId="0" xfId="5">
      <alignment wrapText="1"/>
    </xf>
    <xf numFmtId="0" fontId="19" fillId="0" borderId="1" xfId="5" applyFont="1" applyFill="1" applyBorder="1" applyAlignment="1">
      <alignment wrapText="1"/>
    </xf>
    <xf numFmtId="0" fontId="7" fillId="0" borderId="1" xfId="5" applyNumberFormat="1" applyFont="1" applyFill="1" applyBorder="1" applyAlignment="1">
      <alignment horizontal="left"/>
    </xf>
    <xf numFmtId="0" fontId="17" fillId="5" borderId="1" xfId="5" applyNumberFormat="1" applyFont="1" applyFill="1" applyBorder="1" applyAlignment="1">
      <alignment horizontal="center"/>
    </xf>
    <xf numFmtId="0" fontId="17" fillId="5" borderId="1" xfId="5" applyFont="1" applyFill="1" applyBorder="1" applyAlignment="1">
      <alignment horizontal="center"/>
    </xf>
    <xf numFmtId="0" fontId="17" fillId="5" borderId="1" xfId="5" applyFont="1" applyFill="1" applyBorder="1" applyAlignment="1"/>
    <xf numFmtId="168" fontId="17" fillId="5" borderId="1" xfId="5" applyNumberFormat="1" applyFont="1" applyFill="1" applyBorder="1" applyAlignment="1">
      <alignment horizontal="center"/>
    </xf>
    <xf numFmtId="0" fontId="17" fillId="5" borderId="1" xfId="5" applyFont="1" applyFill="1" applyBorder="1" applyAlignment="1">
      <alignment wrapText="1"/>
    </xf>
    <xf numFmtId="166" fontId="17" fillId="5" borderId="1" xfId="5" applyNumberFormat="1" applyFont="1" applyFill="1" applyBorder="1" applyAlignment="1"/>
    <xf numFmtId="3" fontId="17" fillId="5" borderId="1" xfId="4" applyNumberFormat="1" applyFont="1" applyFill="1" applyBorder="1" applyAlignment="1" applyProtection="1">
      <alignment horizontal="right" wrapText="1"/>
    </xf>
    <xf numFmtId="3" fontId="17" fillId="5" borderId="1" xfId="5" applyNumberFormat="1" applyFont="1" applyFill="1" applyBorder="1" applyAlignment="1" applyProtection="1">
      <alignment horizontal="right" wrapText="1"/>
    </xf>
    <xf numFmtId="0" fontId="17" fillId="0" borderId="1" xfId="5" applyFont="1" applyFill="1" applyBorder="1" applyAlignment="1">
      <alignment horizontal="center" wrapText="1"/>
    </xf>
    <xf numFmtId="14" fontId="17" fillId="0" borderId="1" xfId="5" applyNumberFormat="1" applyFont="1" applyFill="1" applyBorder="1" applyAlignment="1">
      <alignment horizontal="center"/>
    </xf>
    <xf numFmtId="3" fontId="17" fillId="0" borderId="1" xfId="5" applyNumberFormat="1" applyFont="1" applyFill="1" applyBorder="1" applyAlignment="1"/>
    <xf numFmtId="0" fontId="17" fillId="0" borderId="1" xfId="5" applyNumberFormat="1" applyFont="1" applyFill="1" applyBorder="1" applyAlignment="1">
      <alignment horizontal="center" vertical="center"/>
    </xf>
    <xf numFmtId="3" fontId="17" fillId="0" borderId="1" xfId="4" applyNumberFormat="1" applyFont="1" applyFill="1" applyBorder="1" applyAlignment="1" applyProtection="1">
      <alignment horizontal="right"/>
    </xf>
    <xf numFmtId="3" fontId="17" fillId="0" borderId="1" xfId="5" applyNumberFormat="1" applyFont="1" applyFill="1" applyBorder="1" applyAlignment="1" applyProtection="1">
      <alignment horizontal="right"/>
    </xf>
    <xf numFmtId="0" fontId="17" fillId="0" borderId="5" xfId="5" applyNumberFormat="1" applyFont="1" applyFill="1" applyBorder="1" applyAlignment="1">
      <alignment horizontal="center"/>
    </xf>
    <xf numFmtId="5" fontId="17" fillId="0" borderId="5" xfId="3" applyNumberFormat="1" applyFont="1" applyFill="1" applyBorder="1" applyAlignment="1"/>
    <xf numFmtId="0" fontId="17" fillId="0" borderId="1" xfId="5" applyFont="1" applyFill="1" applyBorder="1" applyAlignment="1">
      <alignment vertical="top"/>
    </xf>
    <xf numFmtId="0" fontId="17" fillId="0" borderId="1" xfId="5" applyFont="1" applyBorder="1" applyAlignment="1">
      <alignment wrapText="1"/>
    </xf>
    <xf numFmtId="166" fontId="17" fillId="0" borderId="1" xfId="5" applyNumberFormat="1" applyFont="1" applyFill="1" applyBorder="1" applyAlignment="1">
      <alignment vertical="top"/>
    </xf>
    <xf numFmtId="3" fontId="17" fillId="0" borderId="1" xfId="4" applyNumberFormat="1" applyFont="1" applyFill="1" applyBorder="1" applyAlignment="1" applyProtection="1">
      <alignment horizontal="right" vertical="center" wrapText="1"/>
    </xf>
    <xf numFmtId="0" fontId="17" fillId="0" borderId="1" xfId="5" applyFont="1" applyFill="1" applyBorder="1" applyAlignment="1">
      <alignment horizontal="center" vertical="top"/>
    </xf>
    <xf numFmtId="3" fontId="17" fillId="0" borderId="1" xfId="5" applyNumberFormat="1" applyFont="1" applyFill="1" applyBorder="1" applyAlignment="1" applyProtection="1">
      <alignment horizontal="right" vertical="center" wrapText="1"/>
    </xf>
    <xf numFmtId="0" fontId="17" fillId="0" borderId="5" xfId="5" applyFont="1" applyFill="1" applyBorder="1" applyAlignment="1">
      <alignment horizontal="center" wrapText="1"/>
    </xf>
    <xf numFmtId="0" fontId="17" fillId="0" borderId="5" xfId="5" applyFont="1" applyFill="1" applyBorder="1" applyAlignment="1"/>
    <xf numFmtId="0" fontId="7" fillId="0" borderId="0" xfId="5" applyNumberFormat="1" applyFont="1" applyFill="1" applyBorder="1" applyAlignment="1">
      <alignment horizontal="left"/>
    </xf>
    <xf numFmtId="0" fontId="17" fillId="0" borderId="0" xfId="5" applyFont="1" applyFill="1" applyAlignment="1">
      <alignment horizontal="center" wrapText="1"/>
    </xf>
    <xf numFmtId="3" fontId="17" fillId="0" borderId="1" xfId="4" applyNumberFormat="1" applyFont="1" applyFill="1" applyBorder="1" applyAlignment="1">
      <alignment horizontal="center"/>
    </xf>
    <xf numFmtId="3" fontId="17" fillId="0" borderId="1" xfId="5" applyNumberFormat="1" applyFont="1" applyFill="1" applyBorder="1" applyAlignment="1">
      <alignment horizontal="center"/>
    </xf>
    <xf numFmtId="14" fontId="17" fillId="0" borderId="1" xfId="5" applyNumberFormat="1" applyFont="1" applyFill="1" applyBorder="1" applyAlignment="1">
      <alignment horizontal="center" wrapText="1"/>
    </xf>
    <xf numFmtId="14" fontId="17" fillId="0" borderId="5" xfId="5" applyNumberFormat="1" applyFont="1" applyFill="1" applyBorder="1" applyAlignment="1">
      <alignment horizontal="center"/>
    </xf>
    <xf numFmtId="3" fontId="17" fillId="0" borderId="5" xfId="5" applyNumberFormat="1" applyFont="1" applyFill="1" applyBorder="1" applyAlignment="1"/>
    <xf numFmtId="0" fontId="0" fillId="0" borderId="0" xfId="0" applyFont="1" applyBorder="1"/>
    <xf numFmtId="0" fontId="0" fillId="0" borderId="0" xfId="0" applyFont="1" applyFill="1" applyBorder="1" applyAlignment="1">
      <alignment horizontal="center"/>
    </xf>
    <xf numFmtId="0" fontId="25" fillId="0" borderId="13" xfId="0" applyFont="1" applyBorder="1" applyAlignment="1">
      <alignment horizontal="left"/>
    </xf>
    <xf numFmtId="0" fontId="26" fillId="0" borderId="0" xfId="0" applyFont="1" applyAlignment="1">
      <alignment horizontal="left"/>
    </xf>
    <xf numFmtId="3" fontId="27" fillId="0" borderId="1" xfId="2" applyNumberFormat="1" applyFont="1" applyFill="1" applyBorder="1" applyAlignment="1" applyProtection="1">
      <alignment horizontal="right" vertical="center" wrapText="1"/>
    </xf>
    <xf numFmtId="0" fontId="28" fillId="0" borderId="0" xfId="0" applyFont="1" applyBorder="1"/>
    <xf numFmtId="0" fontId="3" fillId="0" borderId="17" xfId="0" applyFont="1" applyBorder="1"/>
    <xf numFmtId="0" fontId="0" fillId="0" borderId="17" xfId="0" applyFont="1" applyBorder="1"/>
    <xf numFmtId="0" fontId="0" fillId="0" borderId="17" xfId="0" applyBorder="1"/>
    <xf numFmtId="0" fontId="0" fillId="0" borderId="18" xfId="0" applyBorder="1"/>
    <xf numFmtId="0" fontId="3" fillId="0" borderId="0" xfId="0" applyFont="1" applyBorder="1"/>
    <xf numFmtId="0" fontId="0" fillId="0" borderId="20" xfId="0" applyBorder="1"/>
    <xf numFmtId="0" fontId="0" fillId="0" borderId="19" xfId="0" applyBorder="1"/>
    <xf numFmtId="0" fontId="8" fillId="0" borderId="0" xfId="0" applyFont="1" applyBorder="1"/>
    <xf numFmtId="0" fontId="8" fillId="0" borderId="0" xfId="0" applyFont="1" applyFill="1" applyBorder="1"/>
    <xf numFmtId="0" fontId="10" fillId="0" borderId="0" xfId="0" applyFont="1" applyBorder="1"/>
    <xf numFmtId="0" fontId="10" fillId="0" borderId="20" xfId="0" applyFont="1" applyBorder="1"/>
    <xf numFmtId="0" fontId="11" fillId="0" borderId="0" xfId="0" applyFont="1" applyFill="1" applyBorder="1"/>
    <xf numFmtId="0" fontId="0" fillId="0" borderId="21" xfId="0" applyBorder="1"/>
    <xf numFmtId="0" fontId="0" fillId="0" borderId="22" xfId="0" applyBorder="1"/>
    <xf numFmtId="0" fontId="0" fillId="0" borderId="23" xfId="0" applyBorder="1"/>
    <xf numFmtId="0" fontId="11" fillId="0" borderId="0" xfId="0" applyFont="1" applyBorder="1"/>
    <xf numFmtId="0" fontId="0" fillId="0" borderId="19" xfId="0" applyFont="1" applyBorder="1"/>
    <xf numFmtId="0" fontId="22" fillId="0" borderId="0" xfId="0" applyFont="1" applyFill="1" applyBorder="1" applyAlignment="1">
      <alignment horizontal="center"/>
    </xf>
    <xf numFmtId="164" fontId="22" fillId="0" borderId="0" xfId="0" applyNumberFormat="1" applyFont="1" applyFill="1" applyBorder="1"/>
    <xf numFmtId="0" fontId="12" fillId="0" borderId="16" xfId="0" applyFont="1" applyBorder="1"/>
    <xf numFmtId="0" fontId="29" fillId="0" borderId="0" xfId="0" applyFont="1" applyFill="1" applyBorder="1" applyAlignment="1">
      <alignment horizontal="left" vertical="top"/>
    </xf>
    <xf numFmtId="0" fontId="23" fillId="0" borderId="0" xfId="0" applyFont="1" applyBorder="1" applyAlignment="1">
      <alignment horizontal="right"/>
    </xf>
    <xf numFmtId="0" fontId="21" fillId="0" borderId="0" xfId="0" applyFont="1"/>
    <xf numFmtId="0" fontId="20"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left"/>
    </xf>
    <xf numFmtId="0" fontId="20" fillId="0" borderId="0" xfId="0" applyFont="1" applyBorder="1"/>
    <xf numFmtId="14" fontId="15" fillId="0" borderId="0" xfId="0" applyNumberFormat="1" applyFont="1" applyFill="1" applyBorder="1" applyAlignment="1">
      <alignment horizontal="center"/>
    </xf>
    <xf numFmtId="3" fontId="6" fillId="2" borderId="0" xfId="0" applyNumberFormat="1" applyFont="1" applyFill="1" applyBorder="1" applyAlignment="1" applyProtection="1">
      <alignment horizontal="center" wrapText="1"/>
    </xf>
    <xf numFmtId="3" fontId="17" fillId="0" borderId="0" xfId="0" applyNumberFormat="1" applyFont="1" applyFill="1" applyBorder="1" applyAlignment="1" applyProtection="1">
      <alignment horizontal="right" vertical="center" wrapText="1"/>
    </xf>
    <xf numFmtId="3" fontId="17" fillId="0" borderId="0" xfId="0" applyNumberFormat="1" applyFont="1" applyFill="1" applyBorder="1" applyAlignment="1" applyProtection="1">
      <alignment horizontal="right" vertical="center"/>
    </xf>
    <xf numFmtId="3" fontId="17" fillId="5" borderId="0" xfId="0" applyNumberFormat="1" applyFont="1" applyFill="1" applyBorder="1" applyAlignment="1" applyProtection="1">
      <alignment horizontal="right" vertical="center" wrapText="1"/>
    </xf>
    <xf numFmtId="9" fontId="17" fillId="0" borderId="0" xfId="6" applyFont="1" applyFill="1" applyBorder="1" applyAlignment="1"/>
    <xf numFmtId="9" fontId="17" fillId="0" borderId="0" xfId="0" applyNumberFormat="1" applyFont="1" applyFill="1" applyBorder="1" applyAlignment="1"/>
    <xf numFmtId="0" fontId="0" fillId="0" borderId="0" xfId="0" applyFont="1" applyFill="1" applyBorder="1" applyAlignment="1"/>
    <xf numFmtId="0" fontId="17" fillId="0" borderId="0" xfId="0" applyFont="1" applyFill="1" applyBorder="1" applyAlignment="1">
      <alignment horizontal="left"/>
    </xf>
    <xf numFmtId="166" fontId="17" fillId="0" borderId="0" xfId="0" applyNumberFormat="1" applyFont="1" applyFill="1" applyBorder="1" applyAlignment="1">
      <alignment horizontal="right"/>
    </xf>
    <xf numFmtId="167" fontId="0" fillId="0" borderId="0" xfId="0" applyNumberFormat="1" applyFont="1" applyFill="1" applyBorder="1" applyAlignment="1">
      <alignment horizontal="center"/>
    </xf>
    <xf numFmtId="166" fontId="6" fillId="7" borderId="1" xfId="0" applyNumberFormat="1" applyFont="1" applyFill="1" applyBorder="1" applyAlignment="1">
      <alignment horizontal="center" wrapText="1"/>
    </xf>
    <xf numFmtId="167" fontId="6" fillId="7" borderId="1" xfId="0" applyNumberFormat="1" applyFont="1" applyFill="1" applyBorder="1" applyAlignment="1">
      <alignment horizontal="center" wrapText="1"/>
    </xf>
    <xf numFmtId="0" fontId="6" fillId="0" borderId="0" xfId="0" applyFont="1" applyFill="1" applyBorder="1" applyAlignment="1">
      <alignment wrapText="1"/>
    </xf>
    <xf numFmtId="0" fontId="17" fillId="0" borderId="2" xfId="0" applyFont="1" applyFill="1" applyBorder="1" applyAlignment="1">
      <alignment horizontal="left"/>
    </xf>
    <xf numFmtId="3" fontId="17" fillId="0" borderId="6" xfId="0" applyNumberFormat="1" applyFont="1" applyFill="1" applyBorder="1" applyAlignment="1">
      <alignment horizontal="right"/>
    </xf>
    <xf numFmtId="166" fontId="17" fillId="0" borderId="6" xfId="0" applyNumberFormat="1" applyFont="1" applyFill="1" applyBorder="1" applyAlignment="1">
      <alignment horizontal="right"/>
    </xf>
    <xf numFmtId="9" fontId="6" fillId="0" borderId="0" xfId="6" applyFont="1" applyFill="1" applyBorder="1" applyAlignment="1"/>
    <xf numFmtId="0" fontId="6" fillId="0" borderId="4" xfId="0" applyFont="1" applyFill="1" applyBorder="1" applyAlignment="1">
      <alignment horizontal="left"/>
    </xf>
    <xf numFmtId="0" fontId="6" fillId="0" borderId="3" xfId="0" applyFont="1" applyFill="1" applyBorder="1" applyAlignment="1"/>
    <xf numFmtId="3" fontId="6" fillId="0" borderId="7" xfId="0" applyNumberFormat="1" applyFont="1" applyFill="1" applyBorder="1" applyAlignment="1">
      <alignment horizontal="right"/>
    </xf>
    <xf numFmtId="166" fontId="6" fillId="0" borderId="7" xfId="0" applyNumberFormat="1" applyFont="1" applyFill="1" applyBorder="1" applyAlignment="1">
      <alignment horizontal="right"/>
    </xf>
    <xf numFmtId="9" fontId="0" fillId="0" borderId="0" xfId="0" applyNumberFormat="1" applyFont="1" applyFill="1" applyBorder="1" applyAlignment="1"/>
    <xf numFmtId="166" fontId="0" fillId="0" borderId="0" xfId="0" applyNumberFormat="1" applyFont="1" applyFill="1" applyBorder="1" applyAlignment="1">
      <alignment horizontal="right"/>
    </xf>
    <xf numFmtId="0" fontId="30" fillId="0" borderId="0" xfId="0" applyFont="1" applyFill="1" applyBorder="1" applyAlignment="1">
      <alignment horizontal="left"/>
    </xf>
    <xf numFmtId="166" fontId="6" fillId="0" borderId="0" xfId="0" applyNumberFormat="1" applyFont="1" applyFill="1" applyBorder="1" applyAlignment="1">
      <alignment horizontal="right"/>
    </xf>
    <xf numFmtId="167" fontId="6" fillId="0" borderId="0" xfId="0" applyNumberFormat="1" applyFont="1" applyFill="1" applyBorder="1" applyAlignment="1">
      <alignment horizontal="center"/>
    </xf>
    <xf numFmtId="0" fontId="0" fillId="0" borderId="0" xfId="0" applyFont="1" applyFill="1" applyBorder="1" applyAlignment="1">
      <alignment horizontal="center" wrapText="1"/>
    </xf>
    <xf numFmtId="0" fontId="6" fillId="7" borderId="27" xfId="0" applyFont="1" applyFill="1" applyBorder="1" applyAlignment="1">
      <alignment horizontal="center" wrapText="1"/>
    </xf>
    <xf numFmtId="0" fontId="6" fillId="7" borderId="28" xfId="0" applyFont="1" applyFill="1" applyBorder="1" applyAlignment="1">
      <alignment horizontal="center" wrapText="1"/>
    </xf>
    <xf numFmtId="166" fontId="6" fillId="7" borderId="28" xfId="0" applyNumberFormat="1" applyFont="1" applyFill="1" applyBorder="1" applyAlignment="1">
      <alignment horizontal="center" wrapText="1"/>
    </xf>
    <xf numFmtId="0" fontId="6" fillId="7" borderId="25" xfId="0" applyFont="1" applyFill="1" applyBorder="1" applyAlignment="1">
      <alignment horizontal="center" wrapText="1"/>
    </xf>
    <xf numFmtId="0" fontId="0" fillId="0" borderId="2" xfId="0" applyFont="1" applyFill="1" applyBorder="1" applyAlignment="1">
      <alignment horizontal="center"/>
    </xf>
    <xf numFmtId="0" fontId="0" fillId="0" borderId="11" xfId="0" applyFont="1" applyFill="1" applyBorder="1" applyAlignment="1">
      <alignment horizontal="center"/>
    </xf>
    <xf numFmtId="0" fontId="0" fillId="0" borderId="0" xfId="0" applyFill="1" applyBorder="1" applyAlignment="1"/>
    <xf numFmtId="0" fontId="0" fillId="0" borderId="11" xfId="0" applyFill="1" applyBorder="1" applyAlignment="1">
      <alignment horizontal="center"/>
    </xf>
    <xf numFmtId="0" fontId="19" fillId="0" borderId="0" xfId="0" applyFont="1" applyFill="1" applyBorder="1" applyAlignment="1">
      <alignment wrapText="1"/>
    </xf>
    <xf numFmtId="5" fontId="19" fillId="0" borderId="0" xfId="3" applyNumberFormat="1" applyFont="1" applyFill="1" applyBorder="1" applyAlignment="1">
      <alignment wrapText="1"/>
    </xf>
    <xf numFmtId="5" fontId="0" fillId="0" borderId="0" xfId="3" applyNumberFormat="1" applyFont="1" applyFill="1" applyBorder="1" applyAlignment="1"/>
    <xf numFmtId="0" fontId="0" fillId="0" borderId="8" xfId="0" applyFont="1" applyFill="1" applyBorder="1" applyAlignment="1">
      <alignment horizontal="left"/>
    </xf>
    <xf numFmtId="0" fontId="0" fillId="0" borderId="9" xfId="0" applyFont="1" applyFill="1" applyBorder="1" applyAlignment="1"/>
    <xf numFmtId="166" fontId="0" fillId="0" borderId="9" xfId="0" applyNumberFormat="1" applyFont="1" applyFill="1" applyBorder="1" applyAlignment="1">
      <alignment horizontal="right"/>
    </xf>
    <xf numFmtId="0" fontId="0" fillId="0" borderId="10" xfId="0" applyFont="1" applyFill="1" applyBorder="1" applyAlignment="1">
      <alignment horizontal="center"/>
    </xf>
    <xf numFmtId="0" fontId="0" fillId="0" borderId="4" xfId="0" applyFont="1" applyFill="1" applyBorder="1" applyAlignment="1"/>
    <xf numFmtId="0" fontId="0" fillId="0" borderId="3" xfId="0" applyFont="1" applyFill="1" applyBorder="1" applyAlignment="1">
      <alignment horizontal="center"/>
    </xf>
    <xf numFmtId="166" fontId="0" fillId="0" borderId="3" xfId="0" applyNumberFormat="1" applyFont="1" applyFill="1" applyBorder="1" applyAlignment="1">
      <alignment horizontal="right"/>
    </xf>
    <xf numFmtId="167" fontId="0" fillId="0" borderId="12" xfId="0" applyNumberFormat="1" applyFont="1" applyFill="1" applyBorder="1" applyAlignment="1">
      <alignment horizontal="center"/>
    </xf>
    <xf numFmtId="0" fontId="0" fillId="0" borderId="8" xfId="0" applyFont="1" applyFill="1" applyBorder="1" applyAlignment="1">
      <alignment horizontal="center"/>
    </xf>
    <xf numFmtId="166" fontId="0" fillId="0" borderId="9" xfId="0" applyNumberFormat="1" applyFont="1" applyFill="1" applyBorder="1" applyAlignment="1">
      <alignment horizontal="right" wrapText="1"/>
    </xf>
    <xf numFmtId="166" fontId="0" fillId="0" borderId="0" xfId="0" applyNumberFormat="1" applyFont="1" applyFill="1" applyBorder="1" applyAlignment="1">
      <alignment horizontal="right" wrapText="1"/>
    </xf>
    <xf numFmtId="0" fontId="0" fillId="0" borderId="0" xfId="0" applyFont="1" applyFill="1" applyBorder="1" applyAlignment="1">
      <alignment wrapText="1"/>
    </xf>
    <xf numFmtId="0" fontId="0" fillId="0" borderId="11" xfId="0" applyFont="1" applyFill="1" applyBorder="1" applyAlignment="1">
      <alignment horizontal="center" wrapText="1"/>
    </xf>
    <xf numFmtId="0" fontId="17" fillId="0" borderId="0" xfId="0" applyFont="1" applyFill="1" applyBorder="1" applyAlignment="1">
      <alignment wrapText="1"/>
    </xf>
    <xf numFmtId="0" fontId="0" fillId="0" borderId="12" xfId="0" applyFont="1" applyFill="1" applyBorder="1" applyAlignment="1">
      <alignment horizontal="center"/>
    </xf>
    <xf numFmtId="167" fontId="0" fillId="0" borderId="10" xfId="0" applyNumberFormat="1" applyFont="1" applyFill="1" applyBorder="1" applyAlignment="1">
      <alignment horizontal="center"/>
    </xf>
    <xf numFmtId="167" fontId="0" fillId="0" borderId="11" xfId="0" applyNumberFormat="1" applyFont="1" applyFill="1" applyBorder="1" applyAlignment="1">
      <alignment horizontal="center"/>
    </xf>
    <xf numFmtId="167" fontId="0" fillId="0" borderId="11" xfId="0" applyNumberFormat="1" applyFill="1" applyBorder="1" applyAlignment="1">
      <alignment horizontal="center"/>
    </xf>
    <xf numFmtId="0" fontId="6" fillId="0" borderId="0" xfId="0" applyFont="1" applyFill="1" applyBorder="1" applyAlignment="1">
      <alignment horizontal="center"/>
    </xf>
    <xf numFmtId="0" fontId="17" fillId="0" borderId="11" xfId="0" applyFont="1" applyFill="1" applyBorder="1" applyAlignment="1">
      <alignment horizontal="center"/>
    </xf>
    <xf numFmtId="0" fontId="0" fillId="0" borderId="4" xfId="0" applyFont="1" applyFill="1" applyBorder="1" applyAlignment="1">
      <alignment horizontal="center"/>
    </xf>
    <xf numFmtId="166" fontId="0" fillId="0" borderId="0" xfId="3" applyNumberFormat="1" applyFont="1" applyFill="1" applyBorder="1" applyAlignment="1">
      <alignment horizontal="right" wrapText="1"/>
    </xf>
    <xf numFmtId="166" fontId="0" fillId="0" borderId="9" xfId="3" applyNumberFormat="1" applyFont="1" applyFill="1" applyBorder="1" applyAlignment="1">
      <alignment horizontal="right" wrapText="1"/>
    </xf>
    <xf numFmtId="0" fontId="6" fillId="0" borderId="0" xfId="0" applyFont="1" applyFill="1" applyBorder="1" applyAlignment="1">
      <alignment horizontal="left"/>
    </xf>
    <xf numFmtId="9" fontId="6" fillId="0" borderId="0" xfId="6" applyFont="1" applyFill="1" applyBorder="1" applyAlignment="1">
      <alignment horizontal="right"/>
    </xf>
    <xf numFmtId="9" fontId="0" fillId="0" borderId="0" xfId="6" applyFont="1" applyFill="1" applyBorder="1" applyAlignment="1">
      <alignment horizontal="right"/>
    </xf>
    <xf numFmtId="44" fontId="0" fillId="0" borderId="0" xfId="1" applyFont="1" applyFill="1" applyBorder="1" applyAlignment="1"/>
    <xf numFmtId="0" fontId="17" fillId="0" borderId="6" xfId="0" applyFont="1" applyFill="1" applyBorder="1" applyAlignment="1"/>
    <xf numFmtId="1" fontId="0" fillId="0" borderId="0" xfId="0" applyNumberFormat="1" applyAlignment="1">
      <alignment wrapText="1"/>
    </xf>
    <xf numFmtId="9" fontId="0" fillId="0" borderId="0" xfId="6" applyFont="1" applyAlignment="1">
      <alignment wrapText="1"/>
    </xf>
    <xf numFmtId="43" fontId="17" fillId="0" borderId="0" xfId="7" applyFont="1" applyFill="1" applyBorder="1" applyAlignment="1"/>
    <xf numFmtId="169" fontId="0" fillId="0" borderId="0" xfId="1" applyNumberFormat="1" applyFont="1" applyFill="1" applyBorder="1" applyAlignment="1"/>
    <xf numFmtId="43" fontId="0" fillId="0" borderId="0" xfId="7" applyFont="1" applyAlignment="1">
      <alignment wrapText="1"/>
    </xf>
    <xf numFmtId="170" fontId="0" fillId="0" borderId="0" xfId="7" applyNumberFormat="1" applyFont="1" applyAlignment="1">
      <alignment wrapText="1"/>
    </xf>
    <xf numFmtId="43" fontId="17" fillId="0" borderId="0" xfId="0" applyNumberFormat="1" applyFont="1" applyFill="1" applyBorder="1" applyAlignment="1"/>
    <xf numFmtId="43" fontId="0" fillId="0" borderId="0" xfId="0" applyNumberFormat="1" applyAlignment="1">
      <alignment wrapText="1"/>
    </xf>
    <xf numFmtId="44" fontId="17" fillId="0" borderId="0" xfId="0" applyNumberFormat="1" applyFont="1" applyFill="1" applyBorder="1" applyAlignment="1"/>
    <xf numFmtId="44" fontId="0" fillId="0" borderId="0" xfId="1" applyFont="1" applyAlignment="1">
      <alignment wrapText="1"/>
    </xf>
    <xf numFmtId="0" fontId="0" fillId="8" borderId="0" xfId="0" applyFill="1"/>
    <xf numFmtId="0" fontId="0" fillId="0" borderId="1" xfId="0" applyBorder="1"/>
    <xf numFmtId="10" fontId="9" fillId="0" borderId="1" xfId="6" applyNumberFormat="1" applyFont="1" applyBorder="1"/>
    <xf numFmtId="0" fontId="31" fillId="0" borderId="1" xfId="0" applyFont="1" applyBorder="1"/>
    <xf numFmtId="0" fontId="0" fillId="9" borderId="0" xfId="0" applyFill="1"/>
    <xf numFmtId="171" fontId="9" fillId="0" borderId="1" xfId="0" applyNumberFormat="1" applyFont="1" applyBorder="1"/>
    <xf numFmtId="0" fontId="0" fillId="10" borderId="0" xfId="0" applyFill="1"/>
    <xf numFmtId="171" fontId="0" fillId="0" borderId="1" xfId="0" applyNumberFormat="1" applyBorder="1"/>
    <xf numFmtId="0" fontId="33" fillId="5" borderId="0" xfId="0" applyFont="1" applyFill="1" applyAlignment="1">
      <alignment horizontal="left"/>
    </xf>
    <xf numFmtId="0" fontId="2" fillId="5" borderId="0" xfId="0" applyFont="1" applyFill="1"/>
    <xf numFmtId="0" fontId="0" fillId="5" borderId="0" xfId="0" applyFont="1" applyFill="1"/>
    <xf numFmtId="0" fontId="34" fillId="5" borderId="0" xfId="0" applyFont="1" applyFill="1" applyAlignment="1">
      <alignment horizontal="left"/>
    </xf>
    <xf numFmtId="172" fontId="2" fillId="5" borderId="0" xfId="0" applyNumberFormat="1" applyFont="1" applyFill="1" applyAlignment="1">
      <alignment horizontal="left"/>
    </xf>
    <xf numFmtId="0" fontId="2" fillId="0" borderId="1" xfId="0" applyFont="1" applyBorder="1" applyAlignment="1">
      <alignment vertical="center" wrapText="1"/>
    </xf>
    <xf numFmtId="0" fontId="2" fillId="0" borderId="1" xfId="0" applyFont="1" applyBorder="1" applyAlignment="1">
      <alignment wrapText="1"/>
    </xf>
    <xf numFmtId="0" fontId="2" fillId="0" borderId="0" xfId="0" applyFont="1" applyBorder="1" applyAlignment="1">
      <alignment vertical="center" wrapText="1"/>
    </xf>
    <xf numFmtId="0" fontId="2" fillId="0" borderId="0"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wrapText="1"/>
    </xf>
    <xf numFmtId="0" fontId="0" fillId="5" borderId="0" xfId="0" applyFont="1" applyFill="1" applyBorder="1"/>
    <xf numFmtId="0" fontId="0" fillId="5" borderId="1" xfId="0" applyFont="1" applyFill="1" applyBorder="1" applyAlignment="1">
      <alignment horizontal="left" vertical="center" wrapText="1"/>
    </xf>
    <xf numFmtId="167" fontId="0" fillId="5" borderId="1" xfId="0" applyNumberFormat="1" applyFont="1" applyFill="1" applyBorder="1" applyAlignment="1">
      <alignment horizontal="left" vertical="center" wrapText="1"/>
    </xf>
    <xf numFmtId="0" fontId="0" fillId="5" borderId="1" xfId="0" applyFont="1" applyFill="1" applyBorder="1" applyAlignment="1">
      <alignment horizontal="left" wrapText="1"/>
    </xf>
    <xf numFmtId="9" fontId="0" fillId="5" borderId="1" xfId="0" applyNumberFormat="1" applyFont="1" applyFill="1" applyBorder="1" applyAlignment="1">
      <alignment horizontal="left" wrapText="1"/>
    </xf>
    <xf numFmtId="0" fontId="0" fillId="5" borderId="1" xfId="0" applyFont="1" applyFill="1" applyBorder="1" applyAlignment="1">
      <alignment vertical="center" wrapText="1"/>
    </xf>
    <xf numFmtId="0" fontId="0" fillId="5" borderId="0" xfId="0" applyFont="1" applyFill="1" applyBorder="1" applyAlignment="1">
      <alignment vertical="center" wrapText="1"/>
    </xf>
    <xf numFmtId="0" fontId="0" fillId="5" borderId="0" xfId="0" applyFont="1" applyFill="1" applyBorder="1" applyAlignment="1">
      <alignment horizontal="left" wrapText="1"/>
    </xf>
    <xf numFmtId="0" fontId="24" fillId="0" borderId="0" xfId="0" applyFont="1" applyFill="1" applyBorder="1" applyAlignment="1">
      <alignment horizontal="left"/>
    </xf>
    <xf numFmtId="0" fontId="8" fillId="11" borderId="14" xfId="0" applyFont="1" applyFill="1" applyBorder="1"/>
    <xf numFmtId="0" fontId="8" fillId="11" borderId="26" xfId="0" applyFont="1" applyFill="1" applyBorder="1"/>
    <xf numFmtId="0" fontId="8" fillId="11" borderId="26" xfId="0" applyFont="1" applyFill="1" applyBorder="1" applyAlignment="1">
      <alignment horizontal="center"/>
    </xf>
    <xf numFmtId="0" fontId="8" fillId="11" borderId="15" xfId="0" applyFont="1" applyFill="1" applyBorder="1"/>
    <xf numFmtId="173" fontId="8" fillId="0" borderId="16" xfId="7" applyNumberFormat="1" applyFont="1" applyFill="1" applyBorder="1"/>
    <xf numFmtId="173" fontId="8" fillId="0" borderId="17" xfId="7" applyNumberFormat="1" applyFont="1" applyFill="1" applyBorder="1"/>
    <xf numFmtId="173" fontId="0" fillId="0" borderId="19" xfId="7" applyNumberFormat="1" applyFont="1" applyFill="1" applyBorder="1"/>
    <xf numFmtId="173" fontId="0" fillId="0" borderId="0" xfId="7" applyNumberFormat="1" applyFont="1" applyFill="1" applyBorder="1"/>
    <xf numFmtId="173" fontId="0" fillId="0" borderId="0" xfId="7" applyNumberFormat="1" applyFont="1" applyFill="1" applyBorder="1" applyAlignment="1">
      <alignment horizontal="center"/>
    </xf>
    <xf numFmtId="173" fontId="0" fillId="0" borderId="20" xfId="7" applyNumberFormat="1" applyFont="1" applyFill="1" applyBorder="1"/>
    <xf numFmtId="173" fontId="8" fillId="0" borderId="19" xfId="7" applyNumberFormat="1" applyFont="1" applyFill="1" applyBorder="1"/>
    <xf numFmtId="173" fontId="8" fillId="0" borderId="0" xfId="7" applyNumberFormat="1" applyFont="1" applyFill="1" applyBorder="1"/>
    <xf numFmtId="173" fontId="8" fillId="0" borderId="0" xfId="7" applyNumberFormat="1" applyFont="1" applyFill="1" applyBorder="1" applyAlignment="1">
      <alignment horizontal="center"/>
    </xf>
    <xf numFmtId="173" fontId="5" fillId="0" borderId="19" xfId="7" applyNumberFormat="1" applyFont="1" applyFill="1" applyBorder="1"/>
    <xf numFmtId="173" fontId="5" fillId="0" borderId="21" xfId="7" applyNumberFormat="1" applyFont="1" applyFill="1" applyBorder="1"/>
    <xf numFmtId="173" fontId="0" fillId="0" borderId="22" xfId="7" applyNumberFormat="1" applyFont="1" applyFill="1" applyBorder="1"/>
    <xf numFmtId="173" fontId="0" fillId="0" borderId="22" xfId="7" applyNumberFormat="1" applyFont="1" applyFill="1" applyBorder="1" applyAlignment="1">
      <alignment horizontal="center"/>
    </xf>
    <xf numFmtId="173" fontId="0" fillId="0" borderId="23" xfId="7" applyNumberFormat="1" applyFont="1" applyFill="1" applyBorder="1"/>
    <xf numFmtId="173" fontId="0" fillId="0" borderId="0" xfId="7" applyNumberFormat="1" applyFont="1" applyBorder="1"/>
    <xf numFmtId="173" fontId="8" fillId="12" borderId="14" xfId="7" applyNumberFormat="1" applyFont="1" applyFill="1" applyBorder="1"/>
    <xf numFmtId="173" fontId="8" fillId="12" borderId="17" xfId="7" applyNumberFormat="1" applyFont="1" applyFill="1" applyBorder="1"/>
    <xf numFmtId="173" fontId="8" fillId="12" borderId="17" xfId="7" applyNumberFormat="1" applyFont="1" applyFill="1" applyBorder="1" applyAlignment="1">
      <alignment horizontal="center"/>
    </xf>
    <xf numFmtId="0" fontId="8" fillId="12" borderId="17" xfId="7" applyNumberFormat="1" applyFont="1" applyFill="1" applyBorder="1"/>
    <xf numFmtId="0" fontId="8" fillId="12" borderId="18" xfId="7" applyNumberFormat="1" applyFont="1" applyFill="1" applyBorder="1"/>
    <xf numFmtId="173" fontId="0" fillId="0" borderId="21" xfId="7" applyNumberFormat="1" applyFont="1" applyFill="1" applyBorder="1"/>
    <xf numFmtId="173" fontId="8" fillId="13" borderId="14" xfId="7" applyNumberFormat="1" applyFont="1" applyFill="1" applyBorder="1"/>
    <xf numFmtId="173" fontId="8" fillId="13" borderId="17" xfId="7" applyNumberFormat="1" applyFont="1" applyFill="1" applyBorder="1"/>
    <xf numFmtId="173" fontId="8" fillId="13" borderId="17" xfId="7" applyNumberFormat="1" applyFont="1" applyFill="1" applyBorder="1" applyAlignment="1">
      <alignment horizontal="center"/>
    </xf>
    <xf numFmtId="0" fontId="8" fillId="13" borderId="17" xfId="7" applyNumberFormat="1" applyFont="1" applyFill="1" applyBorder="1"/>
    <xf numFmtId="0" fontId="8" fillId="13" borderId="18" xfId="7" applyNumberFormat="1" applyFont="1" applyFill="1" applyBorder="1"/>
    <xf numFmtId="9" fontId="0" fillId="0" borderId="0" xfId="0" applyNumberFormat="1" applyBorder="1"/>
    <xf numFmtId="0" fontId="8" fillId="0" borderId="19" xfId="0" applyFont="1" applyBorder="1" applyAlignment="1">
      <alignment horizontal="center"/>
    </xf>
    <xf numFmtId="0" fontId="0" fillId="0" borderId="19" xfId="0" applyFont="1" applyFill="1" applyBorder="1" applyAlignment="1">
      <alignment horizontal="left"/>
    </xf>
    <xf numFmtId="1" fontId="0" fillId="0" borderId="0" xfId="0" applyNumberFormat="1" applyFont="1" applyFill="1" applyBorder="1"/>
    <xf numFmtId="0" fontId="0" fillId="0" borderId="21" xfId="0" applyFont="1" applyFill="1" applyBorder="1" applyAlignment="1">
      <alignment horizontal="left"/>
    </xf>
    <xf numFmtId="164" fontId="0" fillId="0" borderId="22" xfId="0" applyNumberFormat="1" applyFont="1" applyFill="1" applyBorder="1"/>
    <xf numFmtId="9" fontId="9" fillId="0" borderId="0" xfId="0" applyNumberFormat="1" applyFont="1" applyBorder="1"/>
    <xf numFmtId="0" fontId="9" fillId="0" borderId="0" xfId="0" applyFont="1" applyBorder="1"/>
    <xf numFmtId="0" fontId="0" fillId="0" borderId="24" xfId="0" applyBorder="1"/>
    <xf numFmtId="0" fontId="12" fillId="0" borderId="19" xfId="0" applyFont="1" applyBorder="1"/>
    <xf numFmtId="171" fontId="0" fillId="0" borderId="0" xfId="0" applyNumberFormat="1" applyBorder="1"/>
    <xf numFmtId="0" fontId="0" fillId="8" borderId="19" xfId="0" applyFill="1" applyBorder="1"/>
    <xf numFmtId="171" fontId="0" fillId="8" borderId="0" xfId="0" applyNumberFormat="1" applyFill="1" applyBorder="1"/>
    <xf numFmtId="166" fontId="0" fillId="0" borderId="0" xfId="0" applyNumberFormat="1" applyFont="1" applyBorder="1"/>
    <xf numFmtId="165" fontId="0" fillId="0" borderId="0" xfId="7" applyNumberFormat="1" applyFont="1"/>
    <xf numFmtId="0" fontId="3" fillId="0" borderId="0" xfId="0" applyFont="1" applyBorder="1" applyAlignment="1">
      <alignment horizontal="left"/>
    </xf>
    <xf numFmtId="0" fontId="37" fillId="0" borderId="0" xfId="0" applyFont="1"/>
    <xf numFmtId="0" fontId="38" fillId="0" borderId="0" xfId="0" applyFont="1"/>
    <xf numFmtId="166" fontId="0" fillId="0" borderId="3" xfId="0" applyNumberFormat="1" applyFont="1" applyBorder="1"/>
    <xf numFmtId="166" fontId="37" fillId="0" borderId="0" xfId="0" applyNumberFormat="1" applyFont="1"/>
    <xf numFmtId="166" fontId="0" fillId="0" borderId="0" xfId="0" applyNumberFormat="1" applyFont="1"/>
    <xf numFmtId="166" fontId="0" fillId="0" borderId="0" xfId="0" applyNumberFormat="1" applyFont="1" applyFill="1" applyBorder="1"/>
    <xf numFmtId="166" fontId="0" fillId="0" borderId="3" xfId="0" applyNumberFormat="1" applyFont="1" applyFill="1" applyBorder="1"/>
    <xf numFmtId="0" fontId="0" fillId="0" borderId="0" xfId="0" applyAlignment="1">
      <alignment vertical="center"/>
    </xf>
    <xf numFmtId="0" fontId="39" fillId="0" borderId="0" xfId="17"/>
    <xf numFmtId="0" fontId="9" fillId="0" borderId="17" xfId="0" applyFont="1" applyBorder="1"/>
    <xf numFmtId="1" fontId="9" fillId="0" borderId="0" xfId="0" applyNumberFormat="1" applyFont="1" applyFill="1" applyBorder="1"/>
    <xf numFmtId="164" fontId="9" fillId="0" borderId="22" xfId="0" applyNumberFormat="1" applyFont="1" applyFill="1" applyBorder="1"/>
    <xf numFmtId="0" fontId="0" fillId="0" borderId="1" xfId="0" applyBorder="1" applyAlignment="1">
      <alignment wrapText="1"/>
    </xf>
    <xf numFmtId="43" fontId="0" fillId="0" borderId="1" xfId="7" applyFont="1" applyBorder="1" applyAlignment="1">
      <alignment wrapText="1"/>
    </xf>
    <xf numFmtId="43" fontId="0" fillId="8" borderId="1" xfId="0" applyNumberFormat="1" applyFill="1" applyBorder="1" applyAlignment="1">
      <alignment wrapText="1"/>
    </xf>
    <xf numFmtId="43" fontId="0" fillId="0" borderId="1" xfId="0" applyNumberFormat="1" applyBorder="1" applyAlignment="1">
      <alignment wrapText="1"/>
    </xf>
    <xf numFmtId="0" fontId="0" fillId="8" borderId="1" xfId="0" applyFill="1" applyBorder="1" applyAlignment="1">
      <alignment wrapText="1"/>
    </xf>
    <xf numFmtId="9" fontId="0" fillId="0" borderId="1" xfId="6" applyFont="1" applyBorder="1" applyAlignment="1">
      <alignment wrapText="1"/>
    </xf>
    <xf numFmtId="0" fontId="40" fillId="0" borderId="0" xfId="0" applyFont="1"/>
    <xf numFmtId="0" fontId="0" fillId="0" borderId="20" xfId="0" applyFont="1" applyBorder="1" applyAlignment="1">
      <alignment horizontal="left"/>
    </xf>
    <xf numFmtId="0" fontId="1" fillId="0" borderId="1" xfId="0" applyFont="1" applyBorder="1" applyAlignment="1">
      <alignment vertical="center" wrapText="1"/>
    </xf>
    <xf numFmtId="0" fontId="32" fillId="0" borderId="27" xfId="0" applyFont="1" applyBorder="1" applyAlignment="1">
      <alignment horizontal="center" vertical="center" wrapText="1"/>
    </xf>
    <xf numFmtId="0" fontId="32" fillId="0" borderId="25" xfId="0" applyFont="1" applyBorder="1" applyAlignment="1">
      <alignment horizontal="center" vertical="center" wrapText="1"/>
    </xf>
    <xf numFmtId="0" fontId="3" fillId="5" borderId="27"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25" xfId="0" applyFont="1" applyBorder="1" applyAlignment="1">
      <alignment horizontal="left" vertical="center" wrapText="1"/>
    </xf>
    <xf numFmtId="173" fontId="35" fillId="13" borderId="14" xfId="7" applyNumberFormat="1" applyFont="1" applyFill="1" applyBorder="1" applyAlignment="1">
      <alignment horizontal="center"/>
    </xf>
    <xf numFmtId="173" fontId="35" fillId="13" borderId="26" xfId="7" applyNumberFormat="1" applyFont="1" applyFill="1" applyBorder="1" applyAlignment="1">
      <alignment horizontal="center"/>
    </xf>
    <xf numFmtId="173" fontId="35" fillId="13" borderId="15" xfId="7" applyNumberFormat="1" applyFont="1" applyFill="1" applyBorder="1" applyAlignment="1">
      <alignment horizontal="center"/>
    </xf>
    <xf numFmtId="173" fontId="8" fillId="0" borderId="17" xfId="7" applyNumberFormat="1" applyFont="1" applyFill="1" applyBorder="1" applyAlignment="1">
      <alignment horizontal="center"/>
    </xf>
    <xf numFmtId="173" fontId="8" fillId="0" borderId="18" xfId="7" applyNumberFormat="1" applyFont="1" applyFill="1" applyBorder="1" applyAlignment="1">
      <alignment horizontal="center"/>
    </xf>
    <xf numFmtId="173" fontId="8" fillId="0" borderId="0" xfId="7" applyNumberFormat="1" applyFont="1" applyFill="1" applyBorder="1" applyAlignment="1">
      <alignment horizontal="center"/>
    </xf>
    <xf numFmtId="173" fontId="8" fillId="0" borderId="20" xfId="7" applyNumberFormat="1" applyFont="1" applyFill="1" applyBorder="1" applyAlignment="1">
      <alignment horizontal="center"/>
    </xf>
    <xf numFmtId="0" fontId="35" fillId="11" borderId="14" xfId="0" applyFont="1" applyFill="1" applyBorder="1" applyAlignment="1">
      <alignment horizontal="center"/>
    </xf>
    <xf numFmtId="0" fontId="35" fillId="11" borderId="26" xfId="0" applyFont="1" applyFill="1" applyBorder="1" applyAlignment="1">
      <alignment horizontal="center"/>
    </xf>
    <xf numFmtId="0" fontId="35" fillId="11" borderId="15" xfId="0" applyFont="1" applyFill="1" applyBorder="1" applyAlignment="1">
      <alignment horizontal="center"/>
    </xf>
    <xf numFmtId="173" fontId="35" fillId="12" borderId="14" xfId="7" applyNumberFormat="1" applyFont="1" applyFill="1" applyBorder="1" applyAlignment="1">
      <alignment horizontal="center"/>
    </xf>
    <xf numFmtId="173" fontId="35" fillId="12" borderId="26" xfId="7" applyNumberFormat="1" applyFont="1" applyFill="1" applyBorder="1" applyAlignment="1">
      <alignment horizontal="center"/>
    </xf>
    <xf numFmtId="173" fontId="35" fillId="12" borderId="15" xfId="7" applyNumberFormat="1" applyFont="1" applyFill="1" applyBorder="1" applyAlignment="1">
      <alignment horizontal="center"/>
    </xf>
    <xf numFmtId="0" fontId="0" fillId="0" borderId="0" xfId="0" applyBorder="1" applyAlignment="1">
      <alignment horizontal="left" vertical="top" wrapText="1"/>
    </xf>
    <xf numFmtId="14" fontId="15" fillId="0" borderId="0" xfId="0" applyNumberFormat="1" applyFont="1" applyFill="1" applyBorder="1" applyAlignment="1">
      <alignment horizontal="center"/>
    </xf>
    <xf numFmtId="0" fontId="30" fillId="0" borderId="0" xfId="0" applyFont="1" applyFill="1" applyBorder="1" applyAlignment="1">
      <alignment horizontal="center" vertical="center"/>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cellXfs>
  <cellStyles count="18">
    <cellStyle name="Comma" xfId="7" builtinId="3"/>
    <cellStyle name="Comma 2" xfId="2"/>
    <cellStyle name="Comma 2 2" xfId="4"/>
    <cellStyle name="Currency" xfId="1" builtinId="4"/>
    <cellStyle name="Currency 2" xfId="3"/>
    <cellStyle name="Currency 2 2" xfId="8"/>
    <cellStyle name="Currency 2 3" xfId="9"/>
    <cellStyle name="Hyperlink" xfId="17" builtinId="8"/>
    <cellStyle name="Hyperlink 2" xfId="10"/>
    <cellStyle name="Normal" xfId="0" builtinId="0"/>
    <cellStyle name="Normal 11" xfId="11"/>
    <cellStyle name="Normal 2" xfId="5"/>
    <cellStyle name="Normal 2 2" xfId="12"/>
    <cellStyle name="Normal 3" xfId="13"/>
    <cellStyle name="Normal 5 2 2 2" xfId="14"/>
    <cellStyle name="Percent" xfId="6" builtinId="5"/>
    <cellStyle name="Percent 2" xfId="15"/>
    <cellStyle name="Percent 2 2" xfId="16"/>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11.xml"/><Relationship Id="rId18" Type="http://schemas.openxmlformats.org/officeDocument/2006/relationships/externalLink" Target="externalLinks/externalLink5.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0.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8.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0</c:v>
                </c:pt>
                <c:pt idx="3">
                  <c:v>0</c:v>
                </c:pt>
                <c:pt idx="4">
                  <c:v>1.0361879999999999</c:v>
                </c:pt>
                <c:pt idx="5">
                  <c:v>2.0723759999999998</c:v>
                </c:pt>
                <c:pt idx="6">
                  <c:v>3.1085639999999994</c:v>
                </c:pt>
                <c:pt idx="7">
                  <c:v>4.1001959159999997</c:v>
                </c:pt>
                <c:pt idx="8">
                  <c:v>5.0918278319999999</c:v>
                </c:pt>
                <c:pt idx="9">
                  <c:v>6.0834597480000001</c:v>
                </c:pt>
                <c:pt idx="10">
                  <c:v>7.0528136220000004</c:v>
                </c:pt>
                <c:pt idx="11">
                  <c:v>8.0221674959999998</c:v>
                </c:pt>
                <c:pt idx="12">
                  <c:v>8.9500738500000008</c:v>
                </c:pt>
                <c:pt idx="13">
                  <c:v>9.866841183</c:v>
                </c:pt>
                <c:pt idx="14">
                  <c:v>10.742160995999999</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0</c:v>
                </c:pt>
                <c:pt idx="3">
                  <c:v>0</c:v>
                </c:pt>
                <c:pt idx="4">
                  <c:v>3.1085640000000003</c:v>
                </c:pt>
                <c:pt idx="5">
                  <c:v>6.2171280000000007</c:v>
                </c:pt>
                <c:pt idx="6">
                  <c:v>9.3256920000000001</c:v>
                </c:pt>
                <c:pt idx="7">
                  <c:v>12.300587748000002</c:v>
                </c:pt>
                <c:pt idx="8">
                  <c:v>15.275483496000003</c:v>
                </c:pt>
                <c:pt idx="9">
                  <c:v>18.250379244000005</c:v>
                </c:pt>
                <c:pt idx="10">
                  <c:v>21.158440866000003</c:v>
                </c:pt>
                <c:pt idx="11">
                  <c:v>24.066502488000001</c:v>
                </c:pt>
                <c:pt idx="12">
                  <c:v>26.850221550000004</c:v>
                </c:pt>
                <c:pt idx="13">
                  <c:v>29.600523549000005</c:v>
                </c:pt>
                <c:pt idx="14">
                  <c:v>32.226482988000008</c:v>
                </c:pt>
              </c:numCache>
            </c:numRef>
          </c:val>
          <c:smooth val="0"/>
        </c:ser>
        <c:dLbls>
          <c:showLegendKey val="0"/>
          <c:showVal val="0"/>
          <c:showCatName val="0"/>
          <c:showSerName val="0"/>
          <c:showPercent val="0"/>
          <c:showBubbleSize val="0"/>
        </c:dLbls>
        <c:marker val="1"/>
        <c:smooth val="0"/>
        <c:axId val="208987648"/>
        <c:axId val="208989184"/>
      </c:lineChart>
      <c:catAx>
        <c:axId val="208987648"/>
        <c:scaling>
          <c:orientation val="minMax"/>
        </c:scaling>
        <c:delete val="0"/>
        <c:axPos val="b"/>
        <c:numFmt formatCode="General" sourceLinked="1"/>
        <c:majorTickMark val="none"/>
        <c:minorTickMark val="none"/>
        <c:tickLblPos val="nextTo"/>
        <c:crossAx val="208989184"/>
        <c:crosses val="autoZero"/>
        <c:auto val="1"/>
        <c:lblAlgn val="ctr"/>
        <c:lblOffset val="100"/>
        <c:noMultiLvlLbl val="0"/>
      </c:catAx>
      <c:valAx>
        <c:axId val="208989184"/>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0_);_(* \(#,##0.0\);_(* &quot;-&quot;??_);_(@_)" sourceLinked="1"/>
        <c:majorTickMark val="none"/>
        <c:minorTickMark val="none"/>
        <c:tickLblPos val="nextTo"/>
        <c:crossAx val="208987648"/>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0"/>
            <c:dispEq val="1"/>
            <c:trendlineLbl>
              <c:numFmt formatCode="General" sourceLinked="0"/>
            </c:trendlineLbl>
          </c:trendline>
          <c:xVal>
            <c:numRef>
              <c:f>'Raw Measure Data'!$Q$42:$X$42</c:f>
              <c:numCache>
                <c:formatCode>General</c:formatCode>
                <c:ptCount val="8"/>
                <c:pt idx="0">
                  <c:v>9</c:v>
                </c:pt>
                <c:pt idx="1">
                  <c:v>10</c:v>
                </c:pt>
                <c:pt idx="2">
                  <c:v>11</c:v>
                </c:pt>
                <c:pt idx="3">
                  <c:v>12</c:v>
                </c:pt>
                <c:pt idx="4">
                  <c:v>13</c:v>
                </c:pt>
                <c:pt idx="5">
                  <c:v>14</c:v>
                </c:pt>
                <c:pt idx="6">
                  <c:v>15</c:v>
                </c:pt>
                <c:pt idx="7">
                  <c:v>16</c:v>
                </c:pt>
              </c:numCache>
            </c:numRef>
          </c:xVal>
          <c:yVal>
            <c:numRef>
              <c:f>'Raw Measure Data'!$Q$45:$X$45</c:f>
              <c:numCache>
                <c:formatCode>General</c:formatCode>
                <c:ptCount val="8"/>
                <c:pt idx="0">
                  <c:v>6404</c:v>
                </c:pt>
                <c:pt idx="1">
                  <c:v>137595.4</c:v>
                </c:pt>
                <c:pt idx="2">
                  <c:v>32785</c:v>
                </c:pt>
                <c:pt idx="3">
                  <c:v>114897</c:v>
                </c:pt>
                <c:pt idx="4">
                  <c:v>154391</c:v>
                </c:pt>
                <c:pt idx="5">
                  <c:v>22984</c:v>
                </c:pt>
                <c:pt idx="6">
                  <c:v>12045</c:v>
                </c:pt>
                <c:pt idx="7">
                  <c:v>0</c:v>
                </c:pt>
              </c:numCache>
            </c:numRef>
          </c:yVal>
          <c:smooth val="0"/>
        </c:ser>
        <c:dLbls>
          <c:showLegendKey val="0"/>
          <c:showVal val="0"/>
          <c:showCatName val="0"/>
          <c:showSerName val="0"/>
          <c:showPercent val="0"/>
          <c:showBubbleSize val="0"/>
        </c:dLbls>
        <c:axId val="212406656"/>
        <c:axId val="212408192"/>
      </c:scatterChart>
      <c:valAx>
        <c:axId val="212406656"/>
        <c:scaling>
          <c:orientation val="minMax"/>
        </c:scaling>
        <c:delete val="0"/>
        <c:axPos val="b"/>
        <c:numFmt formatCode="General" sourceLinked="1"/>
        <c:majorTickMark val="out"/>
        <c:minorTickMark val="none"/>
        <c:tickLblPos val="nextTo"/>
        <c:crossAx val="212408192"/>
        <c:crosses val="autoZero"/>
        <c:crossBetween val="midCat"/>
      </c:valAx>
      <c:valAx>
        <c:axId val="212408192"/>
        <c:scaling>
          <c:orientation val="minMax"/>
        </c:scaling>
        <c:delete val="0"/>
        <c:axPos val="l"/>
        <c:numFmt formatCode="General" sourceLinked="1"/>
        <c:majorTickMark val="out"/>
        <c:minorTickMark val="none"/>
        <c:tickLblPos val="nextTo"/>
        <c:crossAx val="212406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 Conservative </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c:v>0</c:v>
                </c:pt>
                <c:pt idx="4">
                  <c:v>5.7732168000000006E-3</c:v>
                </c:pt>
                <c:pt idx="5">
                  <c:v>1.1546433600000001E-2</c:v>
                </c:pt>
                <c:pt idx="6">
                  <c:v>1.7319650400000001E-2</c:v>
                </c:pt>
                <c:pt idx="7">
                  <c:v>2.2844618877600004E-2</c:v>
                </c:pt>
                <c:pt idx="8">
                  <c:v>2.8369587355200003E-2</c:v>
                </c:pt>
                <c:pt idx="9">
                  <c:v>3.3894555832800002E-2</c:v>
                </c:pt>
                <c:pt idx="10">
                  <c:v>3.9295400149200001E-2</c:v>
                </c:pt>
                <c:pt idx="11">
                  <c:v>4.4696244465599999E-2</c:v>
                </c:pt>
                <c:pt idx="12">
                  <c:v>4.9866160110000002E-2</c:v>
                </c:pt>
                <c:pt idx="13">
                  <c:v>5.4974013673800004E-2</c:v>
                </c:pt>
                <c:pt idx="14">
                  <c:v>5.9850938565600004E-2</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c:v>0</c:v>
                </c:pt>
                <c:pt idx="4">
                  <c:v>1.7319650400000004E-2</c:v>
                </c:pt>
                <c:pt idx="5">
                  <c:v>3.4639300800000009E-2</c:v>
                </c:pt>
                <c:pt idx="6">
                  <c:v>5.1958951200000013E-2</c:v>
                </c:pt>
                <c:pt idx="7">
                  <c:v>6.8533856632800011E-2</c:v>
                </c:pt>
                <c:pt idx="8">
                  <c:v>8.5108762065600002E-2</c:v>
                </c:pt>
                <c:pt idx="9">
                  <c:v>0.10168366749839999</c:v>
                </c:pt>
                <c:pt idx="10">
                  <c:v>0.11788620044760001</c:v>
                </c:pt>
                <c:pt idx="11">
                  <c:v>0.13408873339680003</c:v>
                </c:pt>
                <c:pt idx="12">
                  <c:v>0.14959848033000001</c:v>
                </c:pt>
                <c:pt idx="13">
                  <c:v>0.16492204102140001</c:v>
                </c:pt>
                <c:pt idx="14">
                  <c:v>0.17955281569680001</c:v>
                </c:pt>
              </c:numCache>
            </c:numRef>
          </c:val>
          <c:smooth val="0"/>
        </c:ser>
        <c:dLbls>
          <c:showLegendKey val="0"/>
          <c:showVal val="0"/>
          <c:showCatName val="0"/>
          <c:showSerName val="0"/>
          <c:showPercent val="0"/>
          <c:showBubbleSize val="0"/>
        </c:dLbls>
        <c:marker val="1"/>
        <c:smooth val="0"/>
        <c:axId val="209017856"/>
        <c:axId val="209027840"/>
      </c:lineChart>
      <c:catAx>
        <c:axId val="209017856"/>
        <c:scaling>
          <c:orientation val="minMax"/>
        </c:scaling>
        <c:delete val="0"/>
        <c:axPos val="b"/>
        <c:numFmt formatCode="General" sourceLinked="1"/>
        <c:majorTickMark val="none"/>
        <c:minorTickMark val="none"/>
        <c:tickLblPos val="nextTo"/>
        <c:crossAx val="209027840"/>
        <c:crosses val="autoZero"/>
        <c:auto val="1"/>
        <c:lblAlgn val="ctr"/>
        <c:lblOffset val="100"/>
        <c:noMultiLvlLbl val="0"/>
      </c:catAx>
      <c:valAx>
        <c:axId val="209027840"/>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20901785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'Raw Annual Data'!$J$12</c:f>
              <c:strCache>
                <c:ptCount val="1"/>
                <c:pt idx="0">
                  <c:v>Annual Electric Savings</c:v>
                </c:pt>
              </c:strCache>
            </c:strRef>
          </c:tx>
          <c:spPr>
            <a:ln w="28575">
              <a:noFill/>
            </a:ln>
          </c:spPr>
          <c:trendline>
            <c:trendlineType val="linear"/>
            <c:dispRSqr val="1"/>
            <c:dispEq val="1"/>
            <c:trendlineLbl>
              <c:layout>
                <c:manualLayout>
                  <c:x val="0.47741602876181233"/>
                  <c:y val="-0.11120990084572761"/>
                </c:manualLayout>
              </c:layout>
              <c:numFmt formatCode="General" sourceLinked="0"/>
            </c:trendlineLbl>
          </c:trendline>
          <c:xVal>
            <c:numRef>
              <c:f>'Raw Annual Data'!$K$11:$Z$11</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'Raw Annual Data'!$K$12:$Z$12</c:f>
              <c:numCache>
                <c:formatCode>_(* #,##0.00_);_(* \(#,##0.00\);_(* "-"??_);_(@_)</c:formatCode>
                <c:ptCount val="16"/>
                <c:pt idx="0">
                  <c:v>8913851.4805194791</c:v>
                </c:pt>
                <c:pt idx="1">
                  <c:v>107611799.27272727</c:v>
                </c:pt>
                <c:pt idx="2">
                  <c:v>32224995.90909091</c:v>
                </c:pt>
                <c:pt idx="3">
                  <c:v>17359599</c:v>
                </c:pt>
                <c:pt idx="4">
                  <c:v>23024131</c:v>
                </c:pt>
                <c:pt idx="5">
                  <c:v>2715101</c:v>
                </c:pt>
                <c:pt idx="6">
                  <c:v>7608708</c:v>
                </c:pt>
                <c:pt idx="7">
                  <c:v>12106988</c:v>
                </c:pt>
                <c:pt idx="8">
                  <c:v>7443203</c:v>
                </c:pt>
                <c:pt idx="9">
                  <c:v>7565792.9090909092</c:v>
                </c:pt>
                <c:pt idx="10">
                  <c:v>27168861</c:v>
                </c:pt>
                <c:pt idx="11">
                  <c:v>15434786</c:v>
                </c:pt>
                <c:pt idx="12">
                  <c:v>19459741</c:v>
                </c:pt>
                <c:pt idx="13">
                  <c:v>10622377</c:v>
                </c:pt>
                <c:pt idx="14">
                  <c:v>26381607</c:v>
                </c:pt>
                <c:pt idx="15">
                  <c:v>17036518</c:v>
                </c:pt>
              </c:numCache>
            </c:numRef>
          </c:yVal>
          <c:smooth val="0"/>
        </c:ser>
        <c:dLbls>
          <c:showLegendKey val="0"/>
          <c:showVal val="0"/>
          <c:showCatName val="0"/>
          <c:showSerName val="0"/>
          <c:showPercent val="0"/>
          <c:showBubbleSize val="0"/>
        </c:dLbls>
        <c:axId val="209674240"/>
        <c:axId val="209675776"/>
      </c:scatterChart>
      <c:valAx>
        <c:axId val="209674240"/>
        <c:scaling>
          <c:orientation val="minMax"/>
        </c:scaling>
        <c:delete val="0"/>
        <c:axPos val="b"/>
        <c:numFmt formatCode="General" sourceLinked="1"/>
        <c:majorTickMark val="out"/>
        <c:minorTickMark val="none"/>
        <c:tickLblPos val="nextTo"/>
        <c:crossAx val="209675776"/>
        <c:crosses val="autoZero"/>
        <c:crossBetween val="midCat"/>
      </c:valAx>
      <c:valAx>
        <c:axId val="209675776"/>
        <c:scaling>
          <c:orientation val="minMax"/>
        </c:scaling>
        <c:delete val="0"/>
        <c:axPos val="l"/>
        <c:numFmt formatCode="_(* #,##0.00_);_(* \(#,##0.00\);_(* &quot;-&quot;??_);_(@_)" sourceLinked="1"/>
        <c:majorTickMark val="out"/>
        <c:minorTickMark val="none"/>
        <c:tickLblPos val="nextTo"/>
        <c:crossAx val="209674240"/>
        <c:crosses val="autoZero"/>
        <c:crossBetween val="midCat"/>
      </c:valAx>
    </c:plotArea>
    <c:legend>
      <c:legendPos val="r"/>
      <c:layout>
        <c:manualLayout>
          <c:xMode val="edge"/>
          <c:yMode val="edge"/>
          <c:x val="0.62787335958005253"/>
          <c:y val="0.61722987751531055"/>
          <c:w val="0.34157108486439197"/>
          <c:h val="0.27931321084864391"/>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5787123965273572"/>
          <c:y val="0.19480351414406533"/>
          <c:w val="0.76177619624470017"/>
          <c:h val="0.75379593175853021"/>
        </c:manualLayout>
      </c:layout>
      <c:scatterChart>
        <c:scatterStyle val="lineMarker"/>
        <c:varyColors val="0"/>
        <c:ser>
          <c:idx val="0"/>
          <c:order val="0"/>
          <c:tx>
            <c:strRef>
              <c:f>'Raw Annual Data'!$J$15</c:f>
              <c:strCache>
                <c:ptCount val="1"/>
                <c:pt idx="0">
                  <c:v>Annual Gas Savings</c:v>
                </c:pt>
              </c:strCache>
            </c:strRef>
          </c:tx>
          <c:spPr>
            <a:ln w="28575">
              <a:noFill/>
            </a:ln>
          </c:spPr>
          <c:trendline>
            <c:trendlineType val="linear"/>
            <c:dispRSqr val="1"/>
            <c:dispEq val="1"/>
            <c:trendlineLbl>
              <c:layout>
                <c:manualLayout>
                  <c:x val="0.43279199475065616"/>
                  <c:y val="-0.1679844706911636"/>
                </c:manualLayout>
              </c:layout>
              <c:numFmt formatCode="General" sourceLinked="0"/>
            </c:trendlineLbl>
          </c:trendline>
          <c:xVal>
            <c:numRef>
              <c:f>'Raw Annual Data'!$K$11:$Z$11</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'Raw Annual Data'!$K$15:$Z$15</c:f>
              <c:numCache>
                <c:formatCode>_(* #,##0.00_);_(* \(#,##0.00\);_(* "-"??_);_(@_)</c:formatCode>
                <c:ptCount val="16"/>
                <c:pt idx="0">
                  <c:v>62947.071428571442</c:v>
                </c:pt>
                <c:pt idx="1">
                  <c:v>-246097.59999999998</c:v>
                </c:pt>
                <c:pt idx="2">
                  <c:v>-160612.6</c:v>
                </c:pt>
                <c:pt idx="3">
                  <c:v>-3667</c:v>
                </c:pt>
                <c:pt idx="4">
                  <c:v>-504457</c:v>
                </c:pt>
                <c:pt idx="5">
                  <c:v>10744</c:v>
                </c:pt>
                <c:pt idx="6">
                  <c:v>62193</c:v>
                </c:pt>
                <c:pt idx="7">
                  <c:v>368854</c:v>
                </c:pt>
                <c:pt idx="8">
                  <c:v>60355</c:v>
                </c:pt>
                <c:pt idx="9">
                  <c:v>25817.35</c:v>
                </c:pt>
                <c:pt idx="10">
                  <c:v>170817.4</c:v>
                </c:pt>
                <c:pt idx="11">
                  <c:v>32785</c:v>
                </c:pt>
                <c:pt idx="12">
                  <c:v>114897</c:v>
                </c:pt>
                <c:pt idx="13">
                  <c:v>154391</c:v>
                </c:pt>
                <c:pt idx="14">
                  <c:v>80977</c:v>
                </c:pt>
                <c:pt idx="15">
                  <c:v>12045</c:v>
                </c:pt>
              </c:numCache>
            </c:numRef>
          </c:yVal>
          <c:smooth val="0"/>
        </c:ser>
        <c:dLbls>
          <c:showLegendKey val="0"/>
          <c:showVal val="0"/>
          <c:showCatName val="0"/>
          <c:showSerName val="0"/>
          <c:showPercent val="0"/>
          <c:showBubbleSize val="0"/>
        </c:dLbls>
        <c:axId val="209692928"/>
        <c:axId val="209698816"/>
      </c:scatterChart>
      <c:valAx>
        <c:axId val="209692928"/>
        <c:scaling>
          <c:orientation val="minMax"/>
        </c:scaling>
        <c:delete val="0"/>
        <c:axPos val="b"/>
        <c:numFmt formatCode="General" sourceLinked="1"/>
        <c:majorTickMark val="out"/>
        <c:minorTickMark val="none"/>
        <c:tickLblPos val="nextTo"/>
        <c:crossAx val="209698816"/>
        <c:crosses val="autoZero"/>
        <c:crossBetween val="midCat"/>
      </c:valAx>
      <c:valAx>
        <c:axId val="209698816"/>
        <c:scaling>
          <c:orientation val="minMax"/>
        </c:scaling>
        <c:delete val="0"/>
        <c:axPos val="l"/>
        <c:numFmt formatCode="_(* #,##0.00_);_(* \(#,##0.00\);_(* &quot;-&quot;??_);_(@_)" sourceLinked="1"/>
        <c:majorTickMark val="out"/>
        <c:minorTickMark val="none"/>
        <c:tickLblPos val="nextTo"/>
        <c:crossAx val="2096929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'Raw Annual Data'!$L$64:$AJ$64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'Raw Annual Data'!$L$66:$AJ$66</c:f>
              <c:numCache>
                <c:formatCode>General</c:formatCode>
                <c:ptCount val="25"/>
                <c:pt idx="0" formatCode="0%">
                  <c:v>1</c:v>
                </c:pt>
                <c:pt idx="2" formatCode="0%">
                  <c:v>0.29945597162092885</c:v>
                </c:pt>
                <c:pt idx="3" formatCode="0%">
                  <c:v>0.53869980461666178</c:v>
                </c:pt>
                <c:pt idx="4" formatCode="0%">
                  <c:v>1.3263054636227485</c:v>
                </c:pt>
                <c:pt idx="5" formatCode="0%">
                  <c:v>0.11792414662685857</c:v>
                </c:pt>
                <c:pt idx="6" formatCode="0%">
                  <c:v>2.8023664681350713</c:v>
                </c:pt>
                <c:pt idx="7" formatCode="0%">
                  <c:v>1.5912015548500482</c:v>
                </c:pt>
                <c:pt idx="8" formatCode="0%">
                  <c:v>0.61478569236212999</c:v>
                </c:pt>
                <c:pt idx="9" formatCode="0%">
                  <c:v>1.0164700477860014</c:v>
                </c:pt>
                <c:pt idx="10" formatCode="0%">
                  <c:v>3.59101304072894</c:v>
                </c:pt>
                <c:pt idx="11" formatCode="0%">
                  <c:v>0.56810574429307137</c:v>
                </c:pt>
                <c:pt idx="12" formatCode="0%">
                  <c:v>1.2607716750980544</c:v>
                </c:pt>
                <c:pt idx="13" formatCode="0%">
                  <c:v>0.54586425379453918</c:v>
                </c:pt>
                <c:pt idx="14" formatCode="0%">
                  <c:v>2.4835879012767106</c:v>
                </c:pt>
                <c:pt idx="15" formatCode="0%">
                  <c:v>0.64577256419595663</c:v>
                </c:pt>
                <c:pt idx="16" formatCode="0%">
                  <c:v>0.45847185501108884</c:v>
                </c:pt>
                <c:pt idx="17" formatCode="0%">
                  <c:v>0.79505485002751863</c:v>
                </c:pt>
                <c:pt idx="18" formatCode="0%">
                  <c:v>0.74222514337798484</c:v>
                </c:pt>
                <c:pt idx="19" formatCode="0%">
                  <c:v>0.65269991333244148</c:v>
                </c:pt>
                <c:pt idx="20" formatCode="0%">
                  <c:v>0.46790235516614231</c:v>
                </c:pt>
                <c:pt idx="21" formatCode="0%">
                  <c:v>-0.13719804775310326</c:v>
                </c:pt>
                <c:pt idx="22" formatCode="0%">
                  <c:v>9.2887334504877632</c:v>
                </c:pt>
                <c:pt idx="23" formatCode="0%">
                  <c:v>1.8923426960922192</c:v>
                </c:pt>
                <c:pt idx="24" formatCode="0%">
                  <c:v>1.4715544905976519</c:v>
                </c:pt>
              </c:numCache>
            </c:numRef>
          </c:yVal>
          <c:smooth val="0"/>
        </c:ser>
        <c:dLbls>
          <c:showLegendKey val="0"/>
          <c:showVal val="0"/>
          <c:showCatName val="0"/>
          <c:showSerName val="0"/>
          <c:showPercent val="0"/>
          <c:showBubbleSize val="0"/>
        </c:dLbls>
        <c:axId val="209715200"/>
        <c:axId val="209716736"/>
      </c:scatterChart>
      <c:valAx>
        <c:axId val="209715200"/>
        <c:scaling>
          <c:orientation val="minMax"/>
        </c:scaling>
        <c:delete val="0"/>
        <c:axPos val="b"/>
        <c:numFmt formatCode="General" sourceLinked="1"/>
        <c:majorTickMark val="out"/>
        <c:minorTickMark val="none"/>
        <c:tickLblPos val="nextTo"/>
        <c:crossAx val="209716736"/>
        <c:crosses val="autoZero"/>
        <c:crossBetween val="midCat"/>
      </c:valAx>
      <c:valAx>
        <c:axId val="209716736"/>
        <c:scaling>
          <c:orientation val="minMax"/>
        </c:scaling>
        <c:delete val="0"/>
        <c:axPos val="l"/>
        <c:majorGridlines/>
        <c:numFmt formatCode="0%" sourceLinked="1"/>
        <c:majorTickMark val="out"/>
        <c:minorTickMark val="none"/>
        <c:tickLblPos val="nextTo"/>
        <c:crossAx val="2097152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'Raw Annual Data'!$L$64:$AJ$64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'Raw Annual Data'!$L$65:$AJ$65</c:f>
              <c:numCache>
                <c:formatCode>General</c:formatCode>
                <c:ptCount val="25"/>
                <c:pt idx="0">
                  <c:v>8913851.4805194791</c:v>
                </c:pt>
                <c:pt idx="1">
                  <c:v>107611799.27272727</c:v>
                </c:pt>
                <c:pt idx="2">
                  <c:v>32224995.90909091</c:v>
                </c:pt>
                <c:pt idx="3">
                  <c:v>17359599</c:v>
                </c:pt>
                <c:pt idx="4">
                  <c:v>23024131</c:v>
                </c:pt>
                <c:pt idx="5">
                  <c:v>2715101</c:v>
                </c:pt>
                <c:pt idx="6">
                  <c:v>7608708</c:v>
                </c:pt>
                <c:pt idx="7">
                  <c:v>12106988</c:v>
                </c:pt>
                <c:pt idx="8">
                  <c:v>7443203</c:v>
                </c:pt>
                <c:pt idx="9">
                  <c:v>7565792.9090909092</c:v>
                </c:pt>
                <c:pt idx="10">
                  <c:v>27168861</c:v>
                </c:pt>
                <c:pt idx="11">
                  <c:v>15434786</c:v>
                </c:pt>
                <c:pt idx="12">
                  <c:v>19459741</c:v>
                </c:pt>
                <c:pt idx="13">
                  <c:v>10622377</c:v>
                </c:pt>
                <c:pt idx="14">
                  <c:v>26381607</c:v>
                </c:pt>
                <c:pt idx="15">
                  <c:v>17036518</c:v>
                </c:pt>
                <c:pt idx="16">
                  <c:v>7810764.0103898048</c:v>
                </c:pt>
                <c:pt idx="17">
                  <c:v>6209985.808880806</c:v>
                </c:pt>
                <c:pt idx="18">
                  <c:v>4609207.6073718071</c:v>
                </c:pt>
                <c:pt idx="19">
                  <c:v>3008429.4058628082</c:v>
                </c:pt>
                <c:pt idx="20">
                  <c:v>1407651.2043542862</c:v>
                </c:pt>
                <c:pt idx="21">
                  <c:v>-193126.99715471268</c:v>
                </c:pt>
                <c:pt idx="22">
                  <c:v>-1793905.1986632347</c:v>
                </c:pt>
                <c:pt idx="23">
                  <c:v>-3394683.4001722336</c:v>
                </c:pt>
                <c:pt idx="24">
                  <c:v>-4995461.6016807556</c:v>
                </c:pt>
              </c:numCache>
            </c:numRef>
          </c:yVal>
          <c:smooth val="0"/>
        </c:ser>
        <c:dLbls>
          <c:showLegendKey val="0"/>
          <c:showVal val="0"/>
          <c:showCatName val="0"/>
          <c:showSerName val="0"/>
          <c:showPercent val="0"/>
          <c:showBubbleSize val="0"/>
        </c:dLbls>
        <c:axId val="209761408"/>
        <c:axId val="209762944"/>
      </c:scatterChart>
      <c:valAx>
        <c:axId val="209761408"/>
        <c:scaling>
          <c:orientation val="minMax"/>
        </c:scaling>
        <c:delete val="0"/>
        <c:axPos val="b"/>
        <c:numFmt formatCode="General" sourceLinked="1"/>
        <c:majorTickMark val="out"/>
        <c:minorTickMark val="none"/>
        <c:tickLblPos val="nextTo"/>
        <c:crossAx val="209762944"/>
        <c:crosses val="autoZero"/>
        <c:crossBetween val="midCat"/>
      </c:valAx>
      <c:valAx>
        <c:axId val="209762944"/>
        <c:scaling>
          <c:orientation val="minMax"/>
        </c:scaling>
        <c:delete val="0"/>
        <c:axPos val="l"/>
        <c:majorGridlines/>
        <c:numFmt formatCode="General" sourceLinked="1"/>
        <c:majorTickMark val="out"/>
        <c:minorTickMark val="none"/>
        <c:tickLblPos val="nextTo"/>
        <c:crossAx val="2097614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'Raw Annual Data'!$L$77:$AB$77</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xVal>
          <c:yVal>
            <c:numRef>
              <c:f>'Raw Annual Data'!$L$78:$AB$78</c:f>
              <c:numCache>
                <c:formatCode>_("$"* #,##0.00_);_("$"* \(#,##0.00\);_("$"* "-"??_);_(@_)</c:formatCode>
                <c:ptCount val="17"/>
                <c:pt idx="0">
                  <c:v>0.83126514012416275</c:v>
                </c:pt>
                <c:pt idx="1">
                  <c:v>0.40718186384887406</c:v>
                </c:pt>
                <c:pt idx="2">
                  <c:v>0.52992050171781524</c:v>
                </c:pt>
                <c:pt idx="3">
                  <c:v>0.84744313506320046</c:v>
                </c:pt>
                <c:pt idx="4">
                  <c:v>0.88440610418695065</c:v>
                </c:pt>
                <c:pt idx="5">
                  <c:v>1.0272568129141419</c:v>
                </c:pt>
                <c:pt idx="6">
                  <c:v>1.460308504413627</c:v>
                </c:pt>
                <c:pt idx="7">
                  <c:v>1.1648132466968664</c:v>
                </c:pt>
                <c:pt idx="8">
                  <c:v>1.0932656277143054</c:v>
                </c:pt>
                <c:pt idx="9">
                  <c:v>0.8918194141809711</c:v>
                </c:pt>
                <c:pt idx="10">
                  <c:v>1.4121898595601781</c:v>
                </c:pt>
                <c:pt idx="11">
                  <c:v>0.65288958330876756</c:v>
                </c:pt>
                <c:pt idx="12">
                  <c:v>1.3642294108642041</c:v>
                </c:pt>
                <c:pt idx="13">
                  <c:v>1.5691293954262779</c:v>
                </c:pt>
                <c:pt idx="14">
                  <c:v>1.6933335031486141</c:v>
                </c:pt>
                <c:pt idx="15">
                  <c:v>1.872374566211241</c:v>
                </c:pt>
                <c:pt idx="16">
                  <c:v>2.253173438166864</c:v>
                </c:pt>
              </c:numCache>
            </c:numRef>
          </c:yVal>
          <c:smooth val="0"/>
        </c:ser>
        <c:dLbls>
          <c:showLegendKey val="0"/>
          <c:showVal val="0"/>
          <c:showCatName val="0"/>
          <c:showSerName val="0"/>
          <c:showPercent val="0"/>
          <c:showBubbleSize val="0"/>
        </c:dLbls>
        <c:axId val="209770752"/>
        <c:axId val="211484672"/>
      </c:scatterChart>
      <c:valAx>
        <c:axId val="209770752"/>
        <c:scaling>
          <c:orientation val="minMax"/>
        </c:scaling>
        <c:delete val="0"/>
        <c:axPos val="b"/>
        <c:numFmt formatCode="General" sourceLinked="1"/>
        <c:majorTickMark val="out"/>
        <c:minorTickMark val="none"/>
        <c:tickLblPos val="nextTo"/>
        <c:crossAx val="211484672"/>
        <c:crosses val="autoZero"/>
        <c:crossBetween val="midCat"/>
      </c:valAx>
      <c:valAx>
        <c:axId val="211484672"/>
        <c:scaling>
          <c:orientation val="minMax"/>
        </c:scaling>
        <c:delete val="0"/>
        <c:axPos val="l"/>
        <c:majorGridlines/>
        <c:numFmt formatCode="_(&quot;$&quot;* #,##0.00_);_(&quot;$&quot;* \(#,##0.00\);_(&quot;$&quot;* &quot;-&quot;??_);_(@_)" sourceLinked="1"/>
        <c:majorTickMark val="out"/>
        <c:minorTickMark val="none"/>
        <c:tickLblPos val="nextTo"/>
        <c:crossAx val="2097707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'Raw Annual Data'!$L$77:$AB$77</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xVal>
          <c:yVal>
            <c:numRef>
              <c:f>'Raw Annual Data'!$L$79:$AB$79</c:f>
              <c:numCache>
                <c:formatCode>_("$"* #,##0.00_);_("$"* \(#,##0.00\);_("$"* "-"??_);_(@_)</c:formatCode>
                <c:ptCount val="17"/>
                <c:pt idx="0">
                  <c:v>117.71435639238859</c:v>
                </c:pt>
                <c:pt idx="1">
                  <c:v>-178.04957464030534</c:v>
                </c:pt>
                <c:pt idx="2">
                  <c:v>-106.32220635242814</c:v>
                </c:pt>
                <c:pt idx="3">
                  <c:v>-4011.8006544859559</c:v>
                </c:pt>
                <c:pt idx="4">
                  <c:v>-40.365545527170802</c:v>
                </c:pt>
                <c:pt idx="5">
                  <c:v>259.59661206254651</c:v>
                </c:pt>
                <c:pt idx="6">
                  <c:v>178.65452703680478</c:v>
                </c:pt>
                <c:pt idx="7">
                  <c:v>38.232959382303022</c:v>
                </c:pt>
                <c:pt idx="8">
                  <c:v>134.82558197332449</c:v>
                </c:pt>
                <c:pt idx="9">
                  <c:v>261.34831808841727</c:v>
                </c:pt>
                <c:pt idx="10">
                  <c:v>224.61171988333743</c:v>
                </c:pt>
                <c:pt idx="11">
                  <c:v>307.37260942504196</c:v>
                </c:pt>
                <c:pt idx="12">
                  <c:v>231.055214670531</c:v>
                </c:pt>
                <c:pt idx="13">
                  <c:v>107.95890952192809</c:v>
                </c:pt>
                <c:pt idx="14">
                  <c:v>551.67342578756927</c:v>
                </c:pt>
                <c:pt idx="15">
                  <c:v>2648.2974678289747</c:v>
                </c:pt>
                <c:pt idx="16">
                  <c:v>105.27348493076951</c:v>
                </c:pt>
              </c:numCache>
            </c:numRef>
          </c:yVal>
          <c:smooth val="0"/>
        </c:ser>
        <c:dLbls>
          <c:showLegendKey val="0"/>
          <c:showVal val="0"/>
          <c:showCatName val="0"/>
          <c:showSerName val="0"/>
          <c:showPercent val="0"/>
          <c:showBubbleSize val="0"/>
        </c:dLbls>
        <c:axId val="211500416"/>
        <c:axId val="211530880"/>
      </c:scatterChart>
      <c:valAx>
        <c:axId val="211500416"/>
        <c:scaling>
          <c:orientation val="minMax"/>
        </c:scaling>
        <c:delete val="0"/>
        <c:axPos val="b"/>
        <c:numFmt formatCode="General" sourceLinked="1"/>
        <c:majorTickMark val="out"/>
        <c:minorTickMark val="none"/>
        <c:tickLblPos val="nextTo"/>
        <c:crossAx val="211530880"/>
        <c:crosses val="autoZero"/>
        <c:crossBetween val="midCat"/>
      </c:valAx>
      <c:valAx>
        <c:axId val="211530880"/>
        <c:scaling>
          <c:orientation val="minMax"/>
        </c:scaling>
        <c:delete val="0"/>
        <c:axPos val="l"/>
        <c:majorGridlines/>
        <c:numFmt formatCode="_(&quot;$&quot;* #,##0.00_);_(&quot;$&quot;* \(#,##0.00\);_(&quot;$&quot;* &quot;-&quot;??_);_(@_)" sourceLinked="1"/>
        <c:majorTickMark val="out"/>
        <c:minorTickMark val="none"/>
        <c:tickLblPos val="nextTo"/>
        <c:crossAx val="2115004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5648840769903763"/>
          <c:y val="9.5413966111378937E-2"/>
          <c:w val="0.77481583552055988"/>
          <c:h val="0.84777956326887716"/>
        </c:manualLayout>
      </c:layout>
      <c:scatterChart>
        <c:scatterStyle val="lineMarker"/>
        <c:varyColors val="0"/>
        <c:ser>
          <c:idx val="0"/>
          <c:order val="0"/>
          <c:tx>
            <c:strRef>
              <c:f>'Raw Measure Data'!$P$43</c:f>
              <c:strCache>
                <c:ptCount val="1"/>
                <c:pt idx="0">
                  <c:v>kWh savings</c:v>
                </c:pt>
              </c:strCache>
            </c:strRef>
          </c:tx>
          <c:spPr>
            <a:ln w="28575">
              <a:noFill/>
            </a:ln>
          </c:spPr>
          <c:trendline>
            <c:trendlineType val="linear"/>
            <c:dispRSqr val="0"/>
            <c:dispEq val="1"/>
            <c:trendlineLbl>
              <c:layout>
                <c:manualLayout>
                  <c:x val="7.5756780402449694E-3"/>
                  <c:y val="-4.7820064158646839E-3"/>
                </c:manualLayout>
              </c:layout>
              <c:numFmt formatCode="General" sourceLinked="0"/>
            </c:trendlineLbl>
          </c:trendline>
          <c:xVal>
            <c:numRef>
              <c:f>'Raw Measure Data'!$Q$42:$X$42</c:f>
              <c:numCache>
                <c:formatCode>General</c:formatCode>
                <c:ptCount val="8"/>
                <c:pt idx="0">
                  <c:v>9</c:v>
                </c:pt>
                <c:pt idx="1">
                  <c:v>10</c:v>
                </c:pt>
                <c:pt idx="2">
                  <c:v>11</c:v>
                </c:pt>
                <c:pt idx="3">
                  <c:v>12</c:v>
                </c:pt>
                <c:pt idx="4">
                  <c:v>13</c:v>
                </c:pt>
                <c:pt idx="5">
                  <c:v>14</c:v>
                </c:pt>
                <c:pt idx="6">
                  <c:v>15</c:v>
                </c:pt>
                <c:pt idx="7">
                  <c:v>16</c:v>
                </c:pt>
              </c:numCache>
            </c:numRef>
          </c:xVal>
          <c:yVal>
            <c:numRef>
              <c:f>'Raw Measure Data'!$Q$43:$X$43</c:f>
              <c:numCache>
                <c:formatCode>_(* #,##0.00_);_(* \(#,##0.00\);_(* "-"??_);_(@_)</c:formatCode>
                <c:ptCount val="8"/>
                <c:pt idx="0">
                  <c:v>5833660</c:v>
                </c:pt>
                <c:pt idx="1">
                  <c:v>18540275</c:v>
                </c:pt>
                <c:pt idx="2">
                  <c:v>5319699</c:v>
                </c:pt>
                <c:pt idx="3">
                  <c:v>20608708</c:v>
                </c:pt>
                <c:pt idx="4">
                  <c:v>9538151</c:v>
                </c:pt>
                <c:pt idx="5">
                  <c:v>13018964</c:v>
                </c:pt>
                <c:pt idx="6">
                  <c:v>6532221</c:v>
                </c:pt>
                <c:pt idx="7">
                  <c:v>6957322</c:v>
                </c:pt>
              </c:numCache>
            </c:numRef>
          </c:yVal>
          <c:smooth val="0"/>
        </c:ser>
        <c:dLbls>
          <c:showLegendKey val="0"/>
          <c:showVal val="0"/>
          <c:showCatName val="0"/>
          <c:showSerName val="0"/>
          <c:showPercent val="0"/>
          <c:showBubbleSize val="0"/>
        </c:dLbls>
        <c:axId val="212117376"/>
        <c:axId val="212118912"/>
      </c:scatterChart>
      <c:valAx>
        <c:axId val="212117376"/>
        <c:scaling>
          <c:orientation val="minMax"/>
        </c:scaling>
        <c:delete val="0"/>
        <c:axPos val="b"/>
        <c:numFmt formatCode="General" sourceLinked="1"/>
        <c:majorTickMark val="out"/>
        <c:minorTickMark val="none"/>
        <c:tickLblPos val="nextTo"/>
        <c:crossAx val="212118912"/>
        <c:crosses val="autoZero"/>
        <c:crossBetween val="midCat"/>
      </c:valAx>
      <c:valAx>
        <c:axId val="212118912"/>
        <c:scaling>
          <c:orientation val="minMax"/>
        </c:scaling>
        <c:delete val="0"/>
        <c:axPos val="l"/>
        <c:numFmt formatCode="_(* #,##0.00_);_(* \(#,##0.00\);_(* &quot;-&quot;??_);_(@_)" sourceLinked="1"/>
        <c:majorTickMark val="out"/>
        <c:minorTickMark val="none"/>
        <c:tickLblPos val="nextTo"/>
        <c:crossAx val="212117376"/>
        <c:crosses val="autoZero"/>
        <c:crossBetween val="midCat"/>
      </c:valAx>
    </c:plotArea>
    <c:legend>
      <c:legendPos val="r"/>
      <c:layout>
        <c:manualLayout>
          <c:xMode val="edge"/>
          <c:yMode val="edge"/>
          <c:x val="0.79381320192118843"/>
          <c:y val="0.14708197189637007"/>
          <c:w val="0.15464009855910868"/>
          <c:h val="8.2008677486742731E-2"/>
        </c:manualLayout>
      </c:layout>
      <c:overlay val="0"/>
    </c:legend>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0"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3</xdr:col>
      <xdr:colOff>218803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drawings/drawing6.xml><?xml version="1.0" encoding="utf-8"?>
<xdr:wsDr xmlns:xdr="http://schemas.openxmlformats.org/drawingml/2006/spreadsheetDrawing" xmlns:a="http://schemas.openxmlformats.org/drawingml/2006/main">
  <xdr:twoCellAnchor>
    <xdr:from>
      <xdr:col>19</xdr:col>
      <xdr:colOff>428625</xdr:colOff>
      <xdr:row>20</xdr:row>
      <xdr:rowOff>28575</xdr:rowOff>
    </xdr:from>
    <xdr:to>
      <xdr:col>27</xdr:col>
      <xdr:colOff>123825</xdr:colOff>
      <xdr:row>37</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447675</xdr:colOff>
      <xdr:row>19</xdr:row>
      <xdr:rowOff>38100</xdr:rowOff>
    </xdr:from>
    <xdr:to>
      <xdr:col>16</xdr:col>
      <xdr:colOff>762000</xdr:colOff>
      <xdr:row>36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508908</xdr:colOff>
      <xdr:row>40</xdr:row>
      <xdr:rowOff>161243</xdr:rowOff>
    </xdr:from>
    <xdr:to>
      <xdr:col>26</xdr:col>
      <xdr:colOff>214992</xdr:colOff>
      <xdr:row>57</xdr:row>
      <xdr:rowOff>151719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63954</xdr:colOff>
      <xdr:row>41</xdr:row>
      <xdr:rowOff>15648</xdr:rowOff>
    </xdr:from>
    <xdr:to>
      <xdr:col>18</xdr:col>
      <xdr:colOff>424544</xdr:colOff>
      <xdr:row>58</xdr:row>
      <xdr:rowOff>6124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1123950</xdr:colOff>
      <xdr:row>81</xdr:row>
      <xdr:rowOff>47625</xdr:rowOff>
    </xdr:from>
    <xdr:to>
      <xdr:col>17</xdr:col>
      <xdr:colOff>800100</xdr:colOff>
      <xdr:row>98</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685800</xdr:colOff>
      <xdr:row>80</xdr:row>
      <xdr:rowOff>38100</xdr:rowOff>
    </xdr:from>
    <xdr:to>
      <xdr:col>23</xdr:col>
      <xdr:colOff>647700</xdr:colOff>
      <xdr:row>97</xdr:row>
      <xdr:rowOff>28575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590550</xdr:colOff>
      <xdr:row>16</xdr:row>
      <xdr:rowOff>95250</xdr:rowOff>
    </xdr:from>
    <xdr:to>
      <xdr:col>25</xdr:col>
      <xdr:colOff>552450</xdr:colOff>
      <xdr:row>28</xdr:row>
      <xdr:rowOff>304800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542925</xdr:colOff>
      <xdr:row>16</xdr:row>
      <xdr:rowOff>66675</xdr:rowOff>
    </xdr:from>
    <xdr:to>
      <xdr:col>38</xdr:col>
      <xdr:colOff>504825</xdr:colOff>
      <xdr:row>28</xdr:row>
      <xdr:rowOff>276225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ase%203%20Calculations/Program%20Data%20Analysis%20-%20AB802%20-%20Phase%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CEC Fuel Savings for 350"/>
      <sheetName val="Look-up"/>
      <sheetName val="FS Stick Mid PA"/>
      <sheetName val="FS ADD Mid PA"/>
      <sheetName val="Summary"/>
      <sheetName val="Building Stock Data"/>
      <sheetName val="Benchma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AB 802</v>
          </cell>
        </row>
        <row r="17">
          <cell r="A17" t="str">
            <v>BRO's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leginfo.legislature.ca.gov/faces/billTextClient.xhtml?bill_id=201720180SB11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7"/>
  <sheetViews>
    <sheetView tabSelected="1" zoomScale="70" zoomScaleNormal="70" workbookViewId="0">
      <selection activeCell="C44" sqref="C44"/>
    </sheetView>
  </sheetViews>
  <sheetFormatPr defaultColWidth="8.85546875" defaultRowHeight="14.25" x14ac:dyDescent="0.2"/>
  <cols>
    <col min="1" max="1" width="8.85546875" style="295"/>
    <col min="2" max="2" width="20.5703125" style="295" customWidth="1"/>
    <col min="3" max="3" width="111.140625" style="295" customWidth="1"/>
    <col min="4" max="16384" width="8.85546875" style="295"/>
  </cols>
  <sheetData>
    <row r="8" spans="2:8" ht="22.9" x14ac:dyDescent="0.4">
      <c r="B8" s="294" t="s">
        <v>1655</v>
      </c>
      <c r="H8"/>
    </row>
    <row r="9" spans="2:8" ht="22.9" x14ac:dyDescent="0.4">
      <c r="B9" s="294" t="s">
        <v>1656</v>
      </c>
    </row>
    <row r="10" spans="2:8" ht="22.9" x14ac:dyDescent="0.4">
      <c r="B10" s="294" t="s">
        <v>1657</v>
      </c>
    </row>
    <row r="11" spans="2:8" ht="22.9" x14ac:dyDescent="0.4">
      <c r="B11" s="294"/>
      <c r="C11" s="296"/>
    </row>
    <row r="12" spans="2:8" ht="17.45" x14ac:dyDescent="0.3">
      <c r="B12" s="297" t="s">
        <v>27</v>
      </c>
    </row>
    <row r="13" spans="2:8" ht="13.9" x14ac:dyDescent="0.25">
      <c r="B13" s="295" t="s">
        <v>1658</v>
      </c>
      <c r="C13" s="295" t="s">
        <v>1722</v>
      </c>
    </row>
    <row r="14" spans="2:8" ht="13.9" x14ac:dyDescent="0.25">
      <c r="B14" s="295" t="s">
        <v>1659</v>
      </c>
      <c r="C14" s="295" t="s">
        <v>1660</v>
      </c>
    </row>
    <row r="15" spans="2:8" ht="13.9" x14ac:dyDescent="0.25">
      <c r="B15" s="295" t="s">
        <v>1661</v>
      </c>
      <c r="C15" s="295" t="s">
        <v>1662</v>
      </c>
    </row>
    <row r="16" spans="2:8" ht="13.9" x14ac:dyDescent="0.25">
      <c r="B16" s="295" t="s">
        <v>1663</v>
      </c>
      <c r="C16" s="298">
        <v>42968</v>
      </c>
    </row>
    <row r="27" spans="2:3" ht="27.6" customHeight="1" x14ac:dyDescent="0.25">
      <c r="B27" s="381" t="s">
        <v>1664</v>
      </c>
      <c r="C27" s="382"/>
    </row>
    <row r="28" spans="2:3" ht="13.9" x14ac:dyDescent="0.25">
      <c r="B28" s="299" t="s">
        <v>1665</v>
      </c>
      <c r="C28" s="300" t="s">
        <v>1666</v>
      </c>
    </row>
    <row r="29" spans="2:3" ht="13.9" x14ac:dyDescent="0.25">
      <c r="B29" s="299" t="s">
        <v>1667</v>
      </c>
      <c r="C29" s="300" t="s">
        <v>1668</v>
      </c>
    </row>
    <row r="30" spans="2:3" ht="13.9" x14ac:dyDescent="0.25">
      <c r="B30" s="299" t="s">
        <v>1669</v>
      </c>
      <c r="C30" s="300" t="s">
        <v>1670</v>
      </c>
    </row>
    <row r="31" spans="2:3" ht="13.9" x14ac:dyDescent="0.25">
      <c r="B31" s="299" t="s">
        <v>1671</v>
      </c>
      <c r="C31" s="300" t="s">
        <v>1672</v>
      </c>
    </row>
    <row r="32" spans="2:3" ht="13.9" x14ac:dyDescent="0.25">
      <c r="B32" s="299" t="s">
        <v>1669</v>
      </c>
      <c r="C32" s="300" t="s">
        <v>1673</v>
      </c>
    </row>
    <row r="33" spans="2:3" ht="13.9" x14ac:dyDescent="0.25">
      <c r="B33" s="299" t="s">
        <v>1674</v>
      </c>
      <c r="C33" s="299" t="s">
        <v>1675</v>
      </c>
    </row>
    <row r="34" spans="2:3" ht="13.9" x14ac:dyDescent="0.25">
      <c r="B34" s="299" t="s">
        <v>1676</v>
      </c>
      <c r="C34" s="299" t="s">
        <v>1677</v>
      </c>
    </row>
    <row r="35" spans="2:3" ht="13.9" x14ac:dyDescent="0.25">
      <c r="B35" s="380" t="s">
        <v>1783</v>
      </c>
      <c r="C35" s="300" t="s">
        <v>1678</v>
      </c>
    </row>
    <row r="36" spans="2:3" x14ac:dyDescent="0.2">
      <c r="B36" s="380" t="s">
        <v>1784</v>
      </c>
      <c r="C36" s="300" t="s">
        <v>1678</v>
      </c>
    </row>
    <row r="37" spans="2:3" x14ac:dyDescent="0.2">
      <c r="B37" s="380" t="s">
        <v>1785</v>
      </c>
      <c r="C37" s="300" t="s">
        <v>1678</v>
      </c>
    </row>
    <row r="38" spans="2:3" x14ac:dyDescent="0.2">
      <c r="B38" s="301"/>
      <c r="C38" s="302"/>
    </row>
    <row r="40" spans="2:3" ht="27.6" customHeight="1" x14ac:dyDescent="0.2">
      <c r="B40" s="381" t="s">
        <v>1679</v>
      </c>
      <c r="C40" s="382" t="s">
        <v>1680</v>
      </c>
    </row>
    <row r="41" spans="2:3" x14ac:dyDescent="0.2">
      <c r="B41" s="299" t="s">
        <v>0</v>
      </c>
      <c r="C41" s="300" t="s">
        <v>1681</v>
      </c>
    </row>
    <row r="42" spans="2:3" x14ac:dyDescent="0.2">
      <c r="B42" s="299" t="s">
        <v>4</v>
      </c>
      <c r="C42" s="300" t="s">
        <v>1682</v>
      </c>
    </row>
    <row r="43" spans="2:3" ht="15" x14ac:dyDescent="0.25">
      <c r="B43" s="303" t="s">
        <v>1683</v>
      </c>
      <c r="C43" s="304" t="s">
        <v>1684</v>
      </c>
    </row>
    <row r="44" spans="2:3" ht="15" x14ac:dyDescent="0.25">
      <c r="B44" s="303" t="s">
        <v>11</v>
      </c>
      <c r="C44" s="304" t="s">
        <v>1777</v>
      </c>
    </row>
    <row r="45" spans="2:3" ht="30" x14ac:dyDescent="0.25">
      <c r="B45" s="303" t="s">
        <v>1685</v>
      </c>
      <c r="C45" s="304" t="s">
        <v>1686</v>
      </c>
    </row>
    <row r="46" spans="2:3" ht="15" x14ac:dyDescent="0.25">
      <c r="B46" s="303" t="s">
        <v>1026</v>
      </c>
      <c r="C46" s="304" t="s">
        <v>1687</v>
      </c>
    </row>
    <row r="47" spans="2:3" ht="15" x14ac:dyDescent="0.25">
      <c r="B47" s="303" t="s">
        <v>1688</v>
      </c>
      <c r="C47" s="304" t="s">
        <v>1689</v>
      </c>
    </row>
  </sheetData>
  <mergeCells count="2">
    <mergeCell ref="B27:C27"/>
    <mergeCell ref="B40:C4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914"/>
  <sheetViews>
    <sheetView workbookViewId="0">
      <selection activeCell="R20" sqref="R20"/>
    </sheetView>
  </sheetViews>
  <sheetFormatPr defaultRowHeight="15" x14ac:dyDescent="0.25"/>
  <cols>
    <col min="1" max="1" width="9.85546875" style="176" customWidth="1"/>
    <col min="2" max="2" width="52.42578125" style="216" bestFit="1" customWidth="1"/>
    <col min="3" max="3" width="14.5703125" style="232" bestFit="1" customWidth="1"/>
    <col min="4" max="4" width="12.140625" style="219" bestFit="1" customWidth="1"/>
    <col min="5" max="8" width="9.140625" style="216" customWidth="1"/>
    <col min="9" max="256" width="9.140625" style="216"/>
    <col min="257" max="257" width="9.85546875" style="216" customWidth="1"/>
    <col min="258" max="258" width="52.42578125" style="216" bestFit="1" customWidth="1"/>
    <col min="259" max="259" width="14.5703125" style="216" bestFit="1" customWidth="1"/>
    <col min="260" max="260" width="12.140625" style="216" bestFit="1" customWidth="1"/>
    <col min="261" max="264" width="9.140625" style="216" customWidth="1"/>
    <col min="265" max="512" width="9.140625" style="216"/>
    <col min="513" max="513" width="9.85546875" style="216" customWidth="1"/>
    <col min="514" max="514" width="52.42578125" style="216" bestFit="1" customWidth="1"/>
    <col min="515" max="515" width="14.5703125" style="216" bestFit="1" customWidth="1"/>
    <col min="516" max="516" width="12.140625" style="216" bestFit="1" customWidth="1"/>
    <col min="517" max="520" width="9.140625" style="216" customWidth="1"/>
    <col min="521" max="768" width="9.140625" style="216"/>
    <col min="769" max="769" width="9.85546875" style="216" customWidth="1"/>
    <col min="770" max="770" width="52.42578125" style="216" bestFit="1" customWidth="1"/>
    <col min="771" max="771" width="14.5703125" style="216" bestFit="1" customWidth="1"/>
    <col min="772" max="772" width="12.140625" style="216" bestFit="1" customWidth="1"/>
    <col min="773" max="776" width="9.140625" style="216" customWidth="1"/>
    <col min="777" max="1024" width="9.140625" style="216"/>
    <col min="1025" max="1025" width="9.85546875" style="216" customWidth="1"/>
    <col min="1026" max="1026" width="52.42578125" style="216" bestFit="1" customWidth="1"/>
    <col min="1027" max="1027" width="14.5703125" style="216" bestFit="1" customWidth="1"/>
    <col min="1028" max="1028" width="12.140625" style="216" bestFit="1" customWidth="1"/>
    <col min="1029" max="1032" width="9.140625" style="216" customWidth="1"/>
    <col min="1033" max="1280" width="9.140625" style="216"/>
    <col min="1281" max="1281" width="9.85546875" style="216" customWidth="1"/>
    <col min="1282" max="1282" width="52.42578125" style="216" bestFit="1" customWidth="1"/>
    <col min="1283" max="1283" width="14.5703125" style="216" bestFit="1" customWidth="1"/>
    <col min="1284" max="1284" width="12.140625" style="216" bestFit="1" customWidth="1"/>
    <col min="1285" max="1288" width="9.140625" style="216" customWidth="1"/>
    <col min="1289" max="1536" width="9.140625" style="216"/>
    <col min="1537" max="1537" width="9.85546875" style="216" customWidth="1"/>
    <col min="1538" max="1538" width="52.42578125" style="216" bestFit="1" customWidth="1"/>
    <col min="1539" max="1539" width="14.5703125" style="216" bestFit="1" customWidth="1"/>
    <col min="1540" max="1540" width="12.140625" style="216" bestFit="1" customWidth="1"/>
    <col min="1541" max="1544" width="9.140625" style="216" customWidth="1"/>
    <col min="1545" max="1792" width="9.140625" style="216"/>
    <col min="1793" max="1793" width="9.85546875" style="216" customWidth="1"/>
    <col min="1794" max="1794" width="52.42578125" style="216" bestFit="1" customWidth="1"/>
    <col min="1795" max="1795" width="14.5703125" style="216" bestFit="1" customWidth="1"/>
    <col min="1796" max="1796" width="12.140625" style="216" bestFit="1" customWidth="1"/>
    <col min="1797" max="1800" width="9.140625" style="216" customWidth="1"/>
    <col min="1801" max="2048" width="9.140625" style="216"/>
    <col min="2049" max="2049" width="9.85546875" style="216" customWidth="1"/>
    <col min="2050" max="2050" width="52.42578125" style="216" bestFit="1" customWidth="1"/>
    <col min="2051" max="2051" width="14.5703125" style="216" bestFit="1" customWidth="1"/>
    <col min="2052" max="2052" width="12.140625" style="216" bestFit="1" customWidth="1"/>
    <col min="2053" max="2056" width="9.140625" style="216" customWidth="1"/>
    <col min="2057" max="2304" width="9.140625" style="216"/>
    <col min="2305" max="2305" width="9.85546875" style="216" customWidth="1"/>
    <col min="2306" max="2306" width="52.42578125" style="216" bestFit="1" customWidth="1"/>
    <col min="2307" max="2307" width="14.5703125" style="216" bestFit="1" customWidth="1"/>
    <col min="2308" max="2308" width="12.140625" style="216" bestFit="1" customWidth="1"/>
    <col min="2309" max="2312" width="9.140625" style="216" customWidth="1"/>
    <col min="2313" max="2560" width="9.140625" style="216"/>
    <col min="2561" max="2561" width="9.85546875" style="216" customWidth="1"/>
    <col min="2562" max="2562" width="52.42578125" style="216" bestFit="1" customWidth="1"/>
    <col min="2563" max="2563" width="14.5703125" style="216" bestFit="1" customWidth="1"/>
    <col min="2564" max="2564" width="12.140625" style="216" bestFit="1" customWidth="1"/>
    <col min="2565" max="2568" width="9.140625" style="216" customWidth="1"/>
    <col min="2569" max="2816" width="9.140625" style="216"/>
    <col min="2817" max="2817" width="9.85546875" style="216" customWidth="1"/>
    <col min="2818" max="2818" width="52.42578125" style="216" bestFit="1" customWidth="1"/>
    <col min="2819" max="2819" width="14.5703125" style="216" bestFit="1" customWidth="1"/>
    <col min="2820" max="2820" width="12.140625" style="216" bestFit="1" customWidth="1"/>
    <col min="2821" max="2824" width="9.140625" style="216" customWidth="1"/>
    <col min="2825" max="3072" width="9.140625" style="216"/>
    <col min="3073" max="3073" width="9.85546875" style="216" customWidth="1"/>
    <col min="3074" max="3074" width="52.42578125" style="216" bestFit="1" customWidth="1"/>
    <col min="3075" max="3075" width="14.5703125" style="216" bestFit="1" customWidth="1"/>
    <col min="3076" max="3076" width="12.140625" style="216" bestFit="1" customWidth="1"/>
    <col min="3077" max="3080" width="9.140625" style="216" customWidth="1"/>
    <col min="3081" max="3328" width="9.140625" style="216"/>
    <col min="3329" max="3329" width="9.85546875" style="216" customWidth="1"/>
    <col min="3330" max="3330" width="52.42578125" style="216" bestFit="1" customWidth="1"/>
    <col min="3331" max="3331" width="14.5703125" style="216" bestFit="1" customWidth="1"/>
    <col min="3332" max="3332" width="12.140625" style="216" bestFit="1" customWidth="1"/>
    <col min="3333" max="3336" width="9.140625" style="216" customWidth="1"/>
    <col min="3337" max="3584" width="9.140625" style="216"/>
    <col min="3585" max="3585" width="9.85546875" style="216" customWidth="1"/>
    <col min="3586" max="3586" width="52.42578125" style="216" bestFit="1" customWidth="1"/>
    <col min="3587" max="3587" width="14.5703125" style="216" bestFit="1" customWidth="1"/>
    <col min="3588" max="3588" width="12.140625" style="216" bestFit="1" customWidth="1"/>
    <col min="3589" max="3592" width="9.140625" style="216" customWidth="1"/>
    <col min="3593" max="3840" width="9.140625" style="216"/>
    <col min="3841" max="3841" width="9.85546875" style="216" customWidth="1"/>
    <col min="3842" max="3842" width="52.42578125" style="216" bestFit="1" customWidth="1"/>
    <col min="3843" max="3843" width="14.5703125" style="216" bestFit="1" customWidth="1"/>
    <col min="3844" max="3844" width="12.140625" style="216" bestFit="1" customWidth="1"/>
    <col min="3845" max="3848" width="9.140625" style="216" customWidth="1"/>
    <col min="3849" max="4096" width="9.140625" style="216"/>
    <col min="4097" max="4097" width="9.85546875" style="216" customWidth="1"/>
    <col min="4098" max="4098" width="52.42578125" style="216" bestFit="1" customWidth="1"/>
    <col min="4099" max="4099" width="14.5703125" style="216" bestFit="1" customWidth="1"/>
    <col min="4100" max="4100" width="12.140625" style="216" bestFit="1" customWidth="1"/>
    <col min="4101" max="4104" width="9.140625" style="216" customWidth="1"/>
    <col min="4105" max="4352" width="9.140625" style="216"/>
    <col min="4353" max="4353" width="9.85546875" style="216" customWidth="1"/>
    <col min="4354" max="4354" width="52.42578125" style="216" bestFit="1" customWidth="1"/>
    <col min="4355" max="4355" width="14.5703125" style="216" bestFit="1" customWidth="1"/>
    <col min="4356" max="4356" width="12.140625" style="216" bestFit="1" customWidth="1"/>
    <col min="4357" max="4360" width="9.140625" style="216" customWidth="1"/>
    <col min="4361" max="4608" width="9.140625" style="216"/>
    <col min="4609" max="4609" width="9.85546875" style="216" customWidth="1"/>
    <col min="4610" max="4610" width="52.42578125" style="216" bestFit="1" customWidth="1"/>
    <col min="4611" max="4611" width="14.5703125" style="216" bestFit="1" customWidth="1"/>
    <col min="4612" max="4612" width="12.140625" style="216" bestFit="1" customWidth="1"/>
    <col min="4613" max="4616" width="9.140625" style="216" customWidth="1"/>
    <col min="4617" max="4864" width="9.140625" style="216"/>
    <col min="4865" max="4865" width="9.85546875" style="216" customWidth="1"/>
    <col min="4866" max="4866" width="52.42578125" style="216" bestFit="1" customWidth="1"/>
    <col min="4867" max="4867" width="14.5703125" style="216" bestFit="1" customWidth="1"/>
    <col min="4868" max="4868" width="12.140625" style="216" bestFit="1" customWidth="1"/>
    <col min="4869" max="4872" width="9.140625" style="216" customWidth="1"/>
    <col min="4873" max="5120" width="9.140625" style="216"/>
    <col min="5121" max="5121" width="9.85546875" style="216" customWidth="1"/>
    <col min="5122" max="5122" width="52.42578125" style="216" bestFit="1" customWidth="1"/>
    <col min="5123" max="5123" width="14.5703125" style="216" bestFit="1" customWidth="1"/>
    <col min="5124" max="5124" width="12.140625" style="216" bestFit="1" customWidth="1"/>
    <col min="5125" max="5128" width="9.140625" style="216" customWidth="1"/>
    <col min="5129" max="5376" width="9.140625" style="216"/>
    <col min="5377" max="5377" width="9.85546875" style="216" customWidth="1"/>
    <col min="5378" max="5378" width="52.42578125" style="216" bestFit="1" customWidth="1"/>
    <col min="5379" max="5379" width="14.5703125" style="216" bestFit="1" customWidth="1"/>
    <col min="5380" max="5380" width="12.140625" style="216" bestFit="1" customWidth="1"/>
    <col min="5381" max="5384" width="9.140625" style="216" customWidth="1"/>
    <col min="5385" max="5632" width="9.140625" style="216"/>
    <col min="5633" max="5633" width="9.85546875" style="216" customWidth="1"/>
    <col min="5634" max="5634" width="52.42578125" style="216" bestFit="1" customWidth="1"/>
    <col min="5635" max="5635" width="14.5703125" style="216" bestFit="1" customWidth="1"/>
    <col min="5636" max="5636" width="12.140625" style="216" bestFit="1" customWidth="1"/>
    <col min="5637" max="5640" width="9.140625" style="216" customWidth="1"/>
    <col min="5641" max="5888" width="9.140625" style="216"/>
    <col min="5889" max="5889" width="9.85546875" style="216" customWidth="1"/>
    <col min="5890" max="5890" width="52.42578125" style="216" bestFit="1" customWidth="1"/>
    <col min="5891" max="5891" width="14.5703125" style="216" bestFit="1" customWidth="1"/>
    <col min="5892" max="5892" width="12.140625" style="216" bestFit="1" customWidth="1"/>
    <col min="5893" max="5896" width="9.140625" style="216" customWidth="1"/>
    <col min="5897" max="6144" width="9.140625" style="216"/>
    <col min="6145" max="6145" width="9.85546875" style="216" customWidth="1"/>
    <col min="6146" max="6146" width="52.42578125" style="216" bestFit="1" customWidth="1"/>
    <col min="6147" max="6147" width="14.5703125" style="216" bestFit="1" customWidth="1"/>
    <col min="6148" max="6148" width="12.140625" style="216" bestFit="1" customWidth="1"/>
    <col min="6149" max="6152" width="9.140625" style="216" customWidth="1"/>
    <col min="6153" max="6400" width="9.140625" style="216"/>
    <col min="6401" max="6401" width="9.85546875" style="216" customWidth="1"/>
    <col min="6402" max="6402" width="52.42578125" style="216" bestFit="1" customWidth="1"/>
    <col min="6403" max="6403" width="14.5703125" style="216" bestFit="1" customWidth="1"/>
    <col min="6404" max="6404" width="12.140625" style="216" bestFit="1" customWidth="1"/>
    <col min="6405" max="6408" width="9.140625" style="216" customWidth="1"/>
    <col min="6409" max="6656" width="9.140625" style="216"/>
    <col min="6657" max="6657" width="9.85546875" style="216" customWidth="1"/>
    <col min="6658" max="6658" width="52.42578125" style="216" bestFit="1" customWidth="1"/>
    <col min="6659" max="6659" width="14.5703125" style="216" bestFit="1" customWidth="1"/>
    <col min="6660" max="6660" width="12.140625" style="216" bestFit="1" customWidth="1"/>
    <col min="6661" max="6664" width="9.140625" style="216" customWidth="1"/>
    <col min="6665" max="6912" width="9.140625" style="216"/>
    <col min="6913" max="6913" width="9.85546875" style="216" customWidth="1"/>
    <col min="6914" max="6914" width="52.42578125" style="216" bestFit="1" customWidth="1"/>
    <col min="6915" max="6915" width="14.5703125" style="216" bestFit="1" customWidth="1"/>
    <col min="6916" max="6916" width="12.140625" style="216" bestFit="1" customWidth="1"/>
    <col min="6917" max="6920" width="9.140625" style="216" customWidth="1"/>
    <col min="6921" max="7168" width="9.140625" style="216"/>
    <col min="7169" max="7169" width="9.85546875" style="216" customWidth="1"/>
    <col min="7170" max="7170" width="52.42578125" style="216" bestFit="1" customWidth="1"/>
    <col min="7171" max="7171" width="14.5703125" style="216" bestFit="1" customWidth="1"/>
    <col min="7172" max="7172" width="12.140625" style="216" bestFit="1" customWidth="1"/>
    <col min="7173" max="7176" width="9.140625" style="216" customWidth="1"/>
    <col min="7177" max="7424" width="9.140625" style="216"/>
    <col min="7425" max="7425" width="9.85546875" style="216" customWidth="1"/>
    <col min="7426" max="7426" width="52.42578125" style="216" bestFit="1" customWidth="1"/>
    <col min="7427" max="7427" width="14.5703125" style="216" bestFit="1" customWidth="1"/>
    <col min="7428" max="7428" width="12.140625" style="216" bestFit="1" customWidth="1"/>
    <col min="7429" max="7432" width="9.140625" style="216" customWidth="1"/>
    <col min="7433" max="7680" width="9.140625" style="216"/>
    <col min="7681" max="7681" width="9.85546875" style="216" customWidth="1"/>
    <col min="7682" max="7682" width="52.42578125" style="216" bestFit="1" customWidth="1"/>
    <col min="7683" max="7683" width="14.5703125" style="216" bestFit="1" customWidth="1"/>
    <col min="7684" max="7684" width="12.140625" style="216" bestFit="1" customWidth="1"/>
    <col min="7685" max="7688" width="9.140625" style="216" customWidth="1"/>
    <col min="7689" max="7936" width="9.140625" style="216"/>
    <col min="7937" max="7937" width="9.85546875" style="216" customWidth="1"/>
    <col min="7938" max="7938" width="52.42578125" style="216" bestFit="1" customWidth="1"/>
    <col min="7939" max="7939" width="14.5703125" style="216" bestFit="1" customWidth="1"/>
    <col min="7940" max="7940" width="12.140625" style="216" bestFit="1" customWidth="1"/>
    <col min="7941" max="7944" width="9.140625" style="216" customWidth="1"/>
    <col min="7945" max="8192" width="9.140625" style="216"/>
    <col min="8193" max="8193" width="9.85546875" style="216" customWidth="1"/>
    <col min="8194" max="8194" width="52.42578125" style="216" bestFit="1" customWidth="1"/>
    <col min="8195" max="8195" width="14.5703125" style="216" bestFit="1" customWidth="1"/>
    <col min="8196" max="8196" width="12.140625" style="216" bestFit="1" customWidth="1"/>
    <col min="8197" max="8200" width="9.140625" style="216" customWidth="1"/>
    <col min="8201" max="8448" width="9.140625" style="216"/>
    <col min="8449" max="8449" width="9.85546875" style="216" customWidth="1"/>
    <col min="8450" max="8450" width="52.42578125" style="216" bestFit="1" customWidth="1"/>
    <col min="8451" max="8451" width="14.5703125" style="216" bestFit="1" customWidth="1"/>
    <col min="8452" max="8452" width="12.140625" style="216" bestFit="1" customWidth="1"/>
    <col min="8453" max="8456" width="9.140625" style="216" customWidth="1"/>
    <col min="8457" max="8704" width="9.140625" style="216"/>
    <col min="8705" max="8705" width="9.85546875" style="216" customWidth="1"/>
    <col min="8706" max="8706" width="52.42578125" style="216" bestFit="1" customWidth="1"/>
    <col min="8707" max="8707" width="14.5703125" style="216" bestFit="1" customWidth="1"/>
    <col min="8708" max="8708" width="12.140625" style="216" bestFit="1" customWidth="1"/>
    <col min="8709" max="8712" width="9.140625" style="216" customWidth="1"/>
    <col min="8713" max="8960" width="9.140625" style="216"/>
    <col min="8961" max="8961" width="9.85546875" style="216" customWidth="1"/>
    <col min="8962" max="8962" width="52.42578125" style="216" bestFit="1" customWidth="1"/>
    <col min="8963" max="8963" width="14.5703125" style="216" bestFit="1" customWidth="1"/>
    <col min="8964" max="8964" width="12.140625" style="216" bestFit="1" customWidth="1"/>
    <col min="8965" max="8968" width="9.140625" style="216" customWidth="1"/>
    <col min="8969" max="9216" width="9.140625" style="216"/>
    <col min="9217" max="9217" width="9.85546875" style="216" customWidth="1"/>
    <col min="9218" max="9218" width="52.42578125" style="216" bestFit="1" customWidth="1"/>
    <col min="9219" max="9219" width="14.5703125" style="216" bestFit="1" customWidth="1"/>
    <col min="9220" max="9220" width="12.140625" style="216" bestFit="1" customWidth="1"/>
    <col min="9221" max="9224" width="9.140625" style="216" customWidth="1"/>
    <col min="9225" max="9472" width="9.140625" style="216"/>
    <col min="9473" max="9473" width="9.85546875" style="216" customWidth="1"/>
    <col min="9474" max="9474" width="52.42578125" style="216" bestFit="1" customWidth="1"/>
    <col min="9475" max="9475" width="14.5703125" style="216" bestFit="1" customWidth="1"/>
    <col min="9476" max="9476" width="12.140625" style="216" bestFit="1" customWidth="1"/>
    <col min="9477" max="9480" width="9.140625" style="216" customWidth="1"/>
    <col min="9481" max="9728" width="9.140625" style="216"/>
    <col min="9729" max="9729" width="9.85546875" style="216" customWidth="1"/>
    <col min="9730" max="9730" width="52.42578125" style="216" bestFit="1" customWidth="1"/>
    <col min="9731" max="9731" width="14.5703125" style="216" bestFit="1" customWidth="1"/>
    <col min="9732" max="9732" width="12.140625" style="216" bestFit="1" customWidth="1"/>
    <col min="9733" max="9736" width="9.140625" style="216" customWidth="1"/>
    <col min="9737" max="9984" width="9.140625" style="216"/>
    <col min="9985" max="9985" width="9.85546875" style="216" customWidth="1"/>
    <col min="9986" max="9986" width="52.42578125" style="216" bestFit="1" customWidth="1"/>
    <col min="9987" max="9987" width="14.5703125" style="216" bestFit="1" customWidth="1"/>
    <col min="9988" max="9988" width="12.140625" style="216" bestFit="1" customWidth="1"/>
    <col min="9989" max="9992" width="9.140625" style="216" customWidth="1"/>
    <col min="9993" max="10240" width="9.140625" style="216"/>
    <col min="10241" max="10241" width="9.85546875" style="216" customWidth="1"/>
    <col min="10242" max="10242" width="52.42578125" style="216" bestFit="1" customWidth="1"/>
    <col min="10243" max="10243" width="14.5703125" style="216" bestFit="1" customWidth="1"/>
    <col min="10244" max="10244" width="12.140625" style="216" bestFit="1" customWidth="1"/>
    <col min="10245" max="10248" width="9.140625" style="216" customWidth="1"/>
    <col min="10249" max="10496" width="9.140625" style="216"/>
    <col min="10497" max="10497" width="9.85546875" style="216" customWidth="1"/>
    <col min="10498" max="10498" width="52.42578125" style="216" bestFit="1" customWidth="1"/>
    <col min="10499" max="10499" width="14.5703125" style="216" bestFit="1" customWidth="1"/>
    <col min="10500" max="10500" width="12.140625" style="216" bestFit="1" customWidth="1"/>
    <col min="10501" max="10504" width="9.140625" style="216" customWidth="1"/>
    <col min="10505" max="10752" width="9.140625" style="216"/>
    <col min="10753" max="10753" width="9.85546875" style="216" customWidth="1"/>
    <col min="10754" max="10754" width="52.42578125" style="216" bestFit="1" customWidth="1"/>
    <col min="10755" max="10755" width="14.5703125" style="216" bestFit="1" customWidth="1"/>
    <col min="10756" max="10756" width="12.140625" style="216" bestFit="1" customWidth="1"/>
    <col min="10757" max="10760" width="9.140625" style="216" customWidth="1"/>
    <col min="10761" max="11008" width="9.140625" style="216"/>
    <col min="11009" max="11009" width="9.85546875" style="216" customWidth="1"/>
    <col min="11010" max="11010" width="52.42578125" style="216" bestFit="1" customWidth="1"/>
    <col min="11011" max="11011" width="14.5703125" style="216" bestFit="1" customWidth="1"/>
    <col min="11012" max="11012" width="12.140625" style="216" bestFit="1" customWidth="1"/>
    <col min="11013" max="11016" width="9.140625" style="216" customWidth="1"/>
    <col min="11017" max="11264" width="9.140625" style="216"/>
    <col min="11265" max="11265" width="9.85546875" style="216" customWidth="1"/>
    <col min="11266" max="11266" width="52.42578125" style="216" bestFit="1" customWidth="1"/>
    <col min="11267" max="11267" width="14.5703125" style="216" bestFit="1" customWidth="1"/>
    <col min="11268" max="11268" width="12.140625" style="216" bestFit="1" customWidth="1"/>
    <col min="11269" max="11272" width="9.140625" style="216" customWidth="1"/>
    <col min="11273" max="11520" width="9.140625" style="216"/>
    <col min="11521" max="11521" width="9.85546875" style="216" customWidth="1"/>
    <col min="11522" max="11522" width="52.42578125" style="216" bestFit="1" customWidth="1"/>
    <col min="11523" max="11523" width="14.5703125" style="216" bestFit="1" customWidth="1"/>
    <col min="11524" max="11524" width="12.140625" style="216" bestFit="1" customWidth="1"/>
    <col min="11525" max="11528" width="9.140625" style="216" customWidth="1"/>
    <col min="11529" max="11776" width="9.140625" style="216"/>
    <col min="11777" max="11777" width="9.85546875" style="216" customWidth="1"/>
    <col min="11778" max="11778" width="52.42578125" style="216" bestFit="1" customWidth="1"/>
    <col min="11779" max="11779" width="14.5703125" style="216" bestFit="1" customWidth="1"/>
    <col min="11780" max="11780" width="12.140625" style="216" bestFit="1" customWidth="1"/>
    <col min="11781" max="11784" width="9.140625" style="216" customWidth="1"/>
    <col min="11785" max="12032" width="9.140625" style="216"/>
    <col min="12033" max="12033" width="9.85546875" style="216" customWidth="1"/>
    <col min="12034" max="12034" width="52.42578125" style="216" bestFit="1" customWidth="1"/>
    <col min="12035" max="12035" width="14.5703125" style="216" bestFit="1" customWidth="1"/>
    <col min="12036" max="12036" width="12.140625" style="216" bestFit="1" customWidth="1"/>
    <col min="12037" max="12040" width="9.140625" style="216" customWidth="1"/>
    <col min="12041" max="12288" width="9.140625" style="216"/>
    <col min="12289" max="12289" width="9.85546875" style="216" customWidth="1"/>
    <col min="12290" max="12290" width="52.42578125" style="216" bestFit="1" customWidth="1"/>
    <col min="12291" max="12291" width="14.5703125" style="216" bestFit="1" customWidth="1"/>
    <col min="12292" max="12292" width="12.140625" style="216" bestFit="1" customWidth="1"/>
    <col min="12293" max="12296" width="9.140625" style="216" customWidth="1"/>
    <col min="12297" max="12544" width="9.140625" style="216"/>
    <col min="12545" max="12545" width="9.85546875" style="216" customWidth="1"/>
    <col min="12546" max="12546" width="52.42578125" style="216" bestFit="1" customWidth="1"/>
    <col min="12547" max="12547" width="14.5703125" style="216" bestFit="1" customWidth="1"/>
    <col min="12548" max="12548" width="12.140625" style="216" bestFit="1" customWidth="1"/>
    <col min="12549" max="12552" width="9.140625" style="216" customWidth="1"/>
    <col min="12553" max="12800" width="9.140625" style="216"/>
    <col min="12801" max="12801" width="9.85546875" style="216" customWidth="1"/>
    <col min="12802" max="12802" width="52.42578125" style="216" bestFit="1" customWidth="1"/>
    <col min="12803" max="12803" width="14.5703125" style="216" bestFit="1" customWidth="1"/>
    <col min="12804" max="12804" width="12.140625" style="216" bestFit="1" customWidth="1"/>
    <col min="12805" max="12808" width="9.140625" style="216" customWidth="1"/>
    <col min="12809" max="13056" width="9.140625" style="216"/>
    <col min="13057" max="13057" width="9.85546875" style="216" customWidth="1"/>
    <col min="13058" max="13058" width="52.42578125" style="216" bestFit="1" customWidth="1"/>
    <col min="13059" max="13059" width="14.5703125" style="216" bestFit="1" customWidth="1"/>
    <col min="13060" max="13060" width="12.140625" style="216" bestFit="1" customWidth="1"/>
    <col min="13061" max="13064" width="9.140625" style="216" customWidth="1"/>
    <col min="13065" max="13312" width="9.140625" style="216"/>
    <col min="13313" max="13313" width="9.85546875" style="216" customWidth="1"/>
    <col min="13314" max="13314" width="52.42578125" style="216" bestFit="1" customWidth="1"/>
    <col min="13315" max="13315" width="14.5703125" style="216" bestFit="1" customWidth="1"/>
    <col min="13316" max="13316" width="12.140625" style="216" bestFit="1" customWidth="1"/>
    <col min="13317" max="13320" width="9.140625" style="216" customWidth="1"/>
    <col min="13321" max="13568" width="9.140625" style="216"/>
    <col min="13569" max="13569" width="9.85546875" style="216" customWidth="1"/>
    <col min="13570" max="13570" width="52.42578125" style="216" bestFit="1" customWidth="1"/>
    <col min="13571" max="13571" width="14.5703125" style="216" bestFit="1" customWidth="1"/>
    <col min="13572" max="13572" width="12.140625" style="216" bestFit="1" customWidth="1"/>
    <col min="13573" max="13576" width="9.140625" style="216" customWidth="1"/>
    <col min="13577" max="13824" width="9.140625" style="216"/>
    <col min="13825" max="13825" width="9.85546875" style="216" customWidth="1"/>
    <col min="13826" max="13826" width="52.42578125" style="216" bestFit="1" customWidth="1"/>
    <col min="13827" max="13827" width="14.5703125" style="216" bestFit="1" customWidth="1"/>
    <col min="13828" max="13828" width="12.140625" style="216" bestFit="1" customWidth="1"/>
    <col min="13829" max="13832" width="9.140625" style="216" customWidth="1"/>
    <col min="13833" max="14080" width="9.140625" style="216"/>
    <col min="14081" max="14081" width="9.85546875" style="216" customWidth="1"/>
    <col min="14082" max="14082" width="52.42578125" style="216" bestFit="1" customWidth="1"/>
    <col min="14083" max="14083" width="14.5703125" style="216" bestFit="1" customWidth="1"/>
    <col min="14084" max="14084" width="12.140625" style="216" bestFit="1" customWidth="1"/>
    <col min="14085" max="14088" width="9.140625" style="216" customWidth="1"/>
    <col min="14089" max="14336" width="9.140625" style="216"/>
    <col min="14337" max="14337" width="9.85546875" style="216" customWidth="1"/>
    <col min="14338" max="14338" width="52.42578125" style="216" bestFit="1" customWidth="1"/>
    <col min="14339" max="14339" width="14.5703125" style="216" bestFit="1" customWidth="1"/>
    <col min="14340" max="14340" width="12.140625" style="216" bestFit="1" customWidth="1"/>
    <col min="14341" max="14344" width="9.140625" style="216" customWidth="1"/>
    <col min="14345" max="14592" width="9.140625" style="216"/>
    <col min="14593" max="14593" width="9.85546875" style="216" customWidth="1"/>
    <col min="14594" max="14594" width="52.42578125" style="216" bestFit="1" customWidth="1"/>
    <col min="14595" max="14595" width="14.5703125" style="216" bestFit="1" customWidth="1"/>
    <col min="14596" max="14596" width="12.140625" style="216" bestFit="1" customWidth="1"/>
    <col min="14597" max="14600" width="9.140625" style="216" customWidth="1"/>
    <col min="14601" max="14848" width="9.140625" style="216"/>
    <col min="14849" max="14849" width="9.85546875" style="216" customWidth="1"/>
    <col min="14850" max="14850" width="52.42578125" style="216" bestFit="1" customWidth="1"/>
    <col min="14851" max="14851" width="14.5703125" style="216" bestFit="1" customWidth="1"/>
    <col min="14852" max="14852" width="12.140625" style="216" bestFit="1" customWidth="1"/>
    <col min="14853" max="14856" width="9.140625" style="216" customWidth="1"/>
    <col min="14857" max="15104" width="9.140625" style="216"/>
    <col min="15105" max="15105" width="9.85546875" style="216" customWidth="1"/>
    <col min="15106" max="15106" width="52.42578125" style="216" bestFit="1" customWidth="1"/>
    <col min="15107" max="15107" width="14.5703125" style="216" bestFit="1" customWidth="1"/>
    <col min="15108" max="15108" width="12.140625" style="216" bestFit="1" customWidth="1"/>
    <col min="15109" max="15112" width="9.140625" style="216" customWidth="1"/>
    <col min="15113" max="15360" width="9.140625" style="216"/>
    <col min="15361" max="15361" width="9.85546875" style="216" customWidth="1"/>
    <col min="15362" max="15362" width="52.42578125" style="216" bestFit="1" customWidth="1"/>
    <col min="15363" max="15363" width="14.5703125" style="216" bestFit="1" customWidth="1"/>
    <col min="15364" max="15364" width="12.140625" style="216" bestFit="1" customWidth="1"/>
    <col min="15365" max="15368" width="9.140625" style="216" customWidth="1"/>
    <col min="15369" max="15616" width="9.140625" style="216"/>
    <col min="15617" max="15617" width="9.85546875" style="216" customWidth="1"/>
    <col min="15618" max="15618" width="52.42578125" style="216" bestFit="1" customWidth="1"/>
    <col min="15619" max="15619" width="14.5703125" style="216" bestFit="1" customWidth="1"/>
    <col min="15620" max="15620" width="12.140625" style="216" bestFit="1" customWidth="1"/>
    <col min="15621" max="15624" width="9.140625" style="216" customWidth="1"/>
    <col min="15625" max="15872" width="9.140625" style="216"/>
    <col min="15873" max="15873" width="9.85546875" style="216" customWidth="1"/>
    <col min="15874" max="15874" width="52.42578125" style="216" bestFit="1" customWidth="1"/>
    <col min="15875" max="15875" width="14.5703125" style="216" bestFit="1" customWidth="1"/>
    <col min="15876" max="15876" width="12.140625" style="216" bestFit="1" customWidth="1"/>
    <col min="15877" max="15880" width="9.140625" style="216" customWidth="1"/>
    <col min="15881" max="16128" width="9.140625" style="216"/>
    <col min="16129" max="16129" width="9.85546875" style="216" customWidth="1"/>
    <col min="16130" max="16130" width="52.42578125" style="216" bestFit="1" customWidth="1"/>
    <col min="16131" max="16131" width="14.5703125" style="216" bestFit="1" customWidth="1"/>
    <col min="16132" max="16132" width="12.140625" style="216" bestFit="1" customWidth="1"/>
    <col min="16133" max="16136" width="9.140625" style="216" customWidth="1"/>
    <col min="16137" max="16384" width="9.140625" style="216"/>
  </cols>
  <sheetData>
    <row r="1" spans="1:8" ht="26.25" customHeight="1" x14ac:dyDescent="0.3">
      <c r="A1" s="402" t="s">
        <v>1039</v>
      </c>
      <c r="B1" s="402"/>
      <c r="C1" s="402"/>
      <c r="D1" s="402"/>
    </row>
    <row r="2" spans="1:8" ht="14.45" x14ac:dyDescent="0.3">
      <c r="A2" s="217"/>
      <c r="C2" s="218"/>
    </row>
    <row r="3" spans="1:8" s="222" customFormat="1" ht="39.6" x14ac:dyDescent="0.25">
      <c r="A3" s="403" t="s">
        <v>1040</v>
      </c>
      <c r="B3" s="404"/>
      <c r="C3" s="220" t="s">
        <v>1041</v>
      </c>
      <c r="D3" s="221" t="s">
        <v>1042</v>
      </c>
    </row>
    <row r="4" spans="1:8" s="18" customFormat="1" ht="13.15" x14ac:dyDescent="0.25">
      <c r="A4" s="223" t="s">
        <v>1043</v>
      </c>
      <c r="C4" s="224">
        <f>B355</f>
        <v>340</v>
      </c>
      <c r="D4" s="225">
        <f>C355</f>
        <v>228664291</v>
      </c>
      <c r="F4" s="226"/>
      <c r="G4" s="226"/>
      <c r="H4" s="226"/>
    </row>
    <row r="5" spans="1:8" s="18" customFormat="1" ht="13.15" x14ac:dyDescent="0.25">
      <c r="A5" s="223" t="s">
        <v>1044</v>
      </c>
      <c r="C5" s="224">
        <f>B718</f>
        <v>357</v>
      </c>
      <c r="D5" s="225">
        <f>C718</f>
        <v>95669928</v>
      </c>
      <c r="F5" s="226"/>
      <c r="G5" s="226"/>
      <c r="H5" s="226"/>
    </row>
    <row r="6" spans="1:8" s="18" customFormat="1" ht="13.15" x14ac:dyDescent="0.25">
      <c r="A6" s="223" t="s">
        <v>1045</v>
      </c>
      <c r="C6" s="224">
        <f>B802</f>
        <v>78</v>
      </c>
      <c r="D6" s="225">
        <f>C802</f>
        <v>38798900</v>
      </c>
      <c r="F6" s="226"/>
      <c r="G6" s="226"/>
      <c r="H6" s="226"/>
    </row>
    <row r="7" spans="1:8" s="18" customFormat="1" ht="13.15" x14ac:dyDescent="0.25">
      <c r="A7" s="223" t="s">
        <v>1046</v>
      </c>
      <c r="C7" s="224">
        <f>B824</f>
        <v>16</v>
      </c>
      <c r="D7" s="225">
        <f>C824</f>
        <v>10534078</v>
      </c>
      <c r="F7" s="226"/>
      <c r="G7" s="226"/>
      <c r="H7" s="226"/>
    </row>
    <row r="8" spans="1:8" ht="14.45" x14ac:dyDescent="0.3">
      <c r="A8" s="223" t="s">
        <v>1047</v>
      </c>
      <c r="B8" s="18"/>
      <c r="C8" s="224">
        <f>B894</f>
        <v>64</v>
      </c>
      <c r="D8" s="225">
        <f>C894</f>
        <v>26041483</v>
      </c>
      <c r="F8" s="226"/>
      <c r="G8" s="226"/>
      <c r="H8" s="226"/>
    </row>
    <row r="9" spans="1:8" ht="14.45" x14ac:dyDescent="0.3">
      <c r="A9" s="227" t="s">
        <v>1048</v>
      </c>
      <c r="B9" s="228"/>
      <c r="C9" s="229">
        <f>SUM(C4:C8)</f>
        <v>855</v>
      </c>
      <c r="D9" s="230">
        <f>SUM(D4:D8)</f>
        <v>399708680</v>
      </c>
      <c r="G9" s="231"/>
      <c r="H9" s="231"/>
    </row>
    <row r="10" spans="1:8" ht="14.45" x14ac:dyDescent="0.3">
      <c r="A10" s="75"/>
    </row>
    <row r="11" spans="1:8" ht="14.45" x14ac:dyDescent="0.3">
      <c r="A11" s="75"/>
    </row>
    <row r="12" spans="1:8" s="236" customFormat="1" ht="17.45" x14ac:dyDescent="0.3">
      <c r="A12" s="233" t="s">
        <v>1049</v>
      </c>
      <c r="B12" s="18"/>
      <c r="C12" s="234"/>
      <c r="D12" s="235"/>
    </row>
    <row r="13" spans="1:8" ht="40.15" x14ac:dyDescent="0.3">
      <c r="A13" s="237" t="s">
        <v>1050</v>
      </c>
      <c r="B13" s="238" t="s">
        <v>1051</v>
      </c>
      <c r="C13" s="239" t="s">
        <v>1052</v>
      </c>
      <c r="D13" s="240" t="s">
        <v>1053</v>
      </c>
    </row>
    <row r="14" spans="1:8" ht="14.45" x14ac:dyDescent="0.3">
      <c r="A14" s="241">
        <v>1979</v>
      </c>
      <c r="B14" s="216" t="s">
        <v>1054</v>
      </c>
      <c r="C14" s="232">
        <v>527000</v>
      </c>
      <c r="D14" s="242" t="s">
        <v>11</v>
      </c>
      <c r="E14" s="216">
        <f>A14</f>
        <v>1979</v>
      </c>
      <c r="F14" s="216">
        <f>SUMIF(A14:A892,E14,C14:C892)</f>
        <v>7797668</v>
      </c>
    </row>
    <row r="15" spans="1:8" ht="14.45" x14ac:dyDescent="0.3">
      <c r="A15" s="241">
        <v>1979</v>
      </c>
      <c r="B15" s="216" t="s">
        <v>1054</v>
      </c>
      <c r="C15" s="232">
        <v>195000</v>
      </c>
      <c r="D15" s="242" t="s">
        <v>11</v>
      </c>
      <c r="E15" s="216">
        <f>E14+1</f>
        <v>1980</v>
      </c>
      <c r="F15" s="216">
        <f>SUMIF(A15:A893,E15,C15:C893)</f>
        <v>16751983</v>
      </c>
    </row>
    <row r="16" spans="1:8" ht="14.45" x14ac:dyDescent="0.3">
      <c r="A16" s="241">
        <v>1979</v>
      </c>
      <c r="B16" s="216" t="s">
        <v>1055</v>
      </c>
      <c r="C16" s="232">
        <v>2793</v>
      </c>
      <c r="D16" s="242" t="s">
        <v>11</v>
      </c>
      <c r="E16" s="216">
        <f t="shared" ref="E16:E52" si="0">E15+1</f>
        <v>1981</v>
      </c>
      <c r="F16" s="216">
        <f>SUMIF(A16:A894,E16,C16:C894)</f>
        <v>1144755</v>
      </c>
    </row>
    <row r="17" spans="1:6" ht="14.45" x14ac:dyDescent="0.3">
      <c r="A17" s="241">
        <v>1979</v>
      </c>
      <c r="B17" s="216" t="s">
        <v>1056</v>
      </c>
      <c r="C17" s="232">
        <v>1000000</v>
      </c>
      <c r="D17" s="242" t="s">
        <v>11</v>
      </c>
      <c r="E17" s="216">
        <f t="shared" si="0"/>
        <v>1982</v>
      </c>
      <c r="F17" s="216">
        <f t="shared" ref="F17:F51" si="1">SUMIF(A17:A895,E17,C17:C895)</f>
        <v>3707164</v>
      </c>
    </row>
    <row r="18" spans="1:6" ht="14.45" x14ac:dyDescent="0.3">
      <c r="A18" s="241">
        <v>1979</v>
      </c>
      <c r="B18" s="216" t="s">
        <v>1057</v>
      </c>
      <c r="C18" s="232">
        <v>360000</v>
      </c>
      <c r="D18" s="242" t="s">
        <v>11</v>
      </c>
      <c r="E18" s="216">
        <f t="shared" si="0"/>
        <v>1983</v>
      </c>
      <c r="F18" s="216">
        <f t="shared" si="1"/>
        <v>248275</v>
      </c>
    </row>
    <row r="19" spans="1:6" ht="14.45" x14ac:dyDescent="0.3">
      <c r="A19" s="241">
        <v>1979</v>
      </c>
      <c r="B19" s="216" t="s">
        <v>1058</v>
      </c>
      <c r="C19" s="232">
        <v>253000</v>
      </c>
      <c r="D19" s="242" t="s">
        <v>11</v>
      </c>
      <c r="E19" s="216">
        <f t="shared" si="0"/>
        <v>1984</v>
      </c>
      <c r="F19" s="216">
        <f t="shared" si="1"/>
        <v>2955570</v>
      </c>
    </row>
    <row r="20" spans="1:6" ht="14.45" x14ac:dyDescent="0.3">
      <c r="A20" s="241">
        <v>1979</v>
      </c>
      <c r="B20" s="216" t="s">
        <v>1059</v>
      </c>
      <c r="C20" s="232">
        <v>352000</v>
      </c>
      <c r="D20" s="242" t="s">
        <v>11</v>
      </c>
      <c r="E20" s="216">
        <f t="shared" si="0"/>
        <v>1985</v>
      </c>
      <c r="F20" s="216">
        <f t="shared" si="1"/>
        <v>4287123</v>
      </c>
    </row>
    <row r="21" spans="1:6" ht="14.45" x14ac:dyDescent="0.3">
      <c r="A21" s="241">
        <v>1979</v>
      </c>
      <c r="B21" s="216" t="s">
        <v>1060</v>
      </c>
      <c r="C21" s="232">
        <v>700000</v>
      </c>
      <c r="D21" s="242" t="s">
        <v>11</v>
      </c>
      <c r="E21" s="216">
        <f t="shared" si="0"/>
        <v>1986</v>
      </c>
      <c r="F21" s="216">
        <f t="shared" si="1"/>
        <v>2140947</v>
      </c>
    </row>
    <row r="22" spans="1:6" ht="14.45" x14ac:dyDescent="0.3">
      <c r="A22" s="241">
        <v>1979</v>
      </c>
      <c r="B22" s="216" t="s">
        <v>1061</v>
      </c>
      <c r="C22" s="232">
        <v>1000000</v>
      </c>
      <c r="D22" s="242" t="s">
        <v>11</v>
      </c>
      <c r="E22" s="216">
        <f t="shared" si="0"/>
        <v>1987</v>
      </c>
      <c r="F22" s="216">
        <f t="shared" si="1"/>
        <v>0</v>
      </c>
    </row>
    <row r="23" spans="1:6" x14ac:dyDescent="0.25">
      <c r="A23" s="241">
        <v>1979</v>
      </c>
      <c r="B23" s="216" t="s">
        <v>1062</v>
      </c>
      <c r="C23" s="232">
        <v>323275</v>
      </c>
      <c r="D23" s="242" t="s">
        <v>11</v>
      </c>
      <c r="E23" s="216">
        <f t="shared" si="0"/>
        <v>1988</v>
      </c>
      <c r="F23" s="216">
        <f t="shared" si="1"/>
        <v>2256066</v>
      </c>
    </row>
    <row r="24" spans="1:6" x14ac:dyDescent="0.25">
      <c r="A24" s="241">
        <v>1979</v>
      </c>
      <c r="B24" s="216" t="s">
        <v>1063</v>
      </c>
      <c r="C24" s="232">
        <v>77995</v>
      </c>
      <c r="D24" s="242" t="s">
        <v>11</v>
      </c>
      <c r="E24" s="216">
        <f t="shared" si="0"/>
        <v>1989</v>
      </c>
      <c r="F24" s="216">
        <f t="shared" si="1"/>
        <v>1377874</v>
      </c>
    </row>
    <row r="25" spans="1:6" x14ac:dyDescent="0.25">
      <c r="A25" s="241">
        <v>1979</v>
      </c>
      <c r="B25" s="216" t="s">
        <v>1064</v>
      </c>
      <c r="C25" s="232">
        <v>19000</v>
      </c>
      <c r="D25" s="242" t="s">
        <v>11</v>
      </c>
      <c r="E25" s="216">
        <f t="shared" si="0"/>
        <v>1990</v>
      </c>
      <c r="F25" s="216">
        <f t="shared" si="1"/>
        <v>2915112</v>
      </c>
    </row>
    <row r="26" spans="1:6" x14ac:dyDescent="0.25">
      <c r="A26" s="241">
        <v>1980</v>
      </c>
      <c r="B26" s="216" t="s">
        <v>1065</v>
      </c>
      <c r="C26" s="232">
        <v>361737</v>
      </c>
      <c r="D26" s="242" t="s">
        <v>11</v>
      </c>
      <c r="E26" s="216">
        <f t="shared" si="0"/>
        <v>1991</v>
      </c>
      <c r="F26" s="216">
        <f t="shared" si="1"/>
        <v>5129570</v>
      </c>
    </row>
    <row r="27" spans="1:6" x14ac:dyDescent="0.25">
      <c r="A27" s="241">
        <v>1980</v>
      </c>
      <c r="B27" s="216" t="s">
        <v>1066</v>
      </c>
      <c r="C27" s="232">
        <v>10200</v>
      </c>
      <c r="D27" s="242" t="s">
        <v>11</v>
      </c>
      <c r="E27" s="216">
        <f t="shared" si="0"/>
        <v>1992</v>
      </c>
      <c r="F27" s="216">
        <f t="shared" si="1"/>
        <v>1498604</v>
      </c>
    </row>
    <row r="28" spans="1:6" x14ac:dyDescent="0.25">
      <c r="A28" s="241">
        <v>1980</v>
      </c>
      <c r="B28" s="216" t="s">
        <v>1067</v>
      </c>
      <c r="C28" s="232">
        <v>296000</v>
      </c>
      <c r="D28" s="242" t="s">
        <v>11</v>
      </c>
      <c r="E28" s="216">
        <f t="shared" si="0"/>
        <v>1993</v>
      </c>
      <c r="F28" s="216">
        <f t="shared" si="1"/>
        <v>5200511</v>
      </c>
    </row>
    <row r="29" spans="1:6" x14ac:dyDescent="0.25">
      <c r="A29" s="241">
        <v>1980</v>
      </c>
      <c r="B29" s="216" t="s">
        <v>1068</v>
      </c>
      <c r="C29" s="232">
        <v>172560</v>
      </c>
      <c r="D29" s="242" t="s">
        <v>11</v>
      </c>
      <c r="E29" s="216">
        <f t="shared" si="0"/>
        <v>1994</v>
      </c>
      <c r="F29" s="216">
        <f t="shared" si="1"/>
        <v>3322543</v>
      </c>
    </row>
    <row r="30" spans="1:6" x14ac:dyDescent="0.25">
      <c r="A30" s="241">
        <v>1980</v>
      </c>
      <c r="B30" s="216" t="s">
        <v>1069</v>
      </c>
      <c r="C30" s="232">
        <v>75640</v>
      </c>
      <c r="D30" s="242" t="s">
        <v>11</v>
      </c>
      <c r="E30" s="216">
        <f t="shared" si="0"/>
        <v>1995</v>
      </c>
      <c r="F30" s="216">
        <f t="shared" si="1"/>
        <v>1683273</v>
      </c>
    </row>
    <row r="31" spans="1:6" x14ac:dyDescent="0.25">
      <c r="A31" s="241">
        <v>1980</v>
      </c>
      <c r="B31" s="216" t="s">
        <v>1070</v>
      </c>
      <c r="C31" s="232">
        <v>238905</v>
      </c>
      <c r="D31" s="242" t="s">
        <v>11</v>
      </c>
      <c r="E31" s="216">
        <f t="shared" si="0"/>
        <v>1996</v>
      </c>
      <c r="F31" s="216">
        <f t="shared" si="1"/>
        <v>1432522</v>
      </c>
    </row>
    <row r="32" spans="1:6" x14ac:dyDescent="0.25">
      <c r="A32" s="241">
        <v>1980</v>
      </c>
      <c r="B32" s="216" t="s">
        <v>1071</v>
      </c>
      <c r="C32" s="232">
        <v>381500</v>
      </c>
      <c r="D32" s="242" t="s">
        <v>11</v>
      </c>
      <c r="E32" s="216">
        <f t="shared" si="0"/>
        <v>1997</v>
      </c>
      <c r="F32" s="216">
        <f t="shared" si="1"/>
        <v>2164850</v>
      </c>
    </row>
    <row r="33" spans="1:6" x14ac:dyDescent="0.25">
      <c r="A33" s="241">
        <v>1980</v>
      </c>
      <c r="B33" s="216" t="s">
        <v>1072</v>
      </c>
      <c r="C33" s="232">
        <v>218410</v>
      </c>
      <c r="D33" s="242" t="s">
        <v>11</v>
      </c>
      <c r="E33" s="216">
        <f t="shared" si="0"/>
        <v>1998</v>
      </c>
      <c r="F33" s="216">
        <f t="shared" si="1"/>
        <v>975000</v>
      </c>
    </row>
    <row r="34" spans="1:6" x14ac:dyDescent="0.25">
      <c r="A34" s="241">
        <v>1980</v>
      </c>
      <c r="B34" s="216" t="s">
        <v>1073</v>
      </c>
      <c r="C34" s="232">
        <v>22860</v>
      </c>
      <c r="D34" s="242" t="s">
        <v>11</v>
      </c>
      <c r="E34" s="216">
        <f t="shared" si="0"/>
        <v>1999</v>
      </c>
      <c r="F34" s="216">
        <f t="shared" si="1"/>
        <v>623172</v>
      </c>
    </row>
    <row r="35" spans="1:6" x14ac:dyDescent="0.25">
      <c r="A35" s="241">
        <v>1980</v>
      </c>
      <c r="B35" s="216" t="s">
        <v>1074</v>
      </c>
      <c r="C35" s="232">
        <v>114311</v>
      </c>
      <c r="D35" s="242" t="s">
        <v>11</v>
      </c>
      <c r="E35" s="216">
        <f t="shared" si="0"/>
        <v>2000</v>
      </c>
      <c r="F35" s="216">
        <f t="shared" si="1"/>
        <v>7409774</v>
      </c>
    </row>
    <row r="36" spans="1:6" x14ac:dyDescent="0.25">
      <c r="A36" s="241">
        <v>1980</v>
      </c>
      <c r="B36" s="216" t="s">
        <v>1075</v>
      </c>
      <c r="C36" s="232">
        <v>226000</v>
      </c>
      <c r="D36" s="242" t="s">
        <v>11</v>
      </c>
      <c r="E36" s="216">
        <f t="shared" si="0"/>
        <v>2001</v>
      </c>
      <c r="F36" s="216">
        <f t="shared" si="1"/>
        <v>43817573</v>
      </c>
    </row>
    <row r="37" spans="1:6" x14ac:dyDescent="0.25">
      <c r="A37" s="241">
        <v>1980</v>
      </c>
      <c r="B37" s="216" t="s">
        <v>1076</v>
      </c>
      <c r="C37" s="232">
        <v>79800</v>
      </c>
      <c r="D37" s="242" t="s">
        <v>11</v>
      </c>
      <c r="E37" s="216">
        <f t="shared" si="0"/>
        <v>2002</v>
      </c>
      <c r="F37" s="216">
        <f t="shared" si="1"/>
        <v>17076686</v>
      </c>
    </row>
    <row r="38" spans="1:6" x14ac:dyDescent="0.25">
      <c r="A38" s="241">
        <v>1980</v>
      </c>
      <c r="B38" s="216" t="s">
        <v>1077</v>
      </c>
      <c r="C38" s="232">
        <v>327000</v>
      </c>
      <c r="D38" s="242" t="s">
        <v>11</v>
      </c>
      <c r="E38" s="216">
        <f t="shared" si="0"/>
        <v>2003</v>
      </c>
      <c r="F38" s="216">
        <f t="shared" si="1"/>
        <v>14711273</v>
      </c>
    </row>
    <row r="39" spans="1:6" x14ac:dyDescent="0.25">
      <c r="A39" s="241">
        <v>1980</v>
      </c>
      <c r="B39" s="216" t="s">
        <v>1078</v>
      </c>
      <c r="C39" s="232">
        <v>216000</v>
      </c>
      <c r="D39" s="242" t="s">
        <v>11</v>
      </c>
      <c r="E39" s="216">
        <f t="shared" si="0"/>
        <v>2004</v>
      </c>
      <c r="F39" s="216">
        <f t="shared" si="1"/>
        <v>20362682</v>
      </c>
    </row>
    <row r="40" spans="1:6" x14ac:dyDescent="0.25">
      <c r="A40" s="241">
        <v>1980</v>
      </c>
      <c r="B40" s="216" t="s">
        <v>1079</v>
      </c>
      <c r="C40" s="232">
        <v>49154</v>
      </c>
      <c r="D40" s="242" t="s">
        <v>11</v>
      </c>
      <c r="E40" s="216">
        <f t="shared" si="0"/>
        <v>2005</v>
      </c>
      <c r="F40" s="216">
        <f t="shared" si="1"/>
        <v>2789106</v>
      </c>
    </row>
    <row r="41" spans="1:6" x14ac:dyDescent="0.25">
      <c r="A41" s="241">
        <v>1980</v>
      </c>
      <c r="B41" s="216" t="s">
        <v>1080</v>
      </c>
      <c r="C41" s="232">
        <v>125207</v>
      </c>
      <c r="D41" s="242" t="s">
        <v>11</v>
      </c>
      <c r="E41" s="216">
        <f t="shared" si="0"/>
        <v>2006</v>
      </c>
      <c r="F41" s="216">
        <f t="shared" si="1"/>
        <v>11111061</v>
      </c>
    </row>
    <row r="42" spans="1:6" x14ac:dyDescent="0.25">
      <c r="A42" s="241">
        <v>1980</v>
      </c>
      <c r="B42" s="216" t="s">
        <v>1081</v>
      </c>
      <c r="C42" s="232">
        <v>100875</v>
      </c>
      <c r="D42" s="242" t="s">
        <v>11</v>
      </c>
      <c r="E42" s="216">
        <f t="shared" si="0"/>
        <v>2007</v>
      </c>
      <c r="F42" s="216">
        <f t="shared" si="1"/>
        <v>14102380</v>
      </c>
    </row>
    <row r="43" spans="1:6" x14ac:dyDescent="0.25">
      <c r="A43" s="241">
        <v>1980</v>
      </c>
      <c r="B43" s="216" t="s">
        <v>1082</v>
      </c>
      <c r="C43" s="232">
        <v>27400</v>
      </c>
      <c r="D43" s="242" t="s">
        <v>11</v>
      </c>
      <c r="E43" s="216">
        <f t="shared" si="0"/>
        <v>2008</v>
      </c>
      <c r="F43" s="216">
        <f t="shared" si="1"/>
        <v>8137398</v>
      </c>
    </row>
    <row r="44" spans="1:6" x14ac:dyDescent="0.25">
      <c r="A44" s="241">
        <v>1980</v>
      </c>
      <c r="B44" s="216" t="s">
        <v>1083</v>
      </c>
      <c r="C44" s="232">
        <v>25190</v>
      </c>
      <c r="D44" s="242" t="s">
        <v>11</v>
      </c>
      <c r="E44" s="216">
        <f t="shared" si="0"/>
        <v>2009</v>
      </c>
      <c r="F44" s="216">
        <f t="shared" si="1"/>
        <v>6747321</v>
      </c>
    </row>
    <row r="45" spans="1:6" x14ac:dyDescent="0.25">
      <c r="A45" s="241">
        <v>1980</v>
      </c>
      <c r="B45" s="216" t="s">
        <v>1056</v>
      </c>
      <c r="C45" s="232">
        <v>1000000</v>
      </c>
      <c r="D45" s="242" t="s">
        <v>11</v>
      </c>
      <c r="E45" s="216">
        <f t="shared" si="0"/>
        <v>2010</v>
      </c>
      <c r="F45" s="216">
        <f t="shared" si="1"/>
        <v>38367590</v>
      </c>
    </row>
    <row r="46" spans="1:6" x14ac:dyDescent="0.25">
      <c r="A46" s="241">
        <v>1980</v>
      </c>
      <c r="B46" s="216" t="s">
        <v>1084</v>
      </c>
      <c r="C46" s="232">
        <v>43450</v>
      </c>
      <c r="D46" s="242" t="s">
        <v>11</v>
      </c>
      <c r="E46" s="216">
        <f t="shared" si="0"/>
        <v>2011</v>
      </c>
      <c r="F46" s="216">
        <f t="shared" si="1"/>
        <v>10077211</v>
      </c>
    </row>
    <row r="47" spans="1:6" x14ac:dyDescent="0.25">
      <c r="A47" s="241">
        <v>1980</v>
      </c>
      <c r="B47" s="216" t="s">
        <v>1085</v>
      </c>
      <c r="C47" s="232">
        <v>115464</v>
      </c>
      <c r="D47" s="242" t="s">
        <v>11</v>
      </c>
      <c r="E47" s="216">
        <f t="shared" si="0"/>
        <v>2012</v>
      </c>
      <c r="F47" s="216">
        <f t="shared" si="1"/>
        <v>26547551</v>
      </c>
    </row>
    <row r="48" spans="1:6" x14ac:dyDescent="0.25">
      <c r="A48" s="241">
        <v>1980</v>
      </c>
      <c r="B48" s="216" t="s">
        <v>1086</v>
      </c>
      <c r="C48" s="232">
        <v>996000</v>
      </c>
      <c r="D48" s="242" t="s">
        <v>11</v>
      </c>
      <c r="E48" s="216">
        <f t="shared" si="0"/>
        <v>2013</v>
      </c>
      <c r="F48" s="216">
        <f t="shared" si="1"/>
        <v>16667884</v>
      </c>
    </row>
    <row r="49" spans="1:6" x14ac:dyDescent="0.25">
      <c r="A49" s="241">
        <v>1980</v>
      </c>
      <c r="B49" s="216" t="s">
        <v>1087</v>
      </c>
      <c r="C49" s="232">
        <v>194000</v>
      </c>
      <c r="D49" s="242" t="s">
        <v>11</v>
      </c>
      <c r="E49" s="216">
        <f t="shared" si="0"/>
        <v>2014</v>
      </c>
      <c r="F49" s="216">
        <f t="shared" si="1"/>
        <v>44672859</v>
      </c>
    </row>
    <row r="50" spans="1:6" x14ac:dyDescent="0.25">
      <c r="A50" s="241">
        <v>1980</v>
      </c>
      <c r="B50" s="216" t="s">
        <v>1088</v>
      </c>
      <c r="C50" s="232">
        <v>310000</v>
      </c>
      <c r="D50" s="242" t="s">
        <v>11</v>
      </c>
      <c r="E50" s="216">
        <f t="shared" si="0"/>
        <v>2015</v>
      </c>
      <c r="F50" s="216">
        <f t="shared" si="1"/>
        <v>31898743</v>
      </c>
    </row>
    <row r="51" spans="1:6" x14ac:dyDescent="0.25">
      <c r="A51" s="241">
        <v>1980</v>
      </c>
      <c r="B51" s="216" t="s">
        <v>1089</v>
      </c>
      <c r="C51" s="232">
        <v>332000</v>
      </c>
      <c r="D51" s="242" t="s">
        <v>11</v>
      </c>
      <c r="E51" s="216">
        <f t="shared" si="0"/>
        <v>2016</v>
      </c>
      <c r="F51" s="216">
        <f t="shared" si="1"/>
        <v>17599006</v>
      </c>
    </row>
    <row r="52" spans="1:6" x14ac:dyDescent="0.25">
      <c r="A52" s="241">
        <v>1980</v>
      </c>
      <c r="B52" s="216" t="s">
        <v>1090</v>
      </c>
      <c r="C52" s="232">
        <v>182335</v>
      </c>
      <c r="D52" s="242" t="s">
        <v>11</v>
      </c>
      <c r="E52" s="216">
        <f t="shared" si="0"/>
        <v>2017</v>
      </c>
      <c r="F52" s="216">
        <f t="shared" ref="F52:F78" si="2">SUMIF(A52:A391,E52,C52:C391)</f>
        <v>0</v>
      </c>
    </row>
    <row r="53" spans="1:6" x14ac:dyDescent="0.25">
      <c r="A53" s="241">
        <v>1980</v>
      </c>
      <c r="B53" s="216" t="s">
        <v>1061</v>
      </c>
      <c r="C53" s="232">
        <v>493000</v>
      </c>
      <c r="D53" s="242" t="s">
        <v>11</v>
      </c>
      <c r="F53" s="216">
        <f t="shared" si="2"/>
        <v>0</v>
      </c>
    </row>
    <row r="54" spans="1:6" x14ac:dyDescent="0.25">
      <c r="A54" s="241">
        <v>1980</v>
      </c>
      <c r="B54" s="216" t="s">
        <v>1091</v>
      </c>
      <c r="C54" s="232">
        <v>67800</v>
      </c>
      <c r="D54" s="242" t="s">
        <v>11</v>
      </c>
      <c r="F54" s="216">
        <f t="shared" si="2"/>
        <v>0</v>
      </c>
    </row>
    <row r="55" spans="1:6" x14ac:dyDescent="0.25">
      <c r="A55" s="241">
        <v>1980</v>
      </c>
      <c r="B55" s="216" t="s">
        <v>1092</v>
      </c>
      <c r="C55" s="232">
        <v>387300</v>
      </c>
      <c r="D55" s="242" t="s">
        <v>11</v>
      </c>
      <c r="F55" s="216">
        <f t="shared" si="2"/>
        <v>0</v>
      </c>
    </row>
    <row r="56" spans="1:6" x14ac:dyDescent="0.25">
      <c r="A56" s="241">
        <v>1980</v>
      </c>
      <c r="B56" s="216" t="s">
        <v>1093</v>
      </c>
      <c r="C56" s="232">
        <v>132000</v>
      </c>
      <c r="D56" s="242" t="s">
        <v>11</v>
      </c>
      <c r="F56" s="216">
        <f t="shared" si="2"/>
        <v>0</v>
      </c>
    </row>
    <row r="57" spans="1:6" x14ac:dyDescent="0.25">
      <c r="A57" s="241">
        <v>1980</v>
      </c>
      <c r="B57" s="216" t="s">
        <v>1094</v>
      </c>
      <c r="C57" s="232">
        <v>136000</v>
      </c>
      <c r="D57" s="242" t="s">
        <v>11</v>
      </c>
      <c r="F57" s="216">
        <f t="shared" si="2"/>
        <v>0</v>
      </c>
    </row>
    <row r="58" spans="1:6" x14ac:dyDescent="0.25">
      <c r="A58" s="241">
        <v>1980</v>
      </c>
      <c r="B58" s="216" t="s">
        <v>1095</v>
      </c>
      <c r="C58" s="232">
        <v>32120</v>
      </c>
      <c r="D58" s="242" t="s">
        <v>11</v>
      </c>
      <c r="F58" s="216">
        <f t="shared" si="2"/>
        <v>0</v>
      </c>
    </row>
    <row r="59" spans="1:6" x14ac:dyDescent="0.25">
      <c r="A59" s="241">
        <v>1980</v>
      </c>
      <c r="B59" s="216" t="s">
        <v>1096</v>
      </c>
      <c r="C59" s="232">
        <v>15400</v>
      </c>
      <c r="D59" s="242" t="s">
        <v>11</v>
      </c>
      <c r="F59" s="216">
        <f t="shared" si="2"/>
        <v>0</v>
      </c>
    </row>
    <row r="60" spans="1:6" x14ac:dyDescent="0.25">
      <c r="A60" s="241">
        <v>1980</v>
      </c>
      <c r="B60" s="216" t="s">
        <v>1097</v>
      </c>
      <c r="C60" s="232">
        <v>17985</v>
      </c>
      <c r="D60" s="242" t="s">
        <v>11</v>
      </c>
      <c r="F60" s="216">
        <f t="shared" si="2"/>
        <v>0</v>
      </c>
    </row>
    <row r="61" spans="1:6" x14ac:dyDescent="0.25">
      <c r="A61" s="241">
        <v>1980</v>
      </c>
      <c r="B61" s="216" t="s">
        <v>1098</v>
      </c>
      <c r="C61" s="232">
        <v>300000</v>
      </c>
      <c r="D61" s="242" t="s">
        <v>11</v>
      </c>
      <c r="F61" s="216">
        <f t="shared" si="2"/>
        <v>0</v>
      </c>
    </row>
    <row r="62" spans="1:6" x14ac:dyDescent="0.25">
      <c r="A62" s="241">
        <v>1980</v>
      </c>
      <c r="B62" s="216" t="s">
        <v>1063</v>
      </c>
      <c r="C62" s="232">
        <v>284830</v>
      </c>
      <c r="D62" s="242" t="s">
        <v>11</v>
      </c>
      <c r="F62" s="216">
        <f t="shared" si="2"/>
        <v>0</v>
      </c>
    </row>
    <row r="63" spans="1:6" x14ac:dyDescent="0.25">
      <c r="A63" s="241">
        <v>1980</v>
      </c>
      <c r="B63" s="216" t="s">
        <v>1063</v>
      </c>
      <c r="C63" s="232">
        <v>216216</v>
      </c>
      <c r="D63" s="242" t="s">
        <v>11</v>
      </c>
      <c r="F63" s="216">
        <f t="shared" si="2"/>
        <v>0</v>
      </c>
    </row>
    <row r="64" spans="1:6" x14ac:dyDescent="0.25">
      <c r="A64" s="241">
        <v>1980</v>
      </c>
      <c r="B64" s="216" t="s">
        <v>1099</v>
      </c>
      <c r="C64" s="232">
        <v>528812</v>
      </c>
      <c r="D64" s="242" t="s">
        <v>11</v>
      </c>
      <c r="F64" s="216">
        <f t="shared" si="2"/>
        <v>0</v>
      </c>
    </row>
    <row r="65" spans="1:6" x14ac:dyDescent="0.25">
      <c r="A65" s="241">
        <v>1980</v>
      </c>
      <c r="B65" s="216" t="s">
        <v>1100</v>
      </c>
      <c r="C65" s="232">
        <v>4500</v>
      </c>
      <c r="D65" s="242" t="s">
        <v>11</v>
      </c>
      <c r="F65" s="216">
        <f t="shared" si="2"/>
        <v>0</v>
      </c>
    </row>
    <row r="66" spans="1:6" x14ac:dyDescent="0.25">
      <c r="A66" s="241">
        <v>1982</v>
      </c>
      <c r="B66" s="216" t="s">
        <v>1077</v>
      </c>
      <c r="C66" s="232">
        <v>331020</v>
      </c>
      <c r="D66" s="242" t="s">
        <v>11</v>
      </c>
      <c r="F66" s="216">
        <f t="shared" si="2"/>
        <v>0</v>
      </c>
    </row>
    <row r="67" spans="1:6" x14ac:dyDescent="0.25">
      <c r="A67" s="241">
        <v>1982</v>
      </c>
      <c r="B67" s="216" t="s">
        <v>1101</v>
      </c>
      <c r="C67" s="232">
        <v>204965</v>
      </c>
      <c r="D67" s="242" t="s">
        <v>11</v>
      </c>
      <c r="F67" s="216">
        <f t="shared" si="2"/>
        <v>0</v>
      </c>
    </row>
    <row r="68" spans="1:6" x14ac:dyDescent="0.25">
      <c r="A68" s="241">
        <v>1982</v>
      </c>
      <c r="B68" s="216" t="s">
        <v>1056</v>
      </c>
      <c r="C68" s="232">
        <v>806900</v>
      </c>
      <c r="D68" s="242" t="s">
        <v>11</v>
      </c>
      <c r="F68" s="216">
        <f t="shared" si="2"/>
        <v>0</v>
      </c>
    </row>
    <row r="69" spans="1:6" x14ac:dyDescent="0.25">
      <c r="A69" s="241">
        <v>1982</v>
      </c>
      <c r="B69" s="216" t="s">
        <v>1102</v>
      </c>
      <c r="C69" s="232">
        <v>67500</v>
      </c>
      <c r="D69" s="242" t="s">
        <v>11</v>
      </c>
      <c r="F69" s="216">
        <f t="shared" si="2"/>
        <v>0</v>
      </c>
    </row>
    <row r="70" spans="1:6" x14ac:dyDescent="0.25">
      <c r="A70" s="241">
        <v>1982</v>
      </c>
      <c r="B70" s="216" t="s">
        <v>1103</v>
      </c>
      <c r="C70" s="232">
        <v>40000</v>
      </c>
      <c r="D70" s="242" t="s">
        <v>11</v>
      </c>
      <c r="F70" s="216">
        <f t="shared" si="2"/>
        <v>0</v>
      </c>
    </row>
    <row r="71" spans="1:6" x14ac:dyDescent="0.25">
      <c r="A71" s="241">
        <v>1982</v>
      </c>
      <c r="B71" s="216" t="s">
        <v>1104</v>
      </c>
      <c r="C71" s="232">
        <v>101080</v>
      </c>
      <c r="D71" s="242" t="s">
        <v>11</v>
      </c>
      <c r="F71" s="216">
        <f t="shared" si="2"/>
        <v>0</v>
      </c>
    </row>
    <row r="72" spans="1:6" x14ac:dyDescent="0.25">
      <c r="A72" s="241">
        <v>1982</v>
      </c>
      <c r="B72" s="216" t="s">
        <v>1105</v>
      </c>
      <c r="C72" s="232">
        <v>8532</v>
      </c>
      <c r="D72" s="242" t="s">
        <v>11</v>
      </c>
      <c r="F72" s="216">
        <f t="shared" si="2"/>
        <v>0</v>
      </c>
    </row>
    <row r="73" spans="1:6" x14ac:dyDescent="0.25">
      <c r="A73" s="241">
        <v>1984</v>
      </c>
      <c r="B73" s="216" t="s">
        <v>1106</v>
      </c>
      <c r="C73" s="232">
        <v>104000</v>
      </c>
      <c r="D73" s="242" t="s">
        <v>11</v>
      </c>
      <c r="F73" s="216">
        <f t="shared" si="2"/>
        <v>0</v>
      </c>
    </row>
    <row r="74" spans="1:6" x14ac:dyDescent="0.25">
      <c r="A74" s="241">
        <v>1984</v>
      </c>
      <c r="B74" s="216" t="s">
        <v>1107</v>
      </c>
      <c r="C74" s="232">
        <v>423000</v>
      </c>
      <c r="D74" s="242" t="s">
        <v>11</v>
      </c>
      <c r="F74" s="216">
        <f t="shared" si="2"/>
        <v>0</v>
      </c>
    </row>
    <row r="75" spans="1:6" x14ac:dyDescent="0.25">
      <c r="A75" s="241">
        <v>1984</v>
      </c>
      <c r="B75" s="216" t="s">
        <v>1056</v>
      </c>
      <c r="C75" s="232">
        <v>1000000</v>
      </c>
      <c r="D75" s="242" t="s">
        <v>11</v>
      </c>
      <c r="F75" s="216">
        <f t="shared" si="2"/>
        <v>0</v>
      </c>
    </row>
    <row r="76" spans="1:6" x14ac:dyDescent="0.25">
      <c r="A76" s="241">
        <v>1984</v>
      </c>
      <c r="B76" s="216" t="s">
        <v>1108</v>
      </c>
      <c r="C76" s="232">
        <v>396900</v>
      </c>
      <c r="D76" s="242" t="s">
        <v>11</v>
      </c>
      <c r="F76" s="216">
        <f t="shared" si="2"/>
        <v>0</v>
      </c>
    </row>
    <row r="77" spans="1:6" x14ac:dyDescent="0.25">
      <c r="A77" s="241">
        <v>1984</v>
      </c>
      <c r="B77" s="216" t="s">
        <v>1109</v>
      </c>
      <c r="C77" s="232">
        <v>192433</v>
      </c>
      <c r="D77" s="242" t="s">
        <v>11</v>
      </c>
      <c r="F77" s="216">
        <f t="shared" si="2"/>
        <v>0</v>
      </c>
    </row>
    <row r="78" spans="1:6" x14ac:dyDescent="0.25">
      <c r="A78" s="241">
        <v>1984</v>
      </c>
      <c r="B78" s="216" t="s">
        <v>1110</v>
      </c>
      <c r="C78" s="232">
        <v>28910</v>
      </c>
      <c r="D78" s="242" t="s">
        <v>11</v>
      </c>
      <c r="F78" s="216">
        <f t="shared" si="2"/>
        <v>0</v>
      </c>
    </row>
    <row r="79" spans="1:6" x14ac:dyDescent="0.25">
      <c r="A79" s="241">
        <v>1984</v>
      </c>
      <c r="B79" s="216" t="s">
        <v>1103</v>
      </c>
      <c r="C79" s="232">
        <v>175120</v>
      </c>
      <c r="D79" s="242" t="s">
        <v>11</v>
      </c>
      <c r="F79" s="216">
        <f t="shared" ref="F79:F142" si="3">SUMIF(A79:A418,E79,C79:C418)</f>
        <v>0</v>
      </c>
    </row>
    <row r="80" spans="1:6" x14ac:dyDescent="0.25">
      <c r="A80" s="241">
        <v>1984</v>
      </c>
      <c r="B80" s="216" t="s">
        <v>1111</v>
      </c>
      <c r="C80" s="232">
        <v>34600</v>
      </c>
      <c r="D80" s="242" t="s">
        <v>11</v>
      </c>
      <c r="F80" s="216">
        <f t="shared" si="3"/>
        <v>0</v>
      </c>
    </row>
    <row r="81" spans="1:6" x14ac:dyDescent="0.25">
      <c r="A81" s="241">
        <v>1985</v>
      </c>
      <c r="B81" s="216" t="s">
        <v>1112</v>
      </c>
      <c r="C81" s="232">
        <v>221487</v>
      </c>
      <c r="D81" s="242" t="s">
        <v>11</v>
      </c>
      <c r="F81" s="216">
        <f t="shared" si="3"/>
        <v>0</v>
      </c>
    </row>
    <row r="82" spans="1:6" x14ac:dyDescent="0.25">
      <c r="A82" s="241">
        <v>1985</v>
      </c>
      <c r="B82" s="216" t="s">
        <v>1113</v>
      </c>
      <c r="C82" s="232">
        <v>50750</v>
      </c>
      <c r="D82" s="242" t="s">
        <v>11</v>
      </c>
      <c r="F82" s="216">
        <f t="shared" si="3"/>
        <v>0</v>
      </c>
    </row>
    <row r="83" spans="1:6" x14ac:dyDescent="0.25">
      <c r="A83" s="241">
        <v>1985</v>
      </c>
      <c r="B83" s="216" t="s">
        <v>1114</v>
      </c>
      <c r="C83" s="232">
        <v>7432</v>
      </c>
      <c r="D83" s="242" t="s">
        <v>11</v>
      </c>
      <c r="F83" s="216">
        <f t="shared" si="3"/>
        <v>0</v>
      </c>
    </row>
    <row r="84" spans="1:6" x14ac:dyDescent="0.25">
      <c r="A84" s="241">
        <v>1985</v>
      </c>
      <c r="B84" s="216" t="s">
        <v>1115</v>
      </c>
      <c r="C84" s="232">
        <v>398792</v>
      </c>
      <c r="D84" s="242" t="s">
        <v>11</v>
      </c>
      <c r="F84" s="216">
        <f t="shared" si="3"/>
        <v>0</v>
      </c>
    </row>
    <row r="85" spans="1:6" x14ac:dyDescent="0.25">
      <c r="A85" s="241">
        <v>1985</v>
      </c>
      <c r="B85" s="216" t="s">
        <v>1056</v>
      </c>
      <c r="C85" s="232">
        <v>1000000</v>
      </c>
      <c r="D85" s="242" t="s">
        <v>11</v>
      </c>
      <c r="F85" s="216">
        <f t="shared" si="3"/>
        <v>0</v>
      </c>
    </row>
    <row r="86" spans="1:6" x14ac:dyDescent="0.25">
      <c r="A86" s="241">
        <v>1985</v>
      </c>
      <c r="B86" s="216" t="s">
        <v>1116</v>
      </c>
      <c r="C86" s="232">
        <v>326000</v>
      </c>
      <c r="D86" s="242" t="s">
        <v>11</v>
      </c>
      <c r="F86" s="216">
        <f t="shared" si="3"/>
        <v>0</v>
      </c>
    </row>
    <row r="87" spans="1:6" x14ac:dyDescent="0.25">
      <c r="A87" s="241">
        <v>1985</v>
      </c>
      <c r="B87" s="216" t="s">
        <v>1117</v>
      </c>
      <c r="C87" s="232">
        <v>113500</v>
      </c>
      <c r="D87" s="242" t="s">
        <v>11</v>
      </c>
      <c r="F87" s="216">
        <f t="shared" si="3"/>
        <v>0</v>
      </c>
    </row>
    <row r="88" spans="1:6" x14ac:dyDescent="0.25">
      <c r="A88" s="241">
        <v>1985</v>
      </c>
      <c r="B88" s="216" t="s">
        <v>1093</v>
      </c>
      <c r="C88" s="232">
        <v>33813</v>
      </c>
      <c r="D88" s="242" t="s">
        <v>11</v>
      </c>
      <c r="F88" s="216">
        <f t="shared" si="3"/>
        <v>0</v>
      </c>
    </row>
    <row r="89" spans="1:6" x14ac:dyDescent="0.25">
      <c r="A89" s="241">
        <v>1986</v>
      </c>
      <c r="B89" s="216" t="s">
        <v>1073</v>
      </c>
      <c r="C89" s="232">
        <v>24000</v>
      </c>
      <c r="D89" s="242" t="s">
        <v>11</v>
      </c>
      <c r="F89" s="216">
        <f t="shared" si="3"/>
        <v>0</v>
      </c>
    </row>
    <row r="90" spans="1:6" x14ac:dyDescent="0.25">
      <c r="A90" s="241">
        <v>1986</v>
      </c>
      <c r="B90" s="216" t="s">
        <v>1118</v>
      </c>
      <c r="C90" s="232">
        <v>379474</v>
      </c>
      <c r="D90" s="242" t="s">
        <v>11</v>
      </c>
      <c r="F90" s="216">
        <f t="shared" si="3"/>
        <v>0</v>
      </c>
    </row>
    <row r="91" spans="1:6" x14ac:dyDescent="0.25">
      <c r="A91" s="241">
        <v>1986</v>
      </c>
      <c r="B91" s="216" t="s">
        <v>1119</v>
      </c>
      <c r="C91" s="232">
        <v>324600</v>
      </c>
      <c r="D91" s="242" t="s">
        <v>11</v>
      </c>
      <c r="F91" s="216">
        <f t="shared" si="3"/>
        <v>0</v>
      </c>
    </row>
    <row r="92" spans="1:6" x14ac:dyDescent="0.25">
      <c r="A92" s="241">
        <v>1986</v>
      </c>
      <c r="B92" s="216" t="s">
        <v>1120</v>
      </c>
      <c r="C92" s="232">
        <v>275000</v>
      </c>
      <c r="D92" s="242" t="s">
        <v>11</v>
      </c>
      <c r="F92" s="216">
        <f t="shared" si="3"/>
        <v>0</v>
      </c>
    </row>
    <row r="93" spans="1:6" x14ac:dyDescent="0.25">
      <c r="A93" s="241">
        <v>1986</v>
      </c>
      <c r="B93" s="216" t="s">
        <v>1121</v>
      </c>
      <c r="C93" s="232">
        <v>126800</v>
      </c>
      <c r="D93" s="242" t="s">
        <v>11</v>
      </c>
      <c r="F93" s="216">
        <f t="shared" si="3"/>
        <v>0</v>
      </c>
    </row>
    <row r="94" spans="1:6" x14ac:dyDescent="0.25">
      <c r="A94" s="241">
        <v>1986</v>
      </c>
      <c r="B94" s="216" t="s">
        <v>1093</v>
      </c>
      <c r="C94" s="232">
        <v>84915</v>
      </c>
      <c r="D94" s="242" t="s">
        <v>11</v>
      </c>
      <c r="F94" s="216">
        <f t="shared" si="3"/>
        <v>0</v>
      </c>
    </row>
    <row r="95" spans="1:6" x14ac:dyDescent="0.25">
      <c r="A95" s="241">
        <v>1986</v>
      </c>
      <c r="B95" s="216" t="s">
        <v>1122</v>
      </c>
      <c r="C95" s="232">
        <v>320000</v>
      </c>
      <c r="D95" s="242" t="s">
        <v>11</v>
      </c>
      <c r="F95" s="216">
        <f t="shared" si="3"/>
        <v>0</v>
      </c>
    </row>
    <row r="96" spans="1:6" x14ac:dyDescent="0.25">
      <c r="A96" s="241">
        <v>1986</v>
      </c>
      <c r="B96" s="216" t="s">
        <v>1123</v>
      </c>
      <c r="C96" s="232">
        <v>146289</v>
      </c>
      <c r="D96" s="242" t="s">
        <v>11</v>
      </c>
      <c r="F96" s="216">
        <f t="shared" si="3"/>
        <v>0</v>
      </c>
    </row>
    <row r="97" spans="1:6" x14ac:dyDescent="0.25">
      <c r="A97" s="241">
        <v>1986</v>
      </c>
      <c r="B97" s="216" t="s">
        <v>1123</v>
      </c>
      <c r="C97" s="232">
        <v>23567</v>
      </c>
      <c r="D97" s="242" t="s">
        <v>11</v>
      </c>
      <c r="F97" s="216">
        <f t="shared" si="3"/>
        <v>0</v>
      </c>
    </row>
    <row r="98" spans="1:6" x14ac:dyDescent="0.25">
      <c r="A98" s="241">
        <v>1988</v>
      </c>
      <c r="B98" s="216" t="s">
        <v>1065</v>
      </c>
      <c r="C98" s="232">
        <v>158316</v>
      </c>
      <c r="D98" s="242" t="s">
        <v>11</v>
      </c>
      <c r="F98" s="216">
        <f t="shared" si="3"/>
        <v>0</v>
      </c>
    </row>
    <row r="99" spans="1:6" x14ac:dyDescent="0.25">
      <c r="A99" s="241">
        <v>1988</v>
      </c>
      <c r="B99" s="216" t="s">
        <v>1078</v>
      </c>
      <c r="C99" s="232">
        <v>261770</v>
      </c>
      <c r="D99" s="242" t="s">
        <v>11</v>
      </c>
      <c r="F99" s="216">
        <f t="shared" si="3"/>
        <v>0</v>
      </c>
    </row>
    <row r="100" spans="1:6" x14ac:dyDescent="0.25">
      <c r="A100" s="241">
        <v>1988</v>
      </c>
      <c r="B100" s="216" t="s">
        <v>1124</v>
      </c>
      <c r="C100" s="232">
        <v>97000</v>
      </c>
      <c r="D100" s="242" t="s">
        <v>11</v>
      </c>
      <c r="F100" s="216">
        <f t="shared" si="3"/>
        <v>0</v>
      </c>
    </row>
    <row r="101" spans="1:6" x14ac:dyDescent="0.25">
      <c r="A101" s="241">
        <v>1988</v>
      </c>
      <c r="B101" s="216" t="s">
        <v>1122</v>
      </c>
      <c r="C101" s="232">
        <v>46165</v>
      </c>
      <c r="D101" s="242" t="s">
        <v>11</v>
      </c>
      <c r="F101" s="216">
        <f t="shared" si="3"/>
        <v>0</v>
      </c>
    </row>
    <row r="102" spans="1:6" x14ac:dyDescent="0.25">
      <c r="A102" s="241">
        <v>1988</v>
      </c>
      <c r="B102" s="216" t="s">
        <v>1125</v>
      </c>
      <c r="C102" s="232">
        <v>218900</v>
      </c>
      <c r="D102" s="242" t="s">
        <v>11</v>
      </c>
      <c r="F102" s="216">
        <f t="shared" si="3"/>
        <v>0</v>
      </c>
    </row>
    <row r="103" spans="1:6" x14ac:dyDescent="0.25">
      <c r="A103" s="241">
        <v>1989</v>
      </c>
      <c r="B103" s="216" t="s">
        <v>1065</v>
      </c>
      <c r="C103" s="232">
        <v>20742</v>
      </c>
      <c r="D103" s="242" t="s">
        <v>11</v>
      </c>
      <c r="F103" s="216">
        <f t="shared" si="3"/>
        <v>0</v>
      </c>
    </row>
    <row r="104" spans="1:6" x14ac:dyDescent="0.25">
      <c r="A104" s="241">
        <v>1989</v>
      </c>
      <c r="B104" s="216" t="s">
        <v>1126</v>
      </c>
      <c r="C104" s="232">
        <v>17900</v>
      </c>
      <c r="D104" s="242" t="s">
        <v>11</v>
      </c>
      <c r="F104" s="216">
        <f t="shared" si="3"/>
        <v>0</v>
      </c>
    </row>
    <row r="105" spans="1:6" x14ac:dyDescent="0.25">
      <c r="A105" s="241">
        <v>1989</v>
      </c>
      <c r="B105" s="216" t="s">
        <v>1097</v>
      </c>
      <c r="C105" s="232">
        <v>24950</v>
      </c>
      <c r="D105" s="242" t="s">
        <v>1127</v>
      </c>
      <c r="F105" s="216">
        <f t="shared" si="3"/>
        <v>0</v>
      </c>
    </row>
    <row r="106" spans="1:6" x14ac:dyDescent="0.25">
      <c r="A106" s="241">
        <v>1990</v>
      </c>
      <c r="B106" s="216" t="s">
        <v>1069</v>
      </c>
      <c r="C106" s="232">
        <v>93700</v>
      </c>
      <c r="D106" s="242" t="s">
        <v>1127</v>
      </c>
      <c r="F106" s="216">
        <f t="shared" si="3"/>
        <v>0</v>
      </c>
    </row>
    <row r="107" spans="1:6" x14ac:dyDescent="0.25">
      <c r="A107" s="241">
        <v>1990</v>
      </c>
      <c r="B107" s="216" t="s">
        <v>1054</v>
      </c>
      <c r="C107" s="232">
        <v>118655</v>
      </c>
      <c r="D107" s="242" t="s">
        <v>1127</v>
      </c>
      <c r="F107" s="216">
        <f t="shared" si="3"/>
        <v>0</v>
      </c>
    </row>
    <row r="108" spans="1:6" x14ac:dyDescent="0.25">
      <c r="A108" s="241">
        <v>1990</v>
      </c>
      <c r="B108" s="216" t="s">
        <v>1128</v>
      </c>
      <c r="C108" s="232">
        <v>19000</v>
      </c>
      <c r="D108" s="242" t="s">
        <v>11</v>
      </c>
      <c r="F108" s="216">
        <f t="shared" si="3"/>
        <v>0</v>
      </c>
    </row>
    <row r="109" spans="1:6" x14ac:dyDescent="0.25">
      <c r="A109" s="241">
        <v>1990</v>
      </c>
      <c r="B109" s="216" t="s">
        <v>1061</v>
      </c>
      <c r="C109" s="232">
        <v>250000</v>
      </c>
      <c r="D109" s="242" t="s">
        <v>11</v>
      </c>
      <c r="F109" s="216">
        <f t="shared" si="3"/>
        <v>0</v>
      </c>
    </row>
    <row r="110" spans="1:6" x14ac:dyDescent="0.25">
      <c r="A110" s="241">
        <v>1990</v>
      </c>
      <c r="B110" s="216" t="s">
        <v>1129</v>
      </c>
      <c r="C110" s="232">
        <v>186679</v>
      </c>
      <c r="D110" s="242" t="s">
        <v>11</v>
      </c>
      <c r="F110" s="216">
        <f t="shared" si="3"/>
        <v>0</v>
      </c>
    </row>
    <row r="111" spans="1:6" x14ac:dyDescent="0.25">
      <c r="A111" s="241">
        <v>1990</v>
      </c>
      <c r="B111" s="216" t="s">
        <v>1130</v>
      </c>
      <c r="C111" s="232">
        <v>67500</v>
      </c>
      <c r="D111" s="242" t="s">
        <v>1127</v>
      </c>
      <c r="F111" s="216">
        <f t="shared" si="3"/>
        <v>0</v>
      </c>
    </row>
    <row r="112" spans="1:6" x14ac:dyDescent="0.25">
      <c r="A112" s="241">
        <v>1990</v>
      </c>
      <c r="B112" s="216" t="s">
        <v>1131</v>
      </c>
      <c r="C112" s="232">
        <v>54467</v>
      </c>
      <c r="D112" s="242" t="s">
        <v>1127</v>
      </c>
      <c r="F112" s="216">
        <f t="shared" si="3"/>
        <v>0</v>
      </c>
    </row>
    <row r="113" spans="1:6" x14ac:dyDescent="0.25">
      <c r="A113" s="241">
        <v>1990</v>
      </c>
      <c r="B113" s="216" t="s">
        <v>1098</v>
      </c>
      <c r="C113" s="232">
        <v>262727</v>
      </c>
      <c r="D113" s="242" t="s">
        <v>1127</v>
      </c>
      <c r="F113" s="216">
        <f t="shared" si="3"/>
        <v>0</v>
      </c>
    </row>
    <row r="114" spans="1:6" x14ac:dyDescent="0.25">
      <c r="A114" s="241">
        <v>1990</v>
      </c>
      <c r="B114" s="216" t="s">
        <v>1132</v>
      </c>
      <c r="C114" s="232">
        <v>262000</v>
      </c>
      <c r="D114" s="242" t="s">
        <v>11</v>
      </c>
      <c r="F114" s="216">
        <f t="shared" si="3"/>
        <v>0</v>
      </c>
    </row>
    <row r="115" spans="1:6" x14ac:dyDescent="0.25">
      <c r="A115" s="241">
        <v>1990</v>
      </c>
      <c r="B115" s="216" t="s">
        <v>1133</v>
      </c>
      <c r="C115" s="232">
        <v>50000</v>
      </c>
      <c r="D115" s="242" t="s">
        <v>11</v>
      </c>
      <c r="F115" s="216">
        <f t="shared" si="3"/>
        <v>0</v>
      </c>
    </row>
    <row r="116" spans="1:6" x14ac:dyDescent="0.25">
      <c r="A116" s="241">
        <v>1991</v>
      </c>
      <c r="B116" s="216" t="s">
        <v>1054</v>
      </c>
      <c r="C116" s="232">
        <v>98048</v>
      </c>
      <c r="D116" s="242" t="s">
        <v>1127</v>
      </c>
      <c r="F116" s="216">
        <f t="shared" si="3"/>
        <v>0</v>
      </c>
    </row>
    <row r="117" spans="1:6" x14ac:dyDescent="0.25">
      <c r="A117" s="241">
        <v>1991</v>
      </c>
      <c r="B117" s="216" t="s">
        <v>1134</v>
      </c>
      <c r="C117" s="232">
        <v>223247</v>
      </c>
      <c r="D117" s="242" t="s">
        <v>1127</v>
      </c>
      <c r="F117" s="216">
        <f t="shared" si="3"/>
        <v>0</v>
      </c>
    </row>
    <row r="118" spans="1:6" x14ac:dyDescent="0.25">
      <c r="A118" s="241">
        <v>1991</v>
      </c>
      <c r="B118" s="216" t="s">
        <v>1135</v>
      </c>
      <c r="C118" s="232">
        <v>1171575</v>
      </c>
      <c r="D118" s="242" t="s">
        <v>1127</v>
      </c>
      <c r="F118" s="216">
        <f t="shared" si="3"/>
        <v>0</v>
      </c>
    </row>
    <row r="119" spans="1:6" x14ac:dyDescent="0.25">
      <c r="A119" s="241">
        <v>1991</v>
      </c>
      <c r="B119" s="216" t="s">
        <v>1136</v>
      </c>
      <c r="C119" s="232">
        <v>10720</v>
      </c>
      <c r="D119" s="242" t="s">
        <v>11</v>
      </c>
      <c r="F119" s="216">
        <f t="shared" si="3"/>
        <v>0</v>
      </c>
    </row>
    <row r="120" spans="1:6" x14ac:dyDescent="0.25">
      <c r="A120" s="241">
        <v>1991</v>
      </c>
      <c r="B120" s="216" t="s">
        <v>1136</v>
      </c>
      <c r="C120" s="232">
        <v>25950</v>
      </c>
      <c r="D120" s="242" t="s">
        <v>1127</v>
      </c>
      <c r="F120" s="216">
        <f t="shared" si="3"/>
        <v>0</v>
      </c>
    </row>
    <row r="121" spans="1:6" x14ac:dyDescent="0.25">
      <c r="A121" s="241">
        <v>1991</v>
      </c>
      <c r="B121" s="216" t="s">
        <v>1137</v>
      </c>
      <c r="C121" s="232">
        <v>737647</v>
      </c>
      <c r="D121" s="242" t="s">
        <v>1127</v>
      </c>
      <c r="F121" s="216">
        <f t="shared" si="3"/>
        <v>0</v>
      </c>
    </row>
    <row r="122" spans="1:6" x14ac:dyDescent="0.25">
      <c r="A122" s="241">
        <v>1991</v>
      </c>
      <c r="B122" s="216" t="s">
        <v>1138</v>
      </c>
      <c r="C122" s="232">
        <v>38000</v>
      </c>
      <c r="D122" s="242" t="s">
        <v>1127</v>
      </c>
      <c r="F122" s="216">
        <f t="shared" si="3"/>
        <v>0</v>
      </c>
    </row>
    <row r="123" spans="1:6" x14ac:dyDescent="0.25">
      <c r="A123" s="241">
        <v>1991</v>
      </c>
      <c r="B123" s="216" t="s">
        <v>1139</v>
      </c>
      <c r="C123" s="232">
        <v>160000</v>
      </c>
      <c r="D123" s="242" t="s">
        <v>1127</v>
      </c>
      <c r="F123" s="216">
        <f t="shared" si="3"/>
        <v>0</v>
      </c>
    </row>
    <row r="124" spans="1:6" x14ac:dyDescent="0.25">
      <c r="A124" s="241">
        <v>1991</v>
      </c>
      <c r="B124" s="216" t="s">
        <v>1132</v>
      </c>
      <c r="C124" s="232">
        <v>116896</v>
      </c>
      <c r="D124" s="242" t="s">
        <v>1127</v>
      </c>
      <c r="F124" s="216">
        <f t="shared" si="3"/>
        <v>0</v>
      </c>
    </row>
    <row r="125" spans="1:6" x14ac:dyDescent="0.25">
      <c r="A125" s="241">
        <v>1992</v>
      </c>
      <c r="B125" s="216" t="s">
        <v>1140</v>
      </c>
      <c r="C125" s="232">
        <v>209189</v>
      </c>
      <c r="D125" s="242" t="s">
        <v>1127</v>
      </c>
      <c r="F125" s="216">
        <f t="shared" si="3"/>
        <v>0</v>
      </c>
    </row>
    <row r="126" spans="1:6" x14ac:dyDescent="0.25">
      <c r="A126" s="241">
        <v>1992</v>
      </c>
      <c r="B126" s="216" t="s">
        <v>1141</v>
      </c>
      <c r="C126" s="232">
        <v>54059</v>
      </c>
      <c r="D126" s="242" t="s">
        <v>1127</v>
      </c>
      <c r="F126" s="216">
        <f t="shared" si="3"/>
        <v>0</v>
      </c>
    </row>
    <row r="127" spans="1:6" x14ac:dyDescent="0.25">
      <c r="A127" s="241">
        <v>1993</v>
      </c>
      <c r="B127" s="216" t="s">
        <v>1107</v>
      </c>
      <c r="C127" s="232">
        <v>242000</v>
      </c>
      <c r="D127" s="242" t="s">
        <v>11</v>
      </c>
      <c r="F127" s="216">
        <f t="shared" si="3"/>
        <v>0</v>
      </c>
    </row>
    <row r="128" spans="1:6" x14ac:dyDescent="0.25">
      <c r="A128" s="241">
        <v>1993</v>
      </c>
      <c r="B128" s="216" t="s">
        <v>1078</v>
      </c>
      <c r="C128" s="232">
        <v>93000</v>
      </c>
      <c r="D128" s="242" t="s">
        <v>1127</v>
      </c>
      <c r="F128" s="216">
        <f t="shared" si="3"/>
        <v>0</v>
      </c>
    </row>
    <row r="129" spans="1:6" x14ac:dyDescent="0.25">
      <c r="A129" s="241">
        <v>1993</v>
      </c>
      <c r="B129" s="216" t="s">
        <v>1142</v>
      </c>
      <c r="C129" s="232">
        <v>20000</v>
      </c>
      <c r="D129" s="242" t="s">
        <v>11</v>
      </c>
      <c r="F129" s="216">
        <f t="shared" si="3"/>
        <v>0</v>
      </c>
    </row>
    <row r="130" spans="1:6" x14ac:dyDescent="0.25">
      <c r="A130" s="241">
        <v>1993</v>
      </c>
      <c r="B130" s="216" t="s">
        <v>1143</v>
      </c>
      <c r="C130" s="232">
        <v>25526.71</v>
      </c>
      <c r="D130" s="242" t="s">
        <v>1127</v>
      </c>
      <c r="F130" s="216">
        <f t="shared" si="3"/>
        <v>0</v>
      </c>
    </row>
    <row r="131" spans="1:6" x14ac:dyDescent="0.25">
      <c r="A131" s="241">
        <v>1993</v>
      </c>
      <c r="B131" s="216" t="s">
        <v>1143</v>
      </c>
      <c r="C131" s="232">
        <v>34973.29</v>
      </c>
      <c r="D131" s="242" t="s">
        <v>1127</v>
      </c>
      <c r="F131" s="216">
        <f t="shared" si="3"/>
        <v>0</v>
      </c>
    </row>
    <row r="132" spans="1:6" x14ac:dyDescent="0.25">
      <c r="A132" s="241">
        <v>1993</v>
      </c>
      <c r="B132" s="216" t="s">
        <v>1144</v>
      </c>
      <c r="C132" s="232">
        <v>54784.68</v>
      </c>
      <c r="D132" s="242" t="s">
        <v>1127</v>
      </c>
      <c r="F132" s="216">
        <f t="shared" si="3"/>
        <v>0</v>
      </c>
    </row>
    <row r="133" spans="1:6" x14ac:dyDescent="0.25">
      <c r="A133" s="241">
        <v>1993</v>
      </c>
      <c r="B133" s="216" t="s">
        <v>1144</v>
      </c>
      <c r="C133" s="232">
        <v>5140.32</v>
      </c>
      <c r="D133" s="242" t="s">
        <v>1127</v>
      </c>
      <c r="F133" s="216">
        <f t="shared" si="3"/>
        <v>0</v>
      </c>
    </row>
    <row r="134" spans="1:6" x14ac:dyDescent="0.25">
      <c r="A134" s="241">
        <v>1993</v>
      </c>
      <c r="B134" s="216" t="s">
        <v>1145</v>
      </c>
      <c r="C134" s="232">
        <v>181500</v>
      </c>
      <c r="D134" s="242" t="s">
        <v>11</v>
      </c>
      <c r="F134" s="216">
        <f t="shared" si="3"/>
        <v>0</v>
      </c>
    </row>
    <row r="135" spans="1:6" x14ac:dyDescent="0.25">
      <c r="A135" s="241">
        <v>1993</v>
      </c>
      <c r="B135" s="216" t="s">
        <v>1060</v>
      </c>
      <c r="C135" s="232">
        <v>250000</v>
      </c>
      <c r="D135" s="242" t="s">
        <v>11</v>
      </c>
      <c r="F135" s="216">
        <f t="shared" si="3"/>
        <v>0</v>
      </c>
    </row>
    <row r="136" spans="1:6" x14ac:dyDescent="0.25">
      <c r="A136" s="241">
        <v>1993</v>
      </c>
      <c r="B136" s="216" t="s">
        <v>1146</v>
      </c>
      <c r="C136" s="232">
        <v>78000</v>
      </c>
      <c r="D136" s="242" t="s">
        <v>11</v>
      </c>
      <c r="F136" s="216">
        <f t="shared" si="3"/>
        <v>0</v>
      </c>
    </row>
    <row r="137" spans="1:6" x14ac:dyDescent="0.25">
      <c r="A137" s="241">
        <v>1993</v>
      </c>
      <c r="B137" s="216" t="s">
        <v>1147</v>
      </c>
      <c r="C137" s="232">
        <v>267000</v>
      </c>
      <c r="D137" s="242" t="s">
        <v>11</v>
      </c>
      <c r="F137" s="216">
        <f t="shared" si="3"/>
        <v>0</v>
      </c>
    </row>
    <row r="138" spans="1:6" x14ac:dyDescent="0.25">
      <c r="A138" s="241">
        <v>1993</v>
      </c>
      <c r="B138" s="216" t="s">
        <v>1148</v>
      </c>
      <c r="C138" s="232">
        <v>250000</v>
      </c>
      <c r="D138" s="242" t="s">
        <v>11</v>
      </c>
      <c r="F138" s="216">
        <f t="shared" si="3"/>
        <v>0</v>
      </c>
    </row>
    <row r="139" spans="1:6" x14ac:dyDescent="0.25">
      <c r="A139" s="241">
        <v>1993</v>
      </c>
      <c r="B139" s="216" t="s">
        <v>1149</v>
      </c>
      <c r="C139" s="232">
        <v>250000</v>
      </c>
      <c r="D139" s="242" t="s">
        <v>11</v>
      </c>
      <c r="F139" s="216">
        <f t="shared" si="3"/>
        <v>0</v>
      </c>
    </row>
    <row r="140" spans="1:6" x14ac:dyDescent="0.25">
      <c r="A140" s="241">
        <v>1993</v>
      </c>
      <c r="B140" s="216" t="s">
        <v>1098</v>
      </c>
      <c r="C140" s="232">
        <v>265000</v>
      </c>
      <c r="D140" s="242" t="s">
        <v>1127</v>
      </c>
      <c r="F140" s="216">
        <f t="shared" si="3"/>
        <v>0</v>
      </c>
    </row>
    <row r="141" spans="1:6" x14ac:dyDescent="0.25">
      <c r="A141" s="241">
        <v>1993</v>
      </c>
      <c r="B141" s="216" t="s">
        <v>1132</v>
      </c>
      <c r="C141" s="232">
        <v>250000</v>
      </c>
      <c r="D141" s="242" t="s">
        <v>11</v>
      </c>
      <c r="F141" s="216">
        <f t="shared" si="3"/>
        <v>0</v>
      </c>
    </row>
    <row r="142" spans="1:6" x14ac:dyDescent="0.25">
      <c r="A142" s="241">
        <v>1993</v>
      </c>
      <c r="B142" s="216" t="s">
        <v>1150</v>
      </c>
      <c r="C142" s="232">
        <v>240000</v>
      </c>
      <c r="D142" s="242" t="s">
        <v>11</v>
      </c>
      <c r="F142" s="216">
        <f t="shared" si="3"/>
        <v>0</v>
      </c>
    </row>
    <row r="143" spans="1:6" x14ac:dyDescent="0.25">
      <c r="A143" s="241">
        <v>1993</v>
      </c>
      <c r="B143" s="216" t="s">
        <v>1151</v>
      </c>
      <c r="C143" s="232">
        <v>200000</v>
      </c>
      <c r="D143" s="242" t="s">
        <v>1127</v>
      </c>
      <c r="F143" s="216">
        <f t="shared" ref="F143:F206" si="4">SUMIF(A143:A482,E143,C143:C482)</f>
        <v>0</v>
      </c>
    </row>
    <row r="144" spans="1:6" x14ac:dyDescent="0.25">
      <c r="A144" s="241">
        <v>1993</v>
      </c>
      <c r="B144" s="216" t="s">
        <v>1151</v>
      </c>
      <c r="C144" s="232">
        <v>50000</v>
      </c>
      <c r="D144" s="242" t="s">
        <v>1127</v>
      </c>
      <c r="F144" s="216">
        <f t="shared" si="4"/>
        <v>0</v>
      </c>
    </row>
    <row r="145" spans="1:6" x14ac:dyDescent="0.25">
      <c r="A145" s="241">
        <v>1993</v>
      </c>
      <c r="B145" s="216" t="s">
        <v>1152</v>
      </c>
      <c r="C145" s="232">
        <v>76000</v>
      </c>
      <c r="D145" s="242" t="s">
        <v>11</v>
      </c>
      <c r="F145" s="216">
        <f t="shared" si="4"/>
        <v>0</v>
      </c>
    </row>
    <row r="146" spans="1:6" x14ac:dyDescent="0.25">
      <c r="A146" s="241">
        <v>1994</v>
      </c>
      <c r="B146" s="216" t="s">
        <v>1153</v>
      </c>
      <c r="C146" s="232">
        <v>22000</v>
      </c>
      <c r="D146" s="242" t="s">
        <v>11</v>
      </c>
      <c r="F146" s="216">
        <f t="shared" si="4"/>
        <v>0</v>
      </c>
    </row>
    <row r="147" spans="1:6" x14ac:dyDescent="0.25">
      <c r="A147" s="241">
        <v>1994</v>
      </c>
      <c r="B147" s="216" t="s">
        <v>1129</v>
      </c>
      <c r="C147" s="232">
        <v>247000</v>
      </c>
      <c r="D147" s="242" t="s">
        <v>11</v>
      </c>
      <c r="F147" s="216">
        <f t="shared" si="4"/>
        <v>0</v>
      </c>
    </row>
    <row r="148" spans="1:6" x14ac:dyDescent="0.25">
      <c r="A148" s="241">
        <v>1994</v>
      </c>
      <c r="B148" s="216" t="s">
        <v>1154</v>
      </c>
      <c r="C148" s="232">
        <v>4424</v>
      </c>
      <c r="D148" s="242" t="s">
        <v>11</v>
      </c>
      <c r="F148" s="216">
        <f t="shared" si="4"/>
        <v>0</v>
      </c>
    </row>
    <row r="149" spans="1:6" x14ac:dyDescent="0.25">
      <c r="A149" s="241">
        <v>1994</v>
      </c>
      <c r="B149" s="216" t="s">
        <v>1148</v>
      </c>
      <c r="C149" s="232">
        <v>150000</v>
      </c>
      <c r="D149" s="242" t="s">
        <v>1127</v>
      </c>
      <c r="F149" s="216">
        <f t="shared" si="4"/>
        <v>0</v>
      </c>
    </row>
    <row r="150" spans="1:6" x14ac:dyDescent="0.25">
      <c r="A150" s="241">
        <v>1994</v>
      </c>
      <c r="B150" s="216" t="s">
        <v>1155</v>
      </c>
      <c r="C150" s="232">
        <v>82390</v>
      </c>
      <c r="D150" s="242" t="s">
        <v>1127</v>
      </c>
      <c r="F150" s="216">
        <f t="shared" si="4"/>
        <v>0</v>
      </c>
    </row>
    <row r="151" spans="1:6" x14ac:dyDescent="0.25">
      <c r="A151" s="241">
        <v>1994</v>
      </c>
      <c r="B151" s="216" t="s">
        <v>1141</v>
      </c>
      <c r="C151" s="232">
        <v>37910</v>
      </c>
      <c r="D151" s="242" t="s">
        <v>11</v>
      </c>
      <c r="F151" s="216">
        <f t="shared" si="4"/>
        <v>0</v>
      </c>
    </row>
    <row r="152" spans="1:6" x14ac:dyDescent="0.25">
      <c r="A152" s="241">
        <v>1994</v>
      </c>
      <c r="B152" s="216" t="s">
        <v>1156</v>
      </c>
      <c r="C152" s="232">
        <v>200000</v>
      </c>
      <c r="D152" s="242" t="s">
        <v>11</v>
      </c>
      <c r="F152" s="216">
        <f t="shared" si="4"/>
        <v>0</v>
      </c>
    </row>
    <row r="153" spans="1:6" x14ac:dyDescent="0.25">
      <c r="A153" s="241">
        <v>1995</v>
      </c>
      <c r="B153" s="216" t="s">
        <v>1157</v>
      </c>
      <c r="C153" s="232">
        <v>41100</v>
      </c>
      <c r="D153" s="242" t="s">
        <v>11</v>
      </c>
      <c r="F153" s="216">
        <f t="shared" si="4"/>
        <v>0</v>
      </c>
    </row>
    <row r="154" spans="1:6" x14ac:dyDescent="0.25">
      <c r="A154" s="241">
        <v>1995</v>
      </c>
      <c r="B154" s="216" t="s">
        <v>1158</v>
      </c>
      <c r="C154" s="232">
        <v>250000</v>
      </c>
      <c r="D154" s="242" t="s">
        <v>1127</v>
      </c>
      <c r="F154" s="216">
        <f t="shared" si="4"/>
        <v>0</v>
      </c>
    </row>
    <row r="155" spans="1:6" x14ac:dyDescent="0.25">
      <c r="A155" s="241">
        <v>1997</v>
      </c>
      <c r="B155" s="216" t="s">
        <v>1159</v>
      </c>
      <c r="C155" s="232">
        <v>86000</v>
      </c>
      <c r="D155" s="242" t="s">
        <v>11</v>
      </c>
      <c r="F155" s="216">
        <f t="shared" si="4"/>
        <v>0</v>
      </c>
    </row>
    <row r="156" spans="1:6" x14ac:dyDescent="0.25">
      <c r="A156" s="241">
        <v>1997</v>
      </c>
      <c r="B156" s="216" t="s">
        <v>1160</v>
      </c>
      <c r="C156" s="232">
        <v>50650</v>
      </c>
      <c r="D156" s="242" t="s">
        <v>11</v>
      </c>
      <c r="F156" s="216">
        <f t="shared" si="4"/>
        <v>0</v>
      </c>
    </row>
    <row r="157" spans="1:6" x14ac:dyDescent="0.25">
      <c r="A157" s="241">
        <v>1997</v>
      </c>
      <c r="B157" s="216" t="s">
        <v>1093</v>
      </c>
      <c r="C157" s="232">
        <v>62000</v>
      </c>
      <c r="D157" s="242" t="s">
        <v>11</v>
      </c>
      <c r="F157" s="216">
        <f t="shared" si="4"/>
        <v>0</v>
      </c>
    </row>
    <row r="158" spans="1:6" x14ac:dyDescent="0.25">
      <c r="A158" s="241">
        <v>1997</v>
      </c>
      <c r="B158" s="216" t="s">
        <v>1122</v>
      </c>
      <c r="C158" s="232">
        <v>210000</v>
      </c>
      <c r="D158" s="242" t="s">
        <v>11</v>
      </c>
      <c r="F158" s="216">
        <f t="shared" si="4"/>
        <v>0</v>
      </c>
    </row>
    <row r="159" spans="1:6" x14ac:dyDescent="0.25">
      <c r="A159" s="241">
        <v>1997</v>
      </c>
      <c r="B159" s="216" t="s">
        <v>1147</v>
      </c>
      <c r="C159" s="232">
        <v>121000</v>
      </c>
      <c r="D159" s="242" t="s">
        <v>11</v>
      </c>
      <c r="F159" s="216">
        <f t="shared" si="4"/>
        <v>0</v>
      </c>
    </row>
    <row r="160" spans="1:6" x14ac:dyDescent="0.25">
      <c r="A160" s="241">
        <v>1997</v>
      </c>
      <c r="B160" s="216" t="s">
        <v>1161</v>
      </c>
      <c r="C160" s="232">
        <v>600000</v>
      </c>
      <c r="D160" s="242" t="s">
        <v>11</v>
      </c>
      <c r="F160" s="216">
        <f t="shared" si="4"/>
        <v>0</v>
      </c>
    </row>
    <row r="161" spans="1:6" x14ac:dyDescent="0.25">
      <c r="A161" s="241">
        <v>1997</v>
      </c>
      <c r="B161" s="216" t="s">
        <v>1162</v>
      </c>
      <c r="C161" s="232">
        <v>600000</v>
      </c>
      <c r="D161" s="242" t="s">
        <v>11</v>
      </c>
      <c r="F161" s="216">
        <f t="shared" si="4"/>
        <v>0</v>
      </c>
    </row>
    <row r="162" spans="1:6" x14ac:dyDescent="0.25">
      <c r="A162" s="241">
        <v>1999</v>
      </c>
      <c r="B162" s="216" t="s">
        <v>1054</v>
      </c>
      <c r="C162" s="232">
        <v>329600</v>
      </c>
      <c r="D162" s="242" t="s">
        <v>11</v>
      </c>
      <c r="F162" s="216">
        <f t="shared" si="4"/>
        <v>0</v>
      </c>
    </row>
    <row r="163" spans="1:6" x14ac:dyDescent="0.25">
      <c r="A163" s="241">
        <v>2000</v>
      </c>
      <c r="B163" s="216" t="s">
        <v>1134</v>
      </c>
      <c r="C163" s="232">
        <v>450000</v>
      </c>
      <c r="D163" s="242" t="s">
        <v>1127</v>
      </c>
      <c r="F163" s="216">
        <f t="shared" si="4"/>
        <v>0</v>
      </c>
    </row>
    <row r="164" spans="1:6" x14ac:dyDescent="0.25">
      <c r="A164" s="241">
        <v>2000</v>
      </c>
      <c r="B164" s="216" t="s">
        <v>1076</v>
      </c>
      <c r="C164" s="232">
        <v>165091</v>
      </c>
      <c r="D164" s="242" t="s">
        <v>11</v>
      </c>
      <c r="F164" s="216">
        <f t="shared" si="4"/>
        <v>0</v>
      </c>
    </row>
    <row r="165" spans="1:6" x14ac:dyDescent="0.25">
      <c r="A165" s="241">
        <v>2000</v>
      </c>
      <c r="B165" s="216" t="s">
        <v>1163</v>
      </c>
      <c r="C165" s="232">
        <v>226048</v>
      </c>
      <c r="D165" s="242" t="s">
        <v>11</v>
      </c>
      <c r="F165" s="216">
        <f t="shared" si="4"/>
        <v>0</v>
      </c>
    </row>
    <row r="166" spans="1:6" x14ac:dyDescent="0.25">
      <c r="A166" s="241">
        <v>2000</v>
      </c>
      <c r="B166" s="216" t="s">
        <v>1164</v>
      </c>
      <c r="C166" s="232">
        <v>621000</v>
      </c>
      <c r="D166" s="242" t="s">
        <v>11</v>
      </c>
      <c r="F166" s="216">
        <f t="shared" si="4"/>
        <v>0</v>
      </c>
    </row>
    <row r="167" spans="1:6" x14ac:dyDescent="0.25">
      <c r="A167" s="241">
        <v>2000</v>
      </c>
      <c r="B167" s="216" t="s">
        <v>1164</v>
      </c>
      <c r="C167" s="232">
        <v>250000</v>
      </c>
      <c r="D167" s="242" t="s">
        <v>11</v>
      </c>
      <c r="F167" s="216">
        <f t="shared" si="4"/>
        <v>0</v>
      </c>
    </row>
    <row r="168" spans="1:6" x14ac:dyDescent="0.25">
      <c r="A168" s="241">
        <v>2000</v>
      </c>
      <c r="B168" s="216" t="s">
        <v>1122</v>
      </c>
      <c r="C168" s="232">
        <v>350000</v>
      </c>
      <c r="D168" s="242" t="s">
        <v>11</v>
      </c>
      <c r="F168" s="216">
        <f t="shared" si="4"/>
        <v>0</v>
      </c>
    </row>
    <row r="169" spans="1:6" x14ac:dyDescent="0.25">
      <c r="A169" s="241">
        <v>2001</v>
      </c>
      <c r="B169" s="216" t="s">
        <v>1165</v>
      </c>
      <c r="C169" s="232">
        <v>1999989</v>
      </c>
      <c r="D169" s="242" t="s">
        <v>11</v>
      </c>
      <c r="F169" s="216">
        <f t="shared" si="4"/>
        <v>0</v>
      </c>
    </row>
    <row r="170" spans="1:6" x14ac:dyDescent="0.25">
      <c r="A170" s="241">
        <v>2001</v>
      </c>
      <c r="B170" s="216" t="s">
        <v>1165</v>
      </c>
      <c r="C170" s="232">
        <v>1627983</v>
      </c>
      <c r="D170" s="242" t="s">
        <v>11</v>
      </c>
      <c r="F170" s="216">
        <f t="shared" si="4"/>
        <v>0</v>
      </c>
    </row>
    <row r="171" spans="1:6" x14ac:dyDescent="0.25">
      <c r="A171" s="241">
        <v>2001</v>
      </c>
      <c r="B171" s="216" t="s">
        <v>1165</v>
      </c>
      <c r="C171" s="232">
        <v>1098886</v>
      </c>
      <c r="D171" s="242" t="s">
        <v>11</v>
      </c>
      <c r="F171" s="216">
        <f t="shared" si="4"/>
        <v>0</v>
      </c>
    </row>
    <row r="172" spans="1:6" x14ac:dyDescent="0.25">
      <c r="A172" s="241">
        <v>2001</v>
      </c>
      <c r="B172" s="216" t="s">
        <v>1166</v>
      </c>
      <c r="C172" s="232">
        <v>270480</v>
      </c>
      <c r="D172" s="242" t="s">
        <v>11</v>
      </c>
      <c r="F172" s="216">
        <f t="shared" si="4"/>
        <v>0</v>
      </c>
    </row>
    <row r="173" spans="1:6" x14ac:dyDescent="0.25">
      <c r="A173" s="241">
        <v>2001</v>
      </c>
      <c r="B173" s="216" t="s">
        <v>1167</v>
      </c>
      <c r="C173" s="232">
        <v>20000</v>
      </c>
      <c r="D173" s="242" t="s">
        <v>11</v>
      </c>
      <c r="F173" s="216">
        <f t="shared" si="4"/>
        <v>0</v>
      </c>
    </row>
    <row r="174" spans="1:6" x14ac:dyDescent="0.25">
      <c r="A174" s="241">
        <v>2001</v>
      </c>
      <c r="B174" s="216" t="s">
        <v>1168</v>
      </c>
      <c r="C174" s="232">
        <v>86024</v>
      </c>
      <c r="D174" s="242" t="s">
        <v>11</v>
      </c>
      <c r="F174" s="216">
        <f t="shared" si="4"/>
        <v>0</v>
      </c>
    </row>
    <row r="175" spans="1:6" x14ac:dyDescent="0.25">
      <c r="A175" s="241">
        <v>2001</v>
      </c>
      <c r="B175" s="216" t="s">
        <v>1169</v>
      </c>
      <c r="C175" s="232">
        <v>1991717</v>
      </c>
      <c r="D175" s="242" t="s">
        <v>11</v>
      </c>
      <c r="F175" s="216">
        <f t="shared" si="4"/>
        <v>0</v>
      </c>
    </row>
    <row r="176" spans="1:6" x14ac:dyDescent="0.25">
      <c r="A176" s="241">
        <v>2001</v>
      </c>
      <c r="B176" s="216" t="s">
        <v>1169</v>
      </c>
      <c r="C176" s="232">
        <v>648780</v>
      </c>
      <c r="D176" s="242" t="s">
        <v>11</v>
      </c>
      <c r="F176" s="216">
        <f t="shared" si="4"/>
        <v>0</v>
      </c>
    </row>
    <row r="177" spans="1:6" x14ac:dyDescent="0.25">
      <c r="A177" s="241">
        <v>2001</v>
      </c>
      <c r="B177" s="216" t="s">
        <v>1060</v>
      </c>
      <c r="C177" s="232">
        <v>76024</v>
      </c>
      <c r="D177" s="242" t="s">
        <v>11</v>
      </c>
      <c r="F177" s="216">
        <f t="shared" si="4"/>
        <v>0</v>
      </c>
    </row>
    <row r="178" spans="1:6" x14ac:dyDescent="0.25">
      <c r="A178" s="241">
        <v>2001</v>
      </c>
      <c r="B178" s="216" t="s">
        <v>1170</v>
      </c>
      <c r="C178" s="232">
        <v>270000</v>
      </c>
      <c r="D178" s="242" t="s">
        <v>11</v>
      </c>
      <c r="F178" s="216">
        <f t="shared" si="4"/>
        <v>0</v>
      </c>
    </row>
    <row r="179" spans="1:6" x14ac:dyDescent="0.25">
      <c r="A179" s="241">
        <v>2001</v>
      </c>
      <c r="B179" s="216" t="s">
        <v>1091</v>
      </c>
      <c r="C179" s="232">
        <v>657303</v>
      </c>
      <c r="D179" s="242" t="s">
        <v>11</v>
      </c>
      <c r="F179" s="216">
        <f t="shared" si="4"/>
        <v>0</v>
      </c>
    </row>
    <row r="180" spans="1:6" x14ac:dyDescent="0.25">
      <c r="A180" s="241">
        <v>2001</v>
      </c>
      <c r="B180" s="216" t="s">
        <v>1121</v>
      </c>
      <c r="C180" s="232">
        <v>75693</v>
      </c>
      <c r="D180" s="242" t="s">
        <v>11</v>
      </c>
      <c r="F180" s="216">
        <f t="shared" si="4"/>
        <v>0</v>
      </c>
    </row>
    <row r="181" spans="1:6" x14ac:dyDescent="0.25">
      <c r="A181" s="241">
        <v>2001</v>
      </c>
      <c r="B181" s="216" t="s">
        <v>1171</v>
      </c>
      <c r="C181" s="232">
        <v>13637</v>
      </c>
      <c r="D181" s="242" t="s">
        <v>11</v>
      </c>
      <c r="F181" s="216">
        <f t="shared" si="4"/>
        <v>0</v>
      </c>
    </row>
    <row r="182" spans="1:6" x14ac:dyDescent="0.25">
      <c r="A182" s="241">
        <v>2001</v>
      </c>
      <c r="B182" s="216" t="s">
        <v>1172</v>
      </c>
      <c r="C182" s="232">
        <v>221000</v>
      </c>
      <c r="D182" s="242" t="s">
        <v>11</v>
      </c>
      <c r="F182" s="216">
        <f t="shared" si="4"/>
        <v>0</v>
      </c>
    </row>
    <row r="183" spans="1:6" x14ac:dyDescent="0.25">
      <c r="A183" s="241">
        <v>2001</v>
      </c>
      <c r="B183" s="216" t="s">
        <v>1173</v>
      </c>
      <c r="C183" s="232">
        <v>989000</v>
      </c>
      <c r="D183" s="242" t="s">
        <v>11</v>
      </c>
      <c r="F183" s="216">
        <f t="shared" si="4"/>
        <v>0</v>
      </c>
    </row>
    <row r="184" spans="1:6" x14ac:dyDescent="0.25">
      <c r="A184" s="241">
        <v>2001</v>
      </c>
      <c r="B184" s="216" t="s">
        <v>1174</v>
      </c>
      <c r="C184" s="232">
        <v>96884</v>
      </c>
      <c r="D184" s="242" t="s">
        <v>11</v>
      </c>
      <c r="F184" s="216">
        <f t="shared" si="4"/>
        <v>0</v>
      </c>
    </row>
    <row r="185" spans="1:6" x14ac:dyDescent="0.25">
      <c r="A185" s="241">
        <v>2001</v>
      </c>
      <c r="B185" s="216" t="s">
        <v>1064</v>
      </c>
      <c r="C185" s="232">
        <v>1100000</v>
      </c>
      <c r="D185" s="242" t="s">
        <v>11</v>
      </c>
      <c r="F185" s="216">
        <f t="shared" si="4"/>
        <v>0</v>
      </c>
    </row>
    <row r="186" spans="1:6" x14ac:dyDescent="0.25">
      <c r="A186" s="241">
        <v>2001</v>
      </c>
      <c r="B186" s="216" t="s">
        <v>1133</v>
      </c>
      <c r="C186" s="232">
        <v>105870</v>
      </c>
      <c r="D186" s="242" t="s">
        <v>11</v>
      </c>
      <c r="F186" s="216">
        <f t="shared" si="4"/>
        <v>0</v>
      </c>
    </row>
    <row r="187" spans="1:6" x14ac:dyDescent="0.25">
      <c r="A187" s="241">
        <v>2001</v>
      </c>
      <c r="B187" s="216" t="s">
        <v>1175</v>
      </c>
      <c r="C187" s="232">
        <v>195000</v>
      </c>
      <c r="D187" s="242" t="s">
        <v>11</v>
      </c>
      <c r="F187" s="216">
        <f t="shared" si="4"/>
        <v>0</v>
      </c>
    </row>
    <row r="188" spans="1:6" x14ac:dyDescent="0.25">
      <c r="A188" s="241">
        <v>2001</v>
      </c>
      <c r="B188" s="216" t="s">
        <v>1176</v>
      </c>
      <c r="C188" s="232">
        <v>403000</v>
      </c>
      <c r="D188" s="242" t="s">
        <v>11</v>
      </c>
      <c r="F188" s="216">
        <f t="shared" si="4"/>
        <v>0</v>
      </c>
    </row>
    <row r="189" spans="1:6" x14ac:dyDescent="0.25">
      <c r="A189" s="241">
        <v>2001</v>
      </c>
      <c r="B189" s="216" t="s">
        <v>1177</v>
      </c>
      <c r="C189" s="232">
        <v>2002821</v>
      </c>
      <c r="D189" s="242" t="s">
        <v>11</v>
      </c>
      <c r="F189" s="216">
        <f t="shared" si="4"/>
        <v>0</v>
      </c>
    </row>
    <row r="190" spans="1:6" x14ac:dyDescent="0.25">
      <c r="A190" s="241">
        <v>2001</v>
      </c>
      <c r="B190" s="216" t="s">
        <v>1178</v>
      </c>
      <c r="C190" s="232">
        <v>276915</v>
      </c>
      <c r="D190" s="242" t="s">
        <v>11</v>
      </c>
      <c r="F190" s="216">
        <f t="shared" si="4"/>
        <v>0</v>
      </c>
    </row>
    <row r="191" spans="1:6" x14ac:dyDescent="0.25">
      <c r="A191" s="241">
        <v>2001</v>
      </c>
      <c r="B191" s="216" t="s">
        <v>1179</v>
      </c>
      <c r="C191" s="232">
        <v>224253</v>
      </c>
      <c r="D191" s="242" t="s">
        <v>11</v>
      </c>
      <c r="F191" s="216">
        <f t="shared" si="4"/>
        <v>0</v>
      </c>
    </row>
    <row r="192" spans="1:6" x14ac:dyDescent="0.25">
      <c r="A192" s="241">
        <v>2001</v>
      </c>
      <c r="B192" s="216" t="s">
        <v>1086</v>
      </c>
      <c r="C192" s="232">
        <v>267500</v>
      </c>
      <c r="D192" s="242" t="s">
        <v>11</v>
      </c>
      <c r="F192" s="216">
        <f t="shared" si="4"/>
        <v>0</v>
      </c>
    </row>
    <row r="193" spans="1:6" x14ac:dyDescent="0.25">
      <c r="A193" s="241">
        <v>2001</v>
      </c>
      <c r="B193" s="216" t="s">
        <v>1180</v>
      </c>
      <c r="C193" s="232">
        <v>42353</v>
      </c>
      <c r="D193" s="242" t="s">
        <v>11</v>
      </c>
      <c r="F193" s="216">
        <f t="shared" si="4"/>
        <v>0</v>
      </c>
    </row>
    <row r="194" spans="1:6" x14ac:dyDescent="0.25">
      <c r="A194" s="241">
        <v>2001</v>
      </c>
      <c r="B194" s="216" t="s">
        <v>1137</v>
      </c>
      <c r="C194" s="232">
        <v>438100</v>
      </c>
      <c r="D194" s="242" t="s">
        <v>11</v>
      </c>
      <c r="F194" s="216">
        <f t="shared" si="4"/>
        <v>0</v>
      </c>
    </row>
    <row r="195" spans="1:6" x14ac:dyDescent="0.25">
      <c r="A195" s="241">
        <v>2001</v>
      </c>
      <c r="B195" s="216" t="s">
        <v>1137</v>
      </c>
      <c r="C195" s="232">
        <v>158000</v>
      </c>
      <c r="D195" s="242" t="s">
        <v>1127</v>
      </c>
      <c r="F195" s="216">
        <f t="shared" si="4"/>
        <v>0</v>
      </c>
    </row>
    <row r="196" spans="1:6" x14ac:dyDescent="0.25">
      <c r="A196" s="241">
        <v>2001</v>
      </c>
      <c r="B196" s="216" t="s">
        <v>1088</v>
      </c>
      <c r="C196" s="232">
        <v>1500000</v>
      </c>
      <c r="D196" s="242" t="s">
        <v>11</v>
      </c>
      <c r="F196" s="216">
        <f t="shared" si="4"/>
        <v>0</v>
      </c>
    </row>
    <row r="197" spans="1:6" x14ac:dyDescent="0.25">
      <c r="A197" s="241">
        <v>2001</v>
      </c>
      <c r="B197" s="216" t="s">
        <v>1088</v>
      </c>
      <c r="C197" s="232">
        <v>415000</v>
      </c>
      <c r="D197" s="242" t="s">
        <v>11</v>
      </c>
      <c r="F197" s="216">
        <f t="shared" si="4"/>
        <v>0</v>
      </c>
    </row>
    <row r="198" spans="1:6" x14ac:dyDescent="0.25">
      <c r="A198" s="241">
        <v>2001</v>
      </c>
      <c r="B198" s="216" t="s">
        <v>1094</v>
      </c>
      <c r="C198" s="232">
        <v>1500000</v>
      </c>
      <c r="D198" s="242" t="s">
        <v>11</v>
      </c>
      <c r="F198" s="216">
        <f t="shared" si="4"/>
        <v>0</v>
      </c>
    </row>
    <row r="199" spans="1:6" x14ac:dyDescent="0.25">
      <c r="A199" s="241">
        <v>2001</v>
      </c>
      <c r="B199" s="216" t="s">
        <v>1181</v>
      </c>
      <c r="C199" s="232">
        <v>31000</v>
      </c>
      <c r="D199" s="242" t="s">
        <v>11</v>
      </c>
      <c r="F199" s="216">
        <f t="shared" si="4"/>
        <v>0</v>
      </c>
    </row>
    <row r="200" spans="1:6" x14ac:dyDescent="0.25">
      <c r="A200" s="241">
        <v>2001</v>
      </c>
      <c r="B200" s="216" t="s">
        <v>1097</v>
      </c>
      <c r="C200" s="232">
        <v>384881</v>
      </c>
      <c r="D200" s="242" t="s">
        <v>11</v>
      </c>
      <c r="F200" s="216">
        <f t="shared" si="4"/>
        <v>0</v>
      </c>
    </row>
    <row r="201" spans="1:6" x14ac:dyDescent="0.25">
      <c r="A201" s="241">
        <v>2001</v>
      </c>
      <c r="B201" s="216" t="s">
        <v>1097</v>
      </c>
      <c r="C201" s="232">
        <v>315119</v>
      </c>
      <c r="D201" s="242" t="s">
        <v>11</v>
      </c>
      <c r="F201" s="216">
        <f t="shared" si="4"/>
        <v>0</v>
      </c>
    </row>
    <row r="202" spans="1:6" x14ac:dyDescent="0.25">
      <c r="A202" s="241">
        <v>2001</v>
      </c>
      <c r="B202" s="216" t="s">
        <v>1173</v>
      </c>
      <c r="C202" s="232">
        <v>1071000</v>
      </c>
      <c r="D202" s="242" t="s">
        <v>11</v>
      </c>
      <c r="F202" s="216">
        <f t="shared" si="4"/>
        <v>0</v>
      </c>
    </row>
    <row r="203" spans="1:6" x14ac:dyDescent="0.25">
      <c r="A203" s="241">
        <v>2001</v>
      </c>
      <c r="B203" s="216" t="s">
        <v>1182</v>
      </c>
      <c r="C203" s="232">
        <v>66990</v>
      </c>
      <c r="D203" s="242" t="s">
        <v>11</v>
      </c>
      <c r="F203" s="216">
        <f t="shared" si="4"/>
        <v>0</v>
      </c>
    </row>
    <row r="204" spans="1:6" x14ac:dyDescent="0.25">
      <c r="A204" s="241">
        <v>2001</v>
      </c>
      <c r="B204" s="216" t="s">
        <v>1182</v>
      </c>
      <c r="C204" s="232">
        <v>62820</v>
      </c>
      <c r="D204" s="242" t="s">
        <v>11</v>
      </c>
      <c r="F204" s="216">
        <f t="shared" si="4"/>
        <v>0</v>
      </c>
    </row>
    <row r="205" spans="1:6" x14ac:dyDescent="0.25">
      <c r="A205" s="241">
        <v>2001</v>
      </c>
      <c r="B205" s="216" t="s">
        <v>1183</v>
      </c>
      <c r="C205" s="232">
        <v>1900345</v>
      </c>
      <c r="D205" s="242" t="s">
        <v>11</v>
      </c>
      <c r="F205" s="216">
        <f t="shared" si="4"/>
        <v>0</v>
      </c>
    </row>
    <row r="206" spans="1:6" x14ac:dyDescent="0.25">
      <c r="A206" s="241">
        <v>2001</v>
      </c>
      <c r="B206" s="216" t="s">
        <v>1184</v>
      </c>
      <c r="C206" s="232">
        <v>823911</v>
      </c>
      <c r="D206" s="242" t="s">
        <v>11</v>
      </c>
      <c r="F206" s="216">
        <f t="shared" si="4"/>
        <v>0</v>
      </c>
    </row>
    <row r="207" spans="1:6" x14ac:dyDescent="0.25">
      <c r="A207" s="241">
        <v>2001</v>
      </c>
      <c r="B207" s="216" t="s">
        <v>1184</v>
      </c>
      <c r="C207" s="232">
        <v>643408</v>
      </c>
      <c r="D207" s="242" t="s">
        <v>11</v>
      </c>
      <c r="F207" s="216">
        <f t="shared" ref="F207:F270" si="5">SUMIF(A207:A546,E207,C207:C546)</f>
        <v>0</v>
      </c>
    </row>
    <row r="208" spans="1:6" x14ac:dyDescent="0.25">
      <c r="A208" s="241">
        <v>2001</v>
      </c>
      <c r="B208" s="216" t="s">
        <v>1185</v>
      </c>
      <c r="C208" s="232">
        <v>614300</v>
      </c>
      <c r="D208" s="242" t="s">
        <v>11</v>
      </c>
      <c r="F208" s="216">
        <f t="shared" si="5"/>
        <v>0</v>
      </c>
    </row>
    <row r="209" spans="1:6" x14ac:dyDescent="0.25">
      <c r="A209" s="241">
        <v>2002</v>
      </c>
      <c r="B209" s="216" t="s">
        <v>1079</v>
      </c>
      <c r="C209" s="232">
        <v>300000</v>
      </c>
      <c r="D209" s="242" t="s">
        <v>1127</v>
      </c>
      <c r="F209" s="216">
        <f t="shared" si="5"/>
        <v>0</v>
      </c>
    </row>
    <row r="210" spans="1:6" x14ac:dyDescent="0.25">
      <c r="A210" s="241">
        <v>2002</v>
      </c>
      <c r="B210" s="216" t="s">
        <v>1186</v>
      </c>
      <c r="C210" s="232">
        <v>926229</v>
      </c>
      <c r="D210" s="242" t="s">
        <v>1127</v>
      </c>
      <c r="F210" s="216">
        <f t="shared" si="5"/>
        <v>0</v>
      </c>
    </row>
    <row r="211" spans="1:6" x14ac:dyDescent="0.25">
      <c r="A211" s="241">
        <v>2002</v>
      </c>
      <c r="B211" s="216" t="s">
        <v>1187</v>
      </c>
      <c r="C211" s="232">
        <v>227154</v>
      </c>
      <c r="D211" s="242" t="s">
        <v>1127</v>
      </c>
      <c r="F211" s="216">
        <f t="shared" si="5"/>
        <v>0</v>
      </c>
    </row>
    <row r="212" spans="1:6" x14ac:dyDescent="0.25">
      <c r="A212" s="241">
        <v>2002</v>
      </c>
      <c r="B212" s="216" t="s">
        <v>1072</v>
      </c>
      <c r="C212" s="232">
        <v>1000000</v>
      </c>
      <c r="D212" s="242" t="s">
        <v>1127</v>
      </c>
      <c r="F212" s="216">
        <f t="shared" si="5"/>
        <v>0</v>
      </c>
    </row>
    <row r="213" spans="1:6" x14ac:dyDescent="0.25">
      <c r="A213" s="241">
        <v>2002</v>
      </c>
      <c r="B213" s="216" t="s">
        <v>1188</v>
      </c>
      <c r="C213" s="232">
        <v>6000</v>
      </c>
      <c r="D213" s="242" t="s">
        <v>1127</v>
      </c>
      <c r="F213" s="216">
        <f t="shared" si="5"/>
        <v>0</v>
      </c>
    </row>
    <row r="214" spans="1:6" x14ac:dyDescent="0.25">
      <c r="A214" s="241">
        <v>2002</v>
      </c>
      <c r="B214" s="216" t="s">
        <v>1137</v>
      </c>
      <c r="C214" s="232">
        <v>270968</v>
      </c>
      <c r="D214" s="242" t="s">
        <v>1127</v>
      </c>
      <c r="F214" s="216">
        <f t="shared" si="5"/>
        <v>0</v>
      </c>
    </row>
    <row r="215" spans="1:6" x14ac:dyDescent="0.25">
      <c r="A215" s="241">
        <v>2002</v>
      </c>
      <c r="B215" s="216" t="s">
        <v>1161</v>
      </c>
      <c r="C215" s="232">
        <v>800000</v>
      </c>
      <c r="D215" s="242" t="s">
        <v>1127</v>
      </c>
      <c r="F215" s="216">
        <f t="shared" si="5"/>
        <v>0</v>
      </c>
    </row>
    <row r="216" spans="1:6" x14ac:dyDescent="0.25">
      <c r="A216" s="241">
        <v>2002</v>
      </c>
      <c r="B216" s="216" t="s">
        <v>1189</v>
      </c>
      <c r="C216" s="232">
        <v>2000000</v>
      </c>
      <c r="D216" s="242" t="s">
        <v>11</v>
      </c>
      <c r="F216" s="216">
        <f t="shared" si="5"/>
        <v>0</v>
      </c>
    </row>
    <row r="217" spans="1:6" x14ac:dyDescent="0.25">
      <c r="A217" s="241">
        <v>2003</v>
      </c>
      <c r="B217" s="216" t="s">
        <v>1162</v>
      </c>
      <c r="C217" s="232">
        <v>233120</v>
      </c>
      <c r="D217" s="242" t="s">
        <v>11</v>
      </c>
      <c r="F217" s="216">
        <f t="shared" si="5"/>
        <v>0</v>
      </c>
    </row>
    <row r="218" spans="1:6" x14ac:dyDescent="0.25">
      <c r="A218" s="241">
        <v>2003</v>
      </c>
      <c r="B218" s="216" t="s">
        <v>1174</v>
      </c>
      <c r="C218" s="232">
        <v>250000</v>
      </c>
      <c r="D218" s="242" t="s">
        <v>11</v>
      </c>
      <c r="F218" s="216">
        <f t="shared" si="5"/>
        <v>0</v>
      </c>
    </row>
    <row r="219" spans="1:6" x14ac:dyDescent="0.25">
      <c r="A219" s="241">
        <v>2003</v>
      </c>
      <c r="B219" s="216" t="s">
        <v>1112</v>
      </c>
      <c r="C219" s="232">
        <v>635087</v>
      </c>
      <c r="D219" s="242" t="s">
        <v>11</v>
      </c>
      <c r="F219" s="216">
        <f t="shared" si="5"/>
        <v>0</v>
      </c>
    </row>
    <row r="220" spans="1:6" x14ac:dyDescent="0.25">
      <c r="A220" s="241">
        <v>2003</v>
      </c>
      <c r="B220" s="216" t="s">
        <v>1076</v>
      </c>
      <c r="C220" s="232">
        <v>1107890</v>
      </c>
      <c r="D220" s="242" t="s">
        <v>11</v>
      </c>
      <c r="F220" s="216">
        <f t="shared" si="5"/>
        <v>0</v>
      </c>
    </row>
    <row r="221" spans="1:6" x14ac:dyDescent="0.25">
      <c r="A221" s="241">
        <v>2003</v>
      </c>
      <c r="B221" s="216" t="s">
        <v>1190</v>
      </c>
      <c r="C221" s="232">
        <v>182270</v>
      </c>
      <c r="D221" s="242" t="s">
        <v>11</v>
      </c>
      <c r="F221" s="216">
        <f t="shared" si="5"/>
        <v>0</v>
      </c>
    </row>
    <row r="222" spans="1:6" x14ac:dyDescent="0.25">
      <c r="A222" s="241">
        <v>2003</v>
      </c>
      <c r="B222" s="216" t="s">
        <v>1094</v>
      </c>
      <c r="C222" s="232">
        <v>488000</v>
      </c>
      <c r="D222" s="242" t="s">
        <v>11</v>
      </c>
      <c r="F222" s="216">
        <f t="shared" si="5"/>
        <v>0</v>
      </c>
    </row>
    <row r="223" spans="1:6" x14ac:dyDescent="0.25">
      <c r="A223" s="241">
        <v>2003</v>
      </c>
      <c r="B223" s="216" t="s">
        <v>1191</v>
      </c>
      <c r="C223" s="232">
        <v>2777000</v>
      </c>
      <c r="D223" s="242" t="s">
        <v>11</v>
      </c>
      <c r="F223" s="216">
        <f t="shared" si="5"/>
        <v>0</v>
      </c>
    </row>
    <row r="224" spans="1:6" x14ac:dyDescent="0.25">
      <c r="A224" s="241">
        <v>2003</v>
      </c>
      <c r="B224" s="216" t="s">
        <v>1162</v>
      </c>
      <c r="C224" s="232">
        <v>154042</v>
      </c>
      <c r="D224" s="242" t="s">
        <v>11</v>
      </c>
      <c r="F224" s="216">
        <f t="shared" si="5"/>
        <v>0</v>
      </c>
    </row>
    <row r="225" spans="1:6" x14ac:dyDescent="0.25">
      <c r="A225" s="241">
        <v>2004</v>
      </c>
      <c r="B225" s="216" t="s">
        <v>1192</v>
      </c>
      <c r="C225" s="232">
        <v>112587</v>
      </c>
      <c r="D225" s="242" t="s">
        <v>11</v>
      </c>
      <c r="F225" s="216">
        <f t="shared" si="5"/>
        <v>0</v>
      </c>
    </row>
    <row r="226" spans="1:6" x14ac:dyDescent="0.25">
      <c r="A226" s="241">
        <v>2004</v>
      </c>
      <c r="B226" s="216" t="s">
        <v>1077</v>
      </c>
      <c r="C226" s="232">
        <v>2661000</v>
      </c>
      <c r="D226" s="242" t="s">
        <v>11</v>
      </c>
      <c r="F226" s="216">
        <f t="shared" si="5"/>
        <v>0</v>
      </c>
    </row>
    <row r="227" spans="1:6" x14ac:dyDescent="0.25">
      <c r="A227" s="241">
        <v>2004</v>
      </c>
      <c r="B227" s="216" t="s">
        <v>1193</v>
      </c>
      <c r="C227" s="232">
        <v>1080000</v>
      </c>
      <c r="D227" s="242" t="s">
        <v>11</v>
      </c>
      <c r="F227" s="216">
        <f t="shared" si="5"/>
        <v>0</v>
      </c>
    </row>
    <row r="228" spans="1:6" x14ac:dyDescent="0.25">
      <c r="A228" s="241">
        <v>2004</v>
      </c>
      <c r="B228" s="216" t="s">
        <v>1194</v>
      </c>
      <c r="C228" s="232">
        <v>54500</v>
      </c>
      <c r="D228" s="242" t="s">
        <v>11</v>
      </c>
      <c r="F228" s="216">
        <f t="shared" si="5"/>
        <v>0</v>
      </c>
    </row>
    <row r="229" spans="1:6" x14ac:dyDescent="0.25">
      <c r="A229" s="241">
        <v>2004</v>
      </c>
      <c r="B229" s="216" t="s">
        <v>1170</v>
      </c>
      <c r="C229" s="232">
        <v>208000</v>
      </c>
      <c r="D229" s="242" t="s">
        <v>11</v>
      </c>
      <c r="F229" s="216">
        <f t="shared" si="5"/>
        <v>0</v>
      </c>
    </row>
    <row r="230" spans="1:6" x14ac:dyDescent="0.25">
      <c r="A230" s="241">
        <v>2004</v>
      </c>
      <c r="B230" s="216" t="s">
        <v>1195</v>
      </c>
      <c r="C230" s="232">
        <v>2230000</v>
      </c>
      <c r="D230" s="242" t="s">
        <v>11</v>
      </c>
      <c r="F230" s="216">
        <f t="shared" si="5"/>
        <v>0</v>
      </c>
    </row>
    <row r="231" spans="1:6" x14ac:dyDescent="0.25">
      <c r="A231" s="241">
        <v>2004</v>
      </c>
      <c r="B231" s="216" t="s">
        <v>1147</v>
      </c>
      <c r="C231" s="232">
        <v>2150000</v>
      </c>
      <c r="D231" s="242" t="s">
        <v>11</v>
      </c>
      <c r="F231" s="216">
        <f t="shared" si="5"/>
        <v>0</v>
      </c>
    </row>
    <row r="232" spans="1:6" x14ac:dyDescent="0.25">
      <c r="A232" s="241">
        <v>2004</v>
      </c>
      <c r="B232" s="216" t="s">
        <v>1173</v>
      </c>
      <c r="C232" s="232">
        <v>2005600</v>
      </c>
      <c r="D232" s="242" t="s">
        <v>1127</v>
      </c>
      <c r="F232" s="216">
        <f t="shared" si="5"/>
        <v>0</v>
      </c>
    </row>
    <row r="233" spans="1:6" x14ac:dyDescent="0.25">
      <c r="A233" s="241">
        <v>2004</v>
      </c>
      <c r="B233" s="216" t="s">
        <v>1173</v>
      </c>
      <c r="C233" s="232">
        <v>559000</v>
      </c>
      <c r="D233" s="242" t="s">
        <v>11</v>
      </c>
      <c r="F233" s="216">
        <f t="shared" si="5"/>
        <v>0</v>
      </c>
    </row>
    <row r="234" spans="1:6" x14ac:dyDescent="0.25">
      <c r="A234" s="241">
        <v>2004</v>
      </c>
      <c r="B234" s="216" t="s">
        <v>1191</v>
      </c>
      <c r="C234" s="232">
        <v>390000</v>
      </c>
      <c r="D234" s="242" t="s">
        <v>11</v>
      </c>
      <c r="F234" s="216">
        <f t="shared" si="5"/>
        <v>0</v>
      </c>
    </row>
    <row r="235" spans="1:6" x14ac:dyDescent="0.25">
      <c r="A235" s="241">
        <v>2004</v>
      </c>
      <c r="B235" s="216" t="s">
        <v>1196</v>
      </c>
      <c r="C235" s="232">
        <v>576880</v>
      </c>
      <c r="D235" s="242" t="s">
        <v>11</v>
      </c>
      <c r="F235" s="216">
        <f t="shared" si="5"/>
        <v>0</v>
      </c>
    </row>
    <row r="236" spans="1:6" x14ac:dyDescent="0.25">
      <c r="A236" s="241">
        <v>2004</v>
      </c>
      <c r="B236" s="216" t="s">
        <v>1189</v>
      </c>
      <c r="C236" s="232">
        <v>3000000</v>
      </c>
      <c r="D236" s="242" t="s">
        <v>11</v>
      </c>
      <c r="F236" s="216">
        <f t="shared" si="5"/>
        <v>0</v>
      </c>
    </row>
    <row r="237" spans="1:6" x14ac:dyDescent="0.25">
      <c r="A237" s="241">
        <v>2004</v>
      </c>
      <c r="B237" s="216" t="s">
        <v>1197</v>
      </c>
      <c r="C237" s="232">
        <v>93210</v>
      </c>
      <c r="D237" s="242" t="s">
        <v>1127</v>
      </c>
      <c r="F237" s="216">
        <f t="shared" si="5"/>
        <v>0</v>
      </c>
    </row>
    <row r="238" spans="1:6" x14ac:dyDescent="0.25">
      <c r="A238" s="241">
        <v>2004</v>
      </c>
      <c r="B238" s="216" t="s">
        <v>1198</v>
      </c>
      <c r="C238" s="232">
        <v>160000</v>
      </c>
      <c r="D238" s="242" t="s">
        <v>11</v>
      </c>
      <c r="F238" s="216">
        <f t="shared" si="5"/>
        <v>0</v>
      </c>
    </row>
    <row r="239" spans="1:6" x14ac:dyDescent="0.25">
      <c r="A239" s="241">
        <v>2004</v>
      </c>
      <c r="B239" s="216" t="s">
        <v>1079</v>
      </c>
      <c r="C239" s="232">
        <v>513900</v>
      </c>
      <c r="D239" s="242" t="s">
        <v>11</v>
      </c>
      <c r="F239" s="216">
        <f t="shared" si="5"/>
        <v>0</v>
      </c>
    </row>
    <row r="240" spans="1:6" x14ac:dyDescent="0.25">
      <c r="A240" s="241">
        <v>2004</v>
      </c>
      <c r="B240" s="216" t="s">
        <v>1173</v>
      </c>
      <c r="C240" s="232">
        <v>2858765</v>
      </c>
      <c r="D240" s="242" t="s">
        <v>11</v>
      </c>
      <c r="F240" s="216">
        <f t="shared" si="5"/>
        <v>0</v>
      </c>
    </row>
    <row r="241" spans="1:6" x14ac:dyDescent="0.25">
      <c r="A241" s="241">
        <v>2004</v>
      </c>
      <c r="B241" s="216" t="s">
        <v>1199</v>
      </c>
      <c r="C241" s="232">
        <v>120328</v>
      </c>
      <c r="D241" s="242" t="s">
        <v>11</v>
      </c>
      <c r="F241" s="216">
        <f t="shared" si="5"/>
        <v>0</v>
      </c>
    </row>
    <row r="242" spans="1:6" x14ac:dyDescent="0.25">
      <c r="A242" s="241">
        <v>2004</v>
      </c>
      <c r="B242" s="216" t="s">
        <v>1125</v>
      </c>
      <c r="C242" s="232">
        <v>270000</v>
      </c>
      <c r="D242" s="242" t="s">
        <v>11</v>
      </c>
      <c r="F242" s="216">
        <f t="shared" si="5"/>
        <v>0</v>
      </c>
    </row>
    <row r="243" spans="1:6" x14ac:dyDescent="0.25">
      <c r="A243" s="241">
        <v>2005</v>
      </c>
      <c r="B243" s="216" t="s">
        <v>1170</v>
      </c>
      <c r="C243" s="232">
        <f>337920+116740</f>
        <v>454660</v>
      </c>
      <c r="D243" s="242" t="s">
        <v>11</v>
      </c>
      <c r="F243" s="216">
        <f t="shared" si="5"/>
        <v>0</v>
      </c>
    </row>
    <row r="244" spans="1:6" x14ac:dyDescent="0.25">
      <c r="A244" s="241">
        <v>2005</v>
      </c>
      <c r="B244" s="216" t="s">
        <v>1200</v>
      </c>
      <c r="C244" s="232">
        <v>272004</v>
      </c>
      <c r="D244" s="242" t="s">
        <v>11</v>
      </c>
      <c r="F244" s="216">
        <f t="shared" si="5"/>
        <v>0</v>
      </c>
    </row>
    <row r="245" spans="1:6" x14ac:dyDescent="0.25">
      <c r="A245" s="241">
        <v>2005</v>
      </c>
      <c r="B245" s="216" t="s">
        <v>1171</v>
      </c>
      <c r="C245" s="232">
        <v>242898</v>
      </c>
      <c r="D245" s="242" t="s">
        <v>11</v>
      </c>
      <c r="F245" s="216">
        <f t="shared" si="5"/>
        <v>0</v>
      </c>
    </row>
    <row r="246" spans="1:6" x14ac:dyDescent="0.25">
      <c r="A246" s="241">
        <v>2006</v>
      </c>
      <c r="B246" s="216" t="s">
        <v>1201</v>
      </c>
      <c r="C246" s="232">
        <v>40000</v>
      </c>
      <c r="D246" s="242" t="s">
        <v>11</v>
      </c>
      <c r="F246" s="216">
        <f t="shared" si="5"/>
        <v>0</v>
      </c>
    </row>
    <row r="247" spans="1:6" x14ac:dyDescent="0.25">
      <c r="A247" s="241">
        <v>2006</v>
      </c>
      <c r="B247" s="216" t="s">
        <v>1200</v>
      </c>
      <c r="C247" s="232">
        <v>54566</v>
      </c>
      <c r="D247" s="242" t="s">
        <v>11</v>
      </c>
      <c r="F247" s="216">
        <f t="shared" si="5"/>
        <v>0</v>
      </c>
    </row>
    <row r="248" spans="1:6" x14ac:dyDescent="0.25">
      <c r="A248" s="241">
        <v>2006</v>
      </c>
      <c r="B248" s="216" t="s">
        <v>1056</v>
      </c>
      <c r="C248" s="232">
        <v>2950604</v>
      </c>
      <c r="D248" s="242" t="s">
        <v>11</v>
      </c>
      <c r="F248" s="216">
        <f t="shared" si="5"/>
        <v>0</v>
      </c>
    </row>
    <row r="249" spans="1:6" x14ac:dyDescent="0.25">
      <c r="A249" s="241">
        <v>2006</v>
      </c>
      <c r="B249" s="216" t="s">
        <v>1202</v>
      </c>
      <c r="C249" s="232">
        <v>1278000</v>
      </c>
      <c r="D249" s="242" t="s">
        <v>11</v>
      </c>
      <c r="F249" s="216">
        <f t="shared" si="5"/>
        <v>0</v>
      </c>
    </row>
    <row r="250" spans="1:6" x14ac:dyDescent="0.25">
      <c r="A250" s="241">
        <v>2006</v>
      </c>
      <c r="B250" s="216" t="s">
        <v>1203</v>
      </c>
      <c r="C250" s="232">
        <v>553345</v>
      </c>
      <c r="D250" s="242" t="s">
        <v>11</v>
      </c>
      <c r="F250" s="216">
        <f t="shared" si="5"/>
        <v>0</v>
      </c>
    </row>
    <row r="251" spans="1:6" x14ac:dyDescent="0.25">
      <c r="A251" s="241">
        <v>2006</v>
      </c>
      <c r="B251" s="216" t="s">
        <v>1204</v>
      </c>
      <c r="C251" s="232">
        <v>326477</v>
      </c>
      <c r="D251" s="242" t="s">
        <v>11</v>
      </c>
      <c r="F251" s="216">
        <f t="shared" si="5"/>
        <v>0</v>
      </c>
    </row>
    <row r="252" spans="1:6" x14ac:dyDescent="0.25">
      <c r="A252" s="241">
        <v>2006</v>
      </c>
      <c r="B252" s="216" t="s">
        <v>1205</v>
      </c>
      <c r="C252" s="232">
        <v>2226689</v>
      </c>
      <c r="D252" s="242" t="s">
        <v>11</v>
      </c>
      <c r="F252" s="216">
        <f t="shared" si="5"/>
        <v>0</v>
      </c>
    </row>
    <row r="253" spans="1:6" x14ac:dyDescent="0.25">
      <c r="A253" s="241">
        <v>2006</v>
      </c>
      <c r="B253" s="216" t="s">
        <v>1206</v>
      </c>
      <c r="C253" s="232">
        <v>3000000</v>
      </c>
      <c r="D253" s="242" t="s">
        <v>11</v>
      </c>
      <c r="F253" s="216">
        <f t="shared" si="5"/>
        <v>0</v>
      </c>
    </row>
    <row r="254" spans="1:6" x14ac:dyDescent="0.25">
      <c r="A254" s="241">
        <v>2007</v>
      </c>
      <c r="B254" s="216" t="s">
        <v>1207</v>
      </c>
      <c r="C254" s="232">
        <v>3000000</v>
      </c>
      <c r="D254" s="242" t="s">
        <v>11</v>
      </c>
      <c r="F254" s="216">
        <f t="shared" si="5"/>
        <v>0</v>
      </c>
    </row>
    <row r="255" spans="1:6" x14ac:dyDescent="0.25">
      <c r="A255" s="241">
        <v>2007</v>
      </c>
      <c r="B255" s="216" t="s">
        <v>1097</v>
      </c>
      <c r="C255" s="232">
        <v>2960000</v>
      </c>
      <c r="D255" s="242" t="s">
        <v>11</v>
      </c>
      <c r="F255" s="216">
        <f t="shared" si="5"/>
        <v>0</v>
      </c>
    </row>
    <row r="256" spans="1:6" x14ac:dyDescent="0.25">
      <c r="A256" s="241">
        <v>2007</v>
      </c>
      <c r="B256" s="216" t="s">
        <v>1173</v>
      </c>
      <c r="C256" s="232">
        <v>1890000</v>
      </c>
      <c r="D256" s="242" t="s">
        <v>11</v>
      </c>
      <c r="F256" s="216">
        <f t="shared" si="5"/>
        <v>0</v>
      </c>
    </row>
    <row r="257" spans="1:6" x14ac:dyDescent="0.25">
      <c r="A257" s="241">
        <v>2007</v>
      </c>
      <c r="B257" s="216" t="s">
        <v>1173</v>
      </c>
      <c r="C257" s="232">
        <v>2940000</v>
      </c>
      <c r="D257" s="242" t="s">
        <v>11</v>
      </c>
      <c r="F257" s="216">
        <f t="shared" si="5"/>
        <v>0</v>
      </c>
    </row>
    <row r="258" spans="1:6" x14ac:dyDescent="0.25">
      <c r="A258" s="241">
        <v>2007</v>
      </c>
      <c r="B258" s="216" t="s">
        <v>1199</v>
      </c>
      <c r="C258" s="232">
        <v>76880</v>
      </c>
      <c r="D258" s="242" t="s">
        <v>11</v>
      </c>
      <c r="F258" s="216">
        <f t="shared" si="5"/>
        <v>0</v>
      </c>
    </row>
    <row r="259" spans="1:6" x14ac:dyDescent="0.25">
      <c r="A259" s="241">
        <v>2008</v>
      </c>
      <c r="B259" s="216" t="s">
        <v>1208</v>
      </c>
      <c r="C259" s="232">
        <v>1033313</v>
      </c>
      <c r="D259" s="242" t="s">
        <v>11</v>
      </c>
      <c r="F259" s="216">
        <f t="shared" si="5"/>
        <v>0</v>
      </c>
    </row>
    <row r="260" spans="1:6" x14ac:dyDescent="0.25">
      <c r="A260" s="241">
        <v>2008</v>
      </c>
      <c r="B260" s="216" t="s">
        <v>1209</v>
      </c>
      <c r="C260" s="232">
        <v>330000</v>
      </c>
      <c r="D260" s="242" t="s">
        <v>11</v>
      </c>
      <c r="F260" s="216">
        <f t="shared" si="5"/>
        <v>0</v>
      </c>
    </row>
    <row r="261" spans="1:6" x14ac:dyDescent="0.25">
      <c r="A261" s="241">
        <v>2008</v>
      </c>
      <c r="B261" s="216" t="s">
        <v>1210</v>
      </c>
      <c r="C261" s="232">
        <v>3000000</v>
      </c>
      <c r="D261" s="242" t="s">
        <v>11</v>
      </c>
      <c r="F261" s="216">
        <f t="shared" si="5"/>
        <v>0</v>
      </c>
    </row>
    <row r="262" spans="1:6" x14ac:dyDescent="0.25">
      <c r="A262" s="241">
        <v>2008</v>
      </c>
      <c r="B262" s="216" t="s">
        <v>1145</v>
      </c>
      <c r="C262" s="232">
        <v>337940</v>
      </c>
      <c r="D262" s="242" t="s">
        <v>11</v>
      </c>
      <c r="F262" s="216">
        <f t="shared" si="5"/>
        <v>0</v>
      </c>
    </row>
    <row r="263" spans="1:6" x14ac:dyDescent="0.25">
      <c r="A263" s="241">
        <v>2008</v>
      </c>
      <c r="B263" s="216" t="s">
        <v>1094</v>
      </c>
      <c r="C263" s="232">
        <v>776000</v>
      </c>
      <c r="D263" s="242" t="s">
        <v>11</v>
      </c>
      <c r="F263" s="216">
        <f t="shared" si="5"/>
        <v>0</v>
      </c>
    </row>
    <row r="264" spans="1:6" x14ac:dyDescent="0.25">
      <c r="A264" s="241">
        <v>2009</v>
      </c>
      <c r="B264" s="216" t="s">
        <v>1211</v>
      </c>
      <c r="C264" s="232">
        <v>908700</v>
      </c>
      <c r="D264" s="242" t="s">
        <v>1212</v>
      </c>
      <c r="F264" s="216">
        <f t="shared" si="5"/>
        <v>0</v>
      </c>
    </row>
    <row r="265" spans="1:6" x14ac:dyDescent="0.25">
      <c r="A265" s="241">
        <v>2009</v>
      </c>
      <c r="B265" s="216" t="s">
        <v>1162</v>
      </c>
      <c r="C265" s="232">
        <v>415857</v>
      </c>
      <c r="D265" s="242" t="s">
        <v>1212</v>
      </c>
      <c r="F265" s="216">
        <f t="shared" si="5"/>
        <v>0</v>
      </c>
    </row>
    <row r="266" spans="1:6" x14ac:dyDescent="0.25">
      <c r="A266" s="241">
        <v>2009</v>
      </c>
      <c r="B266" s="216" t="s">
        <v>1071</v>
      </c>
      <c r="C266" s="232">
        <v>1543000</v>
      </c>
      <c r="D266" s="242" t="s">
        <v>1212</v>
      </c>
      <c r="F266" s="216">
        <f t="shared" si="5"/>
        <v>0</v>
      </c>
    </row>
    <row r="267" spans="1:6" x14ac:dyDescent="0.25">
      <c r="A267" s="241">
        <v>2009</v>
      </c>
      <c r="B267" s="216" t="s">
        <v>1213</v>
      </c>
      <c r="C267" s="232">
        <v>867200</v>
      </c>
      <c r="D267" s="242" t="s">
        <v>1212</v>
      </c>
      <c r="F267" s="216">
        <f t="shared" si="5"/>
        <v>0</v>
      </c>
    </row>
    <row r="268" spans="1:6" x14ac:dyDescent="0.25">
      <c r="A268" s="241">
        <v>2010</v>
      </c>
      <c r="B268" s="216" t="s">
        <v>1198</v>
      </c>
      <c r="C268" s="232">
        <v>47000</v>
      </c>
      <c r="D268" s="242" t="s">
        <v>11</v>
      </c>
      <c r="F268" s="216">
        <f t="shared" si="5"/>
        <v>0</v>
      </c>
    </row>
    <row r="269" spans="1:6" x14ac:dyDescent="0.25">
      <c r="A269" s="241">
        <v>2010</v>
      </c>
      <c r="B269" s="216" t="s">
        <v>1208</v>
      </c>
      <c r="C269" s="232">
        <v>2051600</v>
      </c>
      <c r="D269" s="242" t="s">
        <v>1212</v>
      </c>
      <c r="F269" s="216">
        <f t="shared" si="5"/>
        <v>0</v>
      </c>
    </row>
    <row r="270" spans="1:6" x14ac:dyDescent="0.25">
      <c r="A270" s="241">
        <v>2010</v>
      </c>
      <c r="B270" s="216" t="s">
        <v>1177</v>
      </c>
      <c r="C270" s="232">
        <v>3000000</v>
      </c>
      <c r="D270" s="242" t="s">
        <v>1212</v>
      </c>
      <c r="F270" s="216">
        <f t="shared" si="5"/>
        <v>0</v>
      </c>
    </row>
    <row r="271" spans="1:6" x14ac:dyDescent="0.25">
      <c r="A271" s="241">
        <v>2010</v>
      </c>
      <c r="B271" s="216" t="s">
        <v>1214</v>
      </c>
      <c r="C271" s="232">
        <v>444951</v>
      </c>
      <c r="D271" s="242" t="s">
        <v>1212</v>
      </c>
      <c r="F271" s="216">
        <f t="shared" ref="F271:F334" si="6">SUMIF(A271:A610,E271,C271:C610)</f>
        <v>0</v>
      </c>
    </row>
    <row r="272" spans="1:6" x14ac:dyDescent="0.25">
      <c r="A272" s="241">
        <v>2010</v>
      </c>
      <c r="B272" s="216" t="s">
        <v>1215</v>
      </c>
      <c r="C272" s="232">
        <v>385000</v>
      </c>
      <c r="D272" s="242" t="s">
        <v>1212</v>
      </c>
      <c r="F272" s="216">
        <f t="shared" si="6"/>
        <v>0</v>
      </c>
    </row>
    <row r="273" spans="1:8" x14ac:dyDescent="0.25">
      <c r="A273" s="241">
        <v>2010</v>
      </c>
      <c r="B273" s="216" t="s">
        <v>1216</v>
      </c>
      <c r="C273" s="232">
        <v>500000</v>
      </c>
      <c r="D273" s="242" t="s">
        <v>1212</v>
      </c>
      <c r="F273" s="216">
        <f t="shared" si="6"/>
        <v>0</v>
      </c>
    </row>
    <row r="274" spans="1:8" x14ac:dyDescent="0.25">
      <c r="A274" s="241">
        <v>2010</v>
      </c>
      <c r="B274" s="216" t="s">
        <v>1173</v>
      </c>
      <c r="C274" s="232">
        <v>1177891</v>
      </c>
      <c r="D274" s="242" t="s">
        <v>1212</v>
      </c>
      <c r="F274" s="216">
        <f t="shared" si="6"/>
        <v>0</v>
      </c>
    </row>
    <row r="275" spans="1:8" x14ac:dyDescent="0.25">
      <c r="A275" s="241">
        <v>2010</v>
      </c>
      <c r="B275" s="216" t="s">
        <v>1217</v>
      </c>
      <c r="C275" s="232">
        <v>611334</v>
      </c>
      <c r="D275" s="242" t="s">
        <v>1212</v>
      </c>
      <c r="F275" s="216">
        <f t="shared" si="6"/>
        <v>0</v>
      </c>
    </row>
    <row r="276" spans="1:8" x14ac:dyDescent="0.25">
      <c r="A276" s="241">
        <v>2010</v>
      </c>
      <c r="B276" s="216" t="s">
        <v>1145</v>
      </c>
      <c r="C276" s="232">
        <v>1551918</v>
      </c>
      <c r="D276" s="242" t="s">
        <v>1212</v>
      </c>
      <c r="F276" s="216">
        <f t="shared" si="6"/>
        <v>0</v>
      </c>
    </row>
    <row r="277" spans="1:8" x14ac:dyDescent="0.25">
      <c r="A277" s="241">
        <v>2010</v>
      </c>
      <c r="B277" s="216" t="s">
        <v>1066</v>
      </c>
      <c r="C277" s="232">
        <v>290805</v>
      </c>
      <c r="D277" s="242" t="s">
        <v>1212</v>
      </c>
      <c r="F277" s="216">
        <f t="shared" si="6"/>
        <v>0</v>
      </c>
    </row>
    <row r="278" spans="1:8" x14ac:dyDescent="0.25">
      <c r="A278" s="241">
        <v>2010</v>
      </c>
      <c r="B278" s="216" t="s">
        <v>1149</v>
      </c>
      <c r="C278" s="232">
        <v>1392226</v>
      </c>
      <c r="D278" s="242" t="s">
        <v>11</v>
      </c>
      <c r="F278" s="216">
        <f t="shared" si="6"/>
        <v>0</v>
      </c>
    </row>
    <row r="279" spans="1:8" x14ac:dyDescent="0.25">
      <c r="A279" s="241">
        <v>2010</v>
      </c>
      <c r="B279" s="216" t="s">
        <v>1177</v>
      </c>
      <c r="C279" s="232">
        <v>400000</v>
      </c>
      <c r="D279" s="242" t="s">
        <v>11</v>
      </c>
      <c r="F279" s="216">
        <f t="shared" si="6"/>
        <v>0</v>
      </c>
    </row>
    <row r="280" spans="1:8" x14ac:dyDescent="0.25">
      <c r="A280" s="241">
        <v>2010</v>
      </c>
      <c r="B280" s="216" t="s">
        <v>1218</v>
      </c>
      <c r="C280" s="232">
        <v>657461</v>
      </c>
      <c r="D280" s="242" t="s">
        <v>11</v>
      </c>
      <c r="F280" s="216">
        <f t="shared" si="6"/>
        <v>0</v>
      </c>
    </row>
    <row r="281" spans="1:8" x14ac:dyDescent="0.25">
      <c r="A281" s="241">
        <v>2010</v>
      </c>
      <c r="B281" s="216" t="s">
        <v>1219</v>
      </c>
      <c r="C281" s="232">
        <v>2500000</v>
      </c>
      <c r="D281" s="242" t="s">
        <v>11</v>
      </c>
      <c r="F281" s="216">
        <f t="shared" si="6"/>
        <v>0</v>
      </c>
    </row>
    <row r="282" spans="1:8" x14ac:dyDescent="0.25">
      <c r="A282" s="241">
        <v>2010</v>
      </c>
      <c r="B282" s="216" t="s">
        <v>1173</v>
      </c>
      <c r="C282" s="232">
        <v>285000</v>
      </c>
      <c r="D282" s="242" t="s">
        <v>11</v>
      </c>
      <c r="F282" s="216">
        <f t="shared" si="6"/>
        <v>0</v>
      </c>
    </row>
    <row r="283" spans="1:8" x14ac:dyDescent="0.25">
      <c r="A283" s="241">
        <v>2010</v>
      </c>
      <c r="B283" s="216" t="s">
        <v>1220</v>
      </c>
      <c r="C283" s="232">
        <v>1247290</v>
      </c>
      <c r="D283" s="242" t="s">
        <v>11</v>
      </c>
      <c r="F283" s="216">
        <f t="shared" si="6"/>
        <v>0</v>
      </c>
    </row>
    <row r="284" spans="1:8" x14ac:dyDescent="0.25">
      <c r="A284" s="241">
        <v>2010</v>
      </c>
      <c r="B284" s="216" t="s">
        <v>1208</v>
      </c>
      <c r="C284" s="232">
        <v>1999806</v>
      </c>
      <c r="D284" s="242" t="s">
        <v>11</v>
      </c>
      <c r="F284" s="216">
        <f t="shared" si="6"/>
        <v>0</v>
      </c>
      <c r="G284" s="232"/>
      <c r="H284" s="176"/>
    </row>
    <row r="285" spans="1:8" x14ac:dyDescent="0.25">
      <c r="A285" s="241">
        <v>2010</v>
      </c>
      <c r="B285" s="216" t="s">
        <v>1146</v>
      </c>
      <c r="C285" s="232">
        <v>59404</v>
      </c>
      <c r="D285" s="242" t="s">
        <v>1212</v>
      </c>
      <c r="F285" s="216">
        <f t="shared" si="6"/>
        <v>0</v>
      </c>
      <c r="G285" s="232"/>
      <c r="H285" s="176"/>
    </row>
    <row r="286" spans="1:8" x14ac:dyDescent="0.25">
      <c r="A286" s="241">
        <v>2010</v>
      </c>
      <c r="B286" s="216" t="s">
        <v>1221</v>
      </c>
      <c r="C286" s="232">
        <v>189930</v>
      </c>
      <c r="D286" s="242" t="s">
        <v>1212</v>
      </c>
      <c r="F286" s="216">
        <f t="shared" si="6"/>
        <v>0</v>
      </c>
      <c r="G286" s="232"/>
      <c r="H286" s="176"/>
    </row>
    <row r="287" spans="1:8" x14ac:dyDescent="0.25">
      <c r="A287" s="241">
        <v>2010</v>
      </c>
      <c r="B287" s="216" t="s">
        <v>1195</v>
      </c>
      <c r="C287" s="232">
        <v>3000000</v>
      </c>
      <c r="D287" s="242" t="s">
        <v>11</v>
      </c>
      <c r="F287" s="216">
        <f t="shared" si="6"/>
        <v>0</v>
      </c>
    </row>
    <row r="288" spans="1:8" x14ac:dyDescent="0.25">
      <c r="A288" s="241">
        <v>2010</v>
      </c>
      <c r="B288" s="243" t="s">
        <v>1222</v>
      </c>
      <c r="C288" s="232">
        <v>125000</v>
      </c>
      <c r="D288" s="242" t="s">
        <v>1212</v>
      </c>
      <c r="F288" s="216">
        <f t="shared" si="6"/>
        <v>0</v>
      </c>
    </row>
    <row r="289" spans="1:6" x14ac:dyDescent="0.25">
      <c r="A289" s="241">
        <v>2010</v>
      </c>
      <c r="B289" s="216" t="s">
        <v>1223</v>
      </c>
      <c r="C289" s="232">
        <v>30868</v>
      </c>
      <c r="D289" s="242" t="s">
        <v>1212</v>
      </c>
      <c r="F289" s="216">
        <f t="shared" si="6"/>
        <v>0</v>
      </c>
    </row>
    <row r="290" spans="1:6" x14ac:dyDescent="0.25">
      <c r="A290" s="241">
        <v>2010</v>
      </c>
      <c r="B290" s="216" t="s">
        <v>1224</v>
      </c>
      <c r="C290" s="232">
        <v>60000</v>
      </c>
      <c r="D290" s="242" t="s">
        <v>1212</v>
      </c>
      <c r="F290" s="216">
        <f t="shared" si="6"/>
        <v>0</v>
      </c>
    </row>
    <row r="291" spans="1:6" x14ac:dyDescent="0.25">
      <c r="A291" s="241">
        <v>2010</v>
      </c>
      <c r="B291" s="216" t="s">
        <v>1162</v>
      </c>
      <c r="C291" s="232">
        <v>1398441</v>
      </c>
      <c r="D291" s="242" t="s">
        <v>1212</v>
      </c>
      <c r="F291" s="216">
        <f t="shared" si="6"/>
        <v>0</v>
      </c>
    </row>
    <row r="292" spans="1:6" x14ac:dyDescent="0.25">
      <c r="A292" s="241">
        <v>2010</v>
      </c>
      <c r="B292" s="216" t="s">
        <v>1225</v>
      </c>
      <c r="C292" s="232">
        <v>198935</v>
      </c>
      <c r="D292" s="244" t="s">
        <v>11</v>
      </c>
      <c r="F292" s="216">
        <f t="shared" si="6"/>
        <v>0</v>
      </c>
    </row>
    <row r="293" spans="1:6" x14ac:dyDescent="0.25">
      <c r="A293" s="241">
        <v>2010</v>
      </c>
      <c r="B293" s="216" t="s">
        <v>1226</v>
      </c>
      <c r="C293" s="232">
        <v>2450000</v>
      </c>
      <c r="D293" s="244" t="s">
        <v>11</v>
      </c>
      <c r="F293" s="216">
        <f t="shared" si="6"/>
        <v>0</v>
      </c>
    </row>
    <row r="294" spans="1:6" x14ac:dyDescent="0.25">
      <c r="A294" s="241">
        <v>2010</v>
      </c>
      <c r="B294" s="216" t="s">
        <v>1156</v>
      </c>
      <c r="C294" s="232">
        <v>527380</v>
      </c>
      <c r="D294" s="244" t="s">
        <v>11</v>
      </c>
      <c r="F294" s="216">
        <f t="shared" si="6"/>
        <v>0</v>
      </c>
    </row>
    <row r="295" spans="1:6" x14ac:dyDescent="0.25">
      <c r="A295" s="241">
        <v>2010</v>
      </c>
      <c r="B295" s="216" t="s">
        <v>1227</v>
      </c>
      <c r="C295" s="232">
        <v>200473</v>
      </c>
      <c r="D295" s="244" t="s">
        <v>11</v>
      </c>
      <c r="F295" s="216">
        <f t="shared" si="6"/>
        <v>0</v>
      </c>
    </row>
    <row r="296" spans="1:6" x14ac:dyDescent="0.25">
      <c r="A296" s="241">
        <v>2010</v>
      </c>
      <c r="B296" s="216" t="s">
        <v>1228</v>
      </c>
      <c r="C296" s="232">
        <v>756984</v>
      </c>
      <c r="D296" s="244" t="s">
        <v>11</v>
      </c>
      <c r="F296" s="216">
        <f t="shared" si="6"/>
        <v>0</v>
      </c>
    </row>
    <row r="297" spans="1:6" x14ac:dyDescent="0.25">
      <c r="A297" s="241">
        <v>2010</v>
      </c>
      <c r="B297" s="216" t="s">
        <v>1123</v>
      </c>
      <c r="C297" s="232">
        <v>216462</v>
      </c>
      <c r="D297" s="244" t="s">
        <v>1212</v>
      </c>
      <c r="F297" s="216">
        <f t="shared" si="6"/>
        <v>0</v>
      </c>
    </row>
    <row r="298" spans="1:6" x14ac:dyDescent="0.25">
      <c r="A298" s="241">
        <v>2010</v>
      </c>
      <c r="B298" s="216" t="s">
        <v>1082</v>
      </c>
      <c r="C298" s="232">
        <v>1469146</v>
      </c>
      <c r="D298" s="244" t="s">
        <v>11</v>
      </c>
      <c r="F298" s="216">
        <f t="shared" si="6"/>
        <v>0</v>
      </c>
    </row>
    <row r="299" spans="1:6" x14ac:dyDescent="0.25">
      <c r="A299" s="241">
        <v>2010</v>
      </c>
      <c r="B299" s="216" t="s">
        <v>1173</v>
      </c>
      <c r="C299" s="232">
        <v>3000000</v>
      </c>
      <c r="D299" s="244" t="s">
        <v>1212</v>
      </c>
      <c r="F299" s="216">
        <f t="shared" si="6"/>
        <v>0</v>
      </c>
    </row>
    <row r="300" spans="1:6" x14ac:dyDescent="0.25">
      <c r="A300" s="241">
        <v>2010</v>
      </c>
      <c r="B300" s="216" t="s">
        <v>1229</v>
      </c>
      <c r="C300" s="232">
        <v>226666</v>
      </c>
      <c r="D300" s="244" t="s">
        <v>1212</v>
      </c>
      <c r="F300" s="216">
        <f t="shared" si="6"/>
        <v>0</v>
      </c>
    </row>
    <row r="301" spans="1:6" x14ac:dyDescent="0.25">
      <c r="A301" s="241">
        <v>2010</v>
      </c>
      <c r="B301" s="216" t="s">
        <v>1211</v>
      </c>
      <c r="C301" s="232">
        <v>37812</v>
      </c>
      <c r="D301" s="244" t="s">
        <v>1212</v>
      </c>
      <c r="F301" s="216">
        <f t="shared" si="6"/>
        <v>0</v>
      </c>
    </row>
    <row r="302" spans="1:6" x14ac:dyDescent="0.25">
      <c r="A302" s="241">
        <v>2010</v>
      </c>
      <c r="B302" s="216" t="s">
        <v>1090</v>
      </c>
      <c r="C302" s="232">
        <v>621558</v>
      </c>
      <c r="D302" s="244" t="s">
        <v>11</v>
      </c>
      <c r="F302" s="216">
        <f t="shared" si="6"/>
        <v>0</v>
      </c>
    </row>
    <row r="303" spans="1:6" x14ac:dyDescent="0.25">
      <c r="A303" s="241">
        <v>2010</v>
      </c>
      <c r="B303" s="216" t="s">
        <v>1230</v>
      </c>
      <c r="C303" s="232">
        <v>158156</v>
      </c>
      <c r="D303" s="244" t="s">
        <v>1212</v>
      </c>
      <c r="F303" s="216">
        <f t="shared" si="6"/>
        <v>0</v>
      </c>
    </row>
    <row r="304" spans="1:6" x14ac:dyDescent="0.25">
      <c r="A304" s="241">
        <v>2011</v>
      </c>
      <c r="B304" s="216" t="s">
        <v>1125</v>
      </c>
      <c r="C304" s="232">
        <v>766165</v>
      </c>
      <c r="D304" s="244" t="s">
        <v>11</v>
      </c>
      <c r="F304" s="216">
        <f t="shared" si="6"/>
        <v>0</v>
      </c>
    </row>
    <row r="305" spans="1:6" x14ac:dyDescent="0.25">
      <c r="A305" s="241">
        <v>2011</v>
      </c>
      <c r="B305" s="216" t="s">
        <v>1213</v>
      </c>
      <c r="C305" s="232">
        <v>953239</v>
      </c>
      <c r="D305" s="244" t="s">
        <v>1212</v>
      </c>
      <c r="F305" s="216">
        <f t="shared" si="6"/>
        <v>0</v>
      </c>
    </row>
    <row r="306" spans="1:6" x14ac:dyDescent="0.25">
      <c r="A306" s="241">
        <v>2011</v>
      </c>
      <c r="B306" s="216" t="s">
        <v>1231</v>
      </c>
      <c r="C306" s="232">
        <v>675000</v>
      </c>
      <c r="D306" s="244" t="s">
        <v>11</v>
      </c>
      <c r="F306" s="216">
        <f t="shared" si="6"/>
        <v>0</v>
      </c>
    </row>
    <row r="307" spans="1:6" x14ac:dyDescent="0.25">
      <c r="A307" s="241">
        <v>2011</v>
      </c>
      <c r="B307" s="216" t="s">
        <v>1056</v>
      </c>
      <c r="C307" s="232">
        <v>882987</v>
      </c>
      <c r="D307" s="244" t="s">
        <v>11</v>
      </c>
      <c r="F307" s="216">
        <f t="shared" si="6"/>
        <v>0</v>
      </c>
    </row>
    <row r="308" spans="1:6" x14ac:dyDescent="0.25">
      <c r="A308" s="241">
        <v>2011</v>
      </c>
      <c r="B308" s="216" t="s">
        <v>1111</v>
      </c>
      <c r="C308" s="232">
        <v>219993</v>
      </c>
      <c r="D308" s="244" t="s">
        <v>11</v>
      </c>
      <c r="F308" s="216">
        <f t="shared" si="6"/>
        <v>0</v>
      </c>
    </row>
    <row r="309" spans="1:6" x14ac:dyDescent="0.25">
      <c r="A309" s="241">
        <v>2011</v>
      </c>
      <c r="B309" s="216" t="s">
        <v>1232</v>
      </c>
      <c r="C309" s="232">
        <v>65292</v>
      </c>
      <c r="D309" s="244" t="s">
        <v>1212</v>
      </c>
      <c r="F309" s="216">
        <f t="shared" si="6"/>
        <v>0</v>
      </c>
    </row>
    <row r="310" spans="1:6" x14ac:dyDescent="0.25">
      <c r="A310" s="241">
        <v>2011</v>
      </c>
      <c r="B310" s="216" t="s">
        <v>1226</v>
      </c>
      <c r="C310" s="232">
        <v>887152</v>
      </c>
      <c r="D310" s="244" t="s">
        <v>11</v>
      </c>
      <c r="F310" s="216">
        <f t="shared" si="6"/>
        <v>0</v>
      </c>
    </row>
    <row r="311" spans="1:6" x14ac:dyDescent="0.25">
      <c r="A311" s="241">
        <v>2011</v>
      </c>
      <c r="B311" s="216" t="s">
        <v>1233</v>
      </c>
      <c r="C311" s="232">
        <v>1345487</v>
      </c>
      <c r="D311" s="244" t="s">
        <v>11</v>
      </c>
      <c r="F311" s="216">
        <f t="shared" si="6"/>
        <v>0</v>
      </c>
    </row>
    <row r="312" spans="1:6" x14ac:dyDescent="0.25">
      <c r="A312" s="241">
        <v>2011</v>
      </c>
      <c r="B312" s="216" t="s">
        <v>1234</v>
      </c>
      <c r="C312" s="232">
        <v>243000</v>
      </c>
      <c r="D312" s="244" t="s">
        <v>1212</v>
      </c>
      <c r="F312" s="216">
        <f t="shared" si="6"/>
        <v>0</v>
      </c>
    </row>
    <row r="313" spans="1:6" x14ac:dyDescent="0.25">
      <c r="A313" s="241">
        <v>2011</v>
      </c>
      <c r="B313" s="216" t="s">
        <v>1106</v>
      </c>
      <c r="C313" s="232">
        <v>458633</v>
      </c>
      <c r="D313" s="244" t="s">
        <v>1212</v>
      </c>
      <c r="F313" s="216">
        <f t="shared" si="6"/>
        <v>0</v>
      </c>
    </row>
    <row r="314" spans="1:6" x14ac:dyDescent="0.25">
      <c r="A314" s="241">
        <v>2011</v>
      </c>
      <c r="B314" s="216" t="s">
        <v>1235</v>
      </c>
      <c r="C314" s="232">
        <v>128534</v>
      </c>
      <c r="D314" s="244" t="s">
        <v>1212</v>
      </c>
      <c r="F314" s="216">
        <f t="shared" si="6"/>
        <v>0</v>
      </c>
    </row>
    <row r="315" spans="1:6" x14ac:dyDescent="0.25">
      <c r="A315" s="241">
        <v>2011</v>
      </c>
      <c r="B315" s="216" t="s">
        <v>1236</v>
      </c>
      <c r="C315" s="232">
        <v>1193500</v>
      </c>
      <c r="D315" s="244" t="s">
        <v>1212</v>
      </c>
      <c r="E315" s="232"/>
      <c r="F315" s="216">
        <f t="shared" si="6"/>
        <v>0</v>
      </c>
    </row>
    <row r="316" spans="1:6" x14ac:dyDescent="0.25">
      <c r="A316" s="241">
        <v>2011</v>
      </c>
      <c r="B316" s="216" t="s">
        <v>1237</v>
      </c>
      <c r="C316" s="232">
        <v>202000</v>
      </c>
      <c r="D316" s="244" t="s">
        <v>1212</v>
      </c>
      <c r="E316" s="232"/>
      <c r="F316" s="216">
        <f t="shared" si="6"/>
        <v>0</v>
      </c>
    </row>
    <row r="317" spans="1:6" x14ac:dyDescent="0.25">
      <c r="A317" s="241">
        <v>2012</v>
      </c>
      <c r="B317" s="216" t="s">
        <v>1226</v>
      </c>
      <c r="C317" s="232">
        <v>3000000</v>
      </c>
      <c r="D317" s="244" t="s">
        <v>11</v>
      </c>
      <c r="E317" s="232"/>
      <c r="F317" s="216">
        <f t="shared" si="6"/>
        <v>0</v>
      </c>
    </row>
    <row r="318" spans="1:6" x14ac:dyDescent="0.25">
      <c r="A318" s="241">
        <v>2012</v>
      </c>
      <c r="B318" s="216" t="s">
        <v>1180</v>
      </c>
      <c r="C318" s="232">
        <v>1907136</v>
      </c>
      <c r="D318" s="244" t="s">
        <v>11</v>
      </c>
      <c r="E318" s="232"/>
      <c r="F318" s="216">
        <f t="shared" si="6"/>
        <v>0</v>
      </c>
    </row>
    <row r="319" spans="1:6" x14ac:dyDescent="0.25">
      <c r="A319" s="241">
        <v>2012</v>
      </c>
      <c r="B319" s="216" t="s">
        <v>1132</v>
      </c>
      <c r="C319" s="232">
        <v>2991209</v>
      </c>
      <c r="D319" s="244" t="s">
        <v>11</v>
      </c>
      <c r="E319" s="232"/>
      <c r="F319" s="216">
        <f t="shared" si="6"/>
        <v>0</v>
      </c>
    </row>
    <row r="320" spans="1:6" x14ac:dyDescent="0.25">
      <c r="A320" s="241">
        <v>2012</v>
      </c>
      <c r="B320" s="245" t="s">
        <v>1238</v>
      </c>
      <c r="C320" s="246">
        <v>2000000</v>
      </c>
      <c r="D320" s="244" t="s">
        <v>11</v>
      </c>
      <c r="E320" s="232"/>
      <c r="F320" s="216">
        <f t="shared" si="6"/>
        <v>0</v>
      </c>
    </row>
    <row r="321" spans="1:6" x14ac:dyDescent="0.25">
      <c r="A321" s="241">
        <v>2012</v>
      </c>
      <c r="B321" s="245" t="s">
        <v>1195</v>
      </c>
      <c r="C321" s="246">
        <v>2000000</v>
      </c>
      <c r="D321" s="244" t="s">
        <v>11</v>
      </c>
      <c r="E321" s="232"/>
      <c r="F321" s="216">
        <f t="shared" si="6"/>
        <v>0</v>
      </c>
    </row>
    <row r="322" spans="1:6" x14ac:dyDescent="0.25">
      <c r="A322" s="241">
        <v>2012</v>
      </c>
      <c r="B322" s="245" t="s">
        <v>1090</v>
      </c>
      <c r="C322" s="247">
        <v>1559577</v>
      </c>
      <c r="D322" s="244" t="s">
        <v>11</v>
      </c>
      <c r="E322" s="232"/>
      <c r="F322" s="216">
        <f t="shared" si="6"/>
        <v>0</v>
      </c>
    </row>
    <row r="323" spans="1:6" x14ac:dyDescent="0.25">
      <c r="A323" s="241">
        <v>2012</v>
      </c>
      <c r="B323" s="245" t="s">
        <v>1239</v>
      </c>
      <c r="C323" s="247">
        <v>1287920</v>
      </c>
      <c r="D323" s="244" t="s">
        <v>11</v>
      </c>
      <c r="E323" s="232"/>
      <c r="F323" s="216">
        <f t="shared" si="6"/>
        <v>0</v>
      </c>
    </row>
    <row r="324" spans="1:6" x14ac:dyDescent="0.25">
      <c r="A324" s="241">
        <v>2012</v>
      </c>
      <c r="B324" s="245" t="s">
        <v>1240</v>
      </c>
      <c r="C324" s="246">
        <v>602188</v>
      </c>
      <c r="D324" s="244" t="s">
        <v>11</v>
      </c>
      <c r="E324" s="232"/>
      <c r="F324" s="216">
        <f t="shared" si="6"/>
        <v>0</v>
      </c>
    </row>
    <row r="325" spans="1:6" x14ac:dyDescent="0.25">
      <c r="A325" s="241">
        <v>2012</v>
      </c>
      <c r="B325" s="245" t="s">
        <v>1241</v>
      </c>
      <c r="C325" s="246">
        <v>426526</v>
      </c>
      <c r="D325" s="244" t="s">
        <v>11</v>
      </c>
      <c r="E325" s="232"/>
      <c r="F325" s="216">
        <f t="shared" si="6"/>
        <v>0</v>
      </c>
    </row>
    <row r="326" spans="1:6" x14ac:dyDescent="0.25">
      <c r="A326" s="241">
        <v>2012</v>
      </c>
      <c r="B326" s="245" t="s">
        <v>1242</v>
      </c>
      <c r="C326" s="246">
        <v>1809734</v>
      </c>
      <c r="D326" s="244" t="s">
        <v>11</v>
      </c>
      <c r="E326" s="232"/>
      <c r="F326" s="216">
        <f t="shared" si="6"/>
        <v>0</v>
      </c>
    </row>
    <row r="327" spans="1:6" x14ac:dyDescent="0.25">
      <c r="A327" s="241">
        <v>2013</v>
      </c>
      <c r="B327" s="245" t="s">
        <v>1243</v>
      </c>
      <c r="C327" s="246">
        <v>2876172</v>
      </c>
      <c r="D327" s="244" t="s">
        <v>11</v>
      </c>
      <c r="E327" s="232"/>
      <c r="F327" s="216">
        <f t="shared" si="6"/>
        <v>0</v>
      </c>
    </row>
    <row r="328" spans="1:6" x14ac:dyDescent="0.25">
      <c r="A328" s="241">
        <v>2013</v>
      </c>
      <c r="B328" s="245" t="s">
        <v>1244</v>
      </c>
      <c r="C328" s="246">
        <v>1141738</v>
      </c>
      <c r="D328" s="244" t="s">
        <v>11</v>
      </c>
      <c r="E328" s="232"/>
      <c r="F328" s="216">
        <f t="shared" si="6"/>
        <v>0</v>
      </c>
    </row>
    <row r="329" spans="1:6" x14ac:dyDescent="0.25">
      <c r="A329" s="241">
        <v>2013</v>
      </c>
      <c r="B329" s="245" t="s">
        <v>1245</v>
      </c>
      <c r="C329" s="246">
        <v>161890</v>
      </c>
      <c r="D329" s="244" t="s">
        <v>11</v>
      </c>
      <c r="E329" s="232"/>
      <c r="F329" s="216">
        <f t="shared" si="6"/>
        <v>0</v>
      </c>
    </row>
    <row r="330" spans="1:6" x14ac:dyDescent="0.25">
      <c r="A330" s="241">
        <v>2013</v>
      </c>
      <c r="B330" s="245" t="s">
        <v>1246</v>
      </c>
      <c r="C330" s="246">
        <v>992054</v>
      </c>
      <c r="D330" s="244" t="s">
        <v>11</v>
      </c>
      <c r="E330" s="232"/>
      <c r="F330" s="216">
        <f t="shared" si="6"/>
        <v>0</v>
      </c>
    </row>
    <row r="331" spans="1:6" x14ac:dyDescent="0.25">
      <c r="A331" s="241">
        <v>2013</v>
      </c>
      <c r="B331" s="245" t="s">
        <v>1247</v>
      </c>
      <c r="C331" s="246">
        <f>500000-24664</f>
        <v>475336</v>
      </c>
      <c r="D331" s="244" t="s">
        <v>11</v>
      </c>
      <c r="E331" s="232"/>
      <c r="F331" s="216">
        <f t="shared" si="6"/>
        <v>0</v>
      </c>
    </row>
    <row r="332" spans="1:6" x14ac:dyDescent="0.25">
      <c r="A332" s="241">
        <v>2013</v>
      </c>
      <c r="B332" s="245" t="s">
        <v>1248</v>
      </c>
      <c r="C332" s="246">
        <v>2755000</v>
      </c>
      <c r="D332" s="244" t="s">
        <v>11</v>
      </c>
      <c r="E332" s="232"/>
      <c r="F332" s="216">
        <f t="shared" si="6"/>
        <v>0</v>
      </c>
    </row>
    <row r="333" spans="1:6" x14ac:dyDescent="0.25">
      <c r="A333" s="241">
        <v>2013</v>
      </c>
      <c r="B333" s="245" t="s">
        <v>1249</v>
      </c>
      <c r="C333" s="246">
        <v>607596</v>
      </c>
      <c r="D333" s="244" t="s">
        <v>11</v>
      </c>
      <c r="E333" s="232"/>
      <c r="F333" s="216">
        <f t="shared" si="6"/>
        <v>0</v>
      </c>
    </row>
    <row r="334" spans="1:6" x14ac:dyDescent="0.25">
      <c r="A334" s="241">
        <v>2013</v>
      </c>
      <c r="B334" s="245" t="s">
        <v>1250</v>
      </c>
      <c r="C334" s="246">
        <v>1800000</v>
      </c>
      <c r="D334" s="244" t="s">
        <v>11</v>
      </c>
      <c r="E334" s="232"/>
      <c r="F334" s="216">
        <f t="shared" si="6"/>
        <v>0</v>
      </c>
    </row>
    <row r="335" spans="1:6" x14ac:dyDescent="0.25">
      <c r="A335" s="241">
        <v>2014</v>
      </c>
      <c r="B335" s="245" t="s">
        <v>1251</v>
      </c>
      <c r="C335" s="246">
        <v>1300000</v>
      </c>
      <c r="D335" s="244" t="s">
        <v>11</v>
      </c>
      <c r="E335" s="232"/>
      <c r="F335" s="216">
        <f t="shared" ref="F335:F354" si="7">SUMIF(A335:A674,E335,C335:C674)</f>
        <v>0</v>
      </c>
    </row>
    <row r="336" spans="1:6" x14ac:dyDescent="0.25">
      <c r="A336" s="241">
        <v>2014</v>
      </c>
      <c r="B336" s="245" t="s">
        <v>1213</v>
      </c>
      <c r="C336" s="246">
        <v>149706</v>
      </c>
      <c r="D336" s="244" t="s">
        <v>11</v>
      </c>
      <c r="E336" s="232"/>
      <c r="F336" s="216">
        <f t="shared" si="7"/>
        <v>0</v>
      </c>
    </row>
    <row r="337" spans="1:6" x14ac:dyDescent="0.25">
      <c r="A337" s="241">
        <v>2014</v>
      </c>
      <c r="B337" s="245" t="s">
        <v>1054</v>
      </c>
      <c r="C337" s="246">
        <v>3000000</v>
      </c>
      <c r="D337" s="244" t="s">
        <v>11</v>
      </c>
      <c r="E337" s="232"/>
      <c r="F337" s="216">
        <f t="shared" si="7"/>
        <v>0</v>
      </c>
    </row>
    <row r="338" spans="1:6" x14ac:dyDescent="0.25">
      <c r="A338" s="241">
        <v>2014</v>
      </c>
      <c r="B338" s="245" t="s">
        <v>1252</v>
      </c>
      <c r="C338" s="246">
        <v>750000</v>
      </c>
      <c r="D338" s="244" t="s">
        <v>11</v>
      </c>
      <c r="E338" s="232"/>
      <c r="F338" s="216">
        <f t="shared" si="7"/>
        <v>0</v>
      </c>
    </row>
    <row r="339" spans="1:6" x14ac:dyDescent="0.25">
      <c r="A339" s="241">
        <v>2014</v>
      </c>
      <c r="B339" s="245" t="s">
        <v>1189</v>
      </c>
      <c r="C339" s="246">
        <v>1560000</v>
      </c>
      <c r="D339" s="244" t="s">
        <v>11</v>
      </c>
      <c r="E339" s="232"/>
      <c r="F339" s="216">
        <f t="shared" si="7"/>
        <v>0</v>
      </c>
    </row>
    <row r="340" spans="1:6" x14ac:dyDescent="0.25">
      <c r="A340" s="241">
        <v>2014</v>
      </c>
      <c r="B340" s="245" t="s">
        <v>1240</v>
      </c>
      <c r="C340" s="246">
        <v>1100000</v>
      </c>
      <c r="D340" s="244" t="s">
        <v>11</v>
      </c>
      <c r="E340" s="232"/>
      <c r="F340" s="216">
        <f t="shared" si="7"/>
        <v>0</v>
      </c>
    </row>
    <row r="341" spans="1:6" x14ac:dyDescent="0.25">
      <c r="A341" s="241">
        <v>2014</v>
      </c>
      <c r="B341" s="245" t="s">
        <v>1080</v>
      </c>
      <c r="C341" s="246">
        <v>1812722</v>
      </c>
      <c r="D341" s="244" t="s">
        <v>11</v>
      </c>
      <c r="E341" s="232"/>
      <c r="F341" s="216">
        <f t="shared" si="7"/>
        <v>0</v>
      </c>
    </row>
    <row r="342" spans="1:6" x14ac:dyDescent="0.25">
      <c r="A342" s="241">
        <v>2014</v>
      </c>
      <c r="B342" s="245" t="s">
        <v>1253</v>
      </c>
      <c r="C342" s="246">
        <v>2307104</v>
      </c>
      <c r="D342" s="244" t="s">
        <v>11</v>
      </c>
      <c r="E342" s="232"/>
      <c r="F342" s="216">
        <f t="shared" si="7"/>
        <v>0</v>
      </c>
    </row>
    <row r="343" spans="1:6" x14ac:dyDescent="0.25">
      <c r="A343" s="241">
        <v>2014</v>
      </c>
      <c r="B343" s="245" t="s">
        <v>1056</v>
      </c>
      <c r="C343" s="246">
        <v>3000000</v>
      </c>
      <c r="D343" s="244" t="s">
        <v>11</v>
      </c>
      <c r="E343" s="232"/>
      <c r="F343" s="216">
        <f t="shared" si="7"/>
        <v>0</v>
      </c>
    </row>
    <row r="344" spans="1:6" x14ac:dyDescent="0.25">
      <c r="A344" s="241">
        <v>2015</v>
      </c>
      <c r="B344" s="245" t="s">
        <v>1254</v>
      </c>
      <c r="C344" s="246">
        <v>3000000</v>
      </c>
      <c r="D344" s="244" t="s">
        <v>11</v>
      </c>
      <c r="E344" s="232"/>
      <c r="F344" s="216">
        <f t="shared" si="7"/>
        <v>0</v>
      </c>
    </row>
    <row r="345" spans="1:6" x14ac:dyDescent="0.25">
      <c r="A345" s="241">
        <v>2015</v>
      </c>
      <c r="B345" s="245" t="s">
        <v>1255</v>
      </c>
      <c r="C345" s="246">
        <v>562000</v>
      </c>
      <c r="D345" s="244" t="s">
        <v>11</v>
      </c>
      <c r="E345" s="232"/>
      <c r="F345" s="216">
        <f t="shared" si="7"/>
        <v>0</v>
      </c>
    </row>
    <row r="346" spans="1:6" x14ac:dyDescent="0.25">
      <c r="A346" s="241">
        <v>2015</v>
      </c>
      <c r="B346" s="245" t="s">
        <v>1065</v>
      </c>
      <c r="C346" s="246">
        <v>3000000</v>
      </c>
      <c r="D346" s="244" t="s">
        <v>11</v>
      </c>
      <c r="E346" s="232"/>
      <c r="F346" s="216">
        <f t="shared" si="7"/>
        <v>0</v>
      </c>
    </row>
    <row r="347" spans="1:6" x14ac:dyDescent="0.25">
      <c r="A347" s="241">
        <v>2015</v>
      </c>
      <c r="B347" s="245" t="s">
        <v>1256</v>
      </c>
      <c r="C347" s="246">
        <v>3000000</v>
      </c>
      <c r="D347" s="244" t="s">
        <v>11</v>
      </c>
      <c r="E347" s="232"/>
      <c r="F347" s="216">
        <f t="shared" si="7"/>
        <v>0</v>
      </c>
    </row>
    <row r="348" spans="1:6" x14ac:dyDescent="0.25">
      <c r="A348" s="241">
        <v>2015</v>
      </c>
      <c r="B348" s="245" t="s">
        <v>1093</v>
      </c>
      <c r="C348" s="246">
        <v>1788433</v>
      </c>
      <c r="D348" s="244" t="s">
        <v>11</v>
      </c>
      <c r="E348" s="232"/>
      <c r="F348" s="216">
        <f t="shared" si="7"/>
        <v>0</v>
      </c>
    </row>
    <row r="349" spans="1:6" x14ac:dyDescent="0.25">
      <c r="A349" s="241">
        <v>2015</v>
      </c>
      <c r="B349" s="245" t="s">
        <v>1257</v>
      </c>
      <c r="C349" s="246">
        <v>2200000</v>
      </c>
      <c r="D349" s="244" t="s">
        <v>11</v>
      </c>
      <c r="E349" s="232"/>
      <c r="F349" s="216">
        <f t="shared" si="7"/>
        <v>0</v>
      </c>
    </row>
    <row r="350" spans="1:6" x14ac:dyDescent="0.25">
      <c r="A350" s="241">
        <v>2016</v>
      </c>
      <c r="B350" s="245" t="s">
        <v>1135</v>
      </c>
      <c r="C350" s="246">
        <v>3000000</v>
      </c>
      <c r="D350" s="244" t="s">
        <v>11</v>
      </c>
      <c r="E350" s="232"/>
      <c r="F350" s="216">
        <f t="shared" si="7"/>
        <v>0</v>
      </c>
    </row>
    <row r="351" spans="1:6" x14ac:dyDescent="0.25">
      <c r="A351" s="241">
        <v>2016</v>
      </c>
      <c r="B351" s="245" t="s">
        <v>1220</v>
      </c>
      <c r="C351" s="246">
        <v>3000000</v>
      </c>
      <c r="D351" s="244" t="s">
        <v>11</v>
      </c>
      <c r="E351" s="232"/>
      <c r="F351" s="216">
        <f t="shared" si="7"/>
        <v>0</v>
      </c>
    </row>
    <row r="352" spans="1:6" x14ac:dyDescent="0.25">
      <c r="A352" s="241">
        <v>2016</v>
      </c>
      <c r="B352" s="245" t="s">
        <v>1069</v>
      </c>
      <c r="C352" s="246">
        <v>2988974</v>
      </c>
      <c r="D352" s="244" t="s">
        <v>11</v>
      </c>
      <c r="E352" s="232"/>
      <c r="F352" s="216">
        <f t="shared" si="7"/>
        <v>0</v>
      </c>
    </row>
    <row r="353" spans="1:6" x14ac:dyDescent="0.25">
      <c r="A353" s="241">
        <v>2016</v>
      </c>
      <c r="B353" s="245" t="s">
        <v>1187</v>
      </c>
      <c r="C353" s="246">
        <v>410805</v>
      </c>
      <c r="D353" s="244" t="s">
        <v>11</v>
      </c>
      <c r="E353" s="232"/>
      <c r="F353" s="216">
        <f t="shared" si="7"/>
        <v>0</v>
      </c>
    </row>
    <row r="354" spans="1:6" x14ac:dyDescent="0.25">
      <c r="A354" s="248" t="s">
        <v>1258</v>
      </c>
      <c r="B354" s="249"/>
      <c r="C354" s="250"/>
      <c r="D354" s="251"/>
      <c r="E354" s="232"/>
      <c r="F354" s="216">
        <f t="shared" si="7"/>
        <v>0</v>
      </c>
    </row>
    <row r="355" spans="1:6" x14ac:dyDescent="0.25">
      <c r="A355" s="252"/>
      <c r="B355" s="253">
        <f>COUNTA(B14:B353)</f>
        <v>340</v>
      </c>
      <c r="C355" s="254">
        <f>SUM(C14:C353)</f>
        <v>228664291</v>
      </c>
      <c r="D355" s="255"/>
      <c r="E355" s="232"/>
      <c r="F355" s="176"/>
    </row>
    <row r="356" spans="1:6" x14ac:dyDescent="0.25">
      <c r="E356" s="232"/>
      <c r="F356" s="176"/>
    </row>
    <row r="358" spans="1:6" ht="18" x14ac:dyDescent="0.25">
      <c r="A358" s="233" t="s">
        <v>1259</v>
      </c>
      <c r="B358" s="18"/>
      <c r="C358" s="234"/>
      <c r="D358" s="235"/>
    </row>
    <row r="359" spans="1:6" ht="39" x14ac:dyDescent="0.25">
      <c r="A359" s="237" t="s">
        <v>1050</v>
      </c>
      <c r="B359" s="238" t="s">
        <v>1051</v>
      </c>
      <c r="C359" s="239" t="s">
        <v>1052</v>
      </c>
      <c r="D359" s="240" t="s">
        <v>1053</v>
      </c>
    </row>
    <row r="360" spans="1:6" x14ac:dyDescent="0.25">
      <c r="A360" s="256">
        <v>1979</v>
      </c>
      <c r="B360" s="249" t="s">
        <v>1260</v>
      </c>
      <c r="C360" s="257">
        <v>34418</v>
      </c>
      <c r="D360" s="251" t="s">
        <v>11</v>
      </c>
    </row>
    <row r="361" spans="1:6" x14ac:dyDescent="0.25">
      <c r="A361" s="241">
        <v>1979</v>
      </c>
      <c r="B361" s="216" t="s">
        <v>1260</v>
      </c>
      <c r="C361" s="258">
        <v>21089</v>
      </c>
      <c r="D361" s="242" t="s">
        <v>11</v>
      </c>
    </row>
    <row r="362" spans="1:6" x14ac:dyDescent="0.25">
      <c r="A362" s="241">
        <v>1979</v>
      </c>
      <c r="B362" s="259" t="s">
        <v>1261</v>
      </c>
      <c r="C362" s="258">
        <v>55742</v>
      </c>
      <c r="D362" s="242" t="s">
        <v>11</v>
      </c>
    </row>
    <row r="363" spans="1:6" x14ac:dyDescent="0.25">
      <c r="A363" s="241">
        <v>1979</v>
      </c>
      <c r="B363" s="259" t="s">
        <v>1262</v>
      </c>
      <c r="C363" s="258">
        <v>14500</v>
      </c>
      <c r="D363" s="242" t="s">
        <v>11</v>
      </c>
    </row>
    <row r="364" spans="1:6" x14ac:dyDescent="0.25">
      <c r="A364" s="241">
        <v>1979</v>
      </c>
      <c r="B364" s="259" t="s">
        <v>1263</v>
      </c>
      <c r="C364" s="258">
        <v>2379</v>
      </c>
      <c r="D364" s="242" t="s">
        <v>11</v>
      </c>
    </row>
    <row r="365" spans="1:6" x14ac:dyDescent="0.25">
      <c r="A365" s="241">
        <v>1979</v>
      </c>
      <c r="B365" s="259" t="s">
        <v>1264</v>
      </c>
      <c r="C365" s="258">
        <v>49993</v>
      </c>
      <c r="D365" s="242" t="s">
        <v>11</v>
      </c>
    </row>
    <row r="366" spans="1:6" x14ac:dyDescent="0.25">
      <c r="A366" s="241">
        <v>1979</v>
      </c>
      <c r="B366" s="259" t="s">
        <v>1264</v>
      </c>
      <c r="C366" s="258">
        <v>74131</v>
      </c>
      <c r="D366" s="242" t="s">
        <v>11</v>
      </c>
    </row>
    <row r="367" spans="1:6" x14ac:dyDescent="0.25">
      <c r="A367" s="241">
        <v>1979</v>
      </c>
      <c r="B367" s="259" t="s">
        <v>1264</v>
      </c>
      <c r="C367" s="258">
        <v>98609</v>
      </c>
      <c r="D367" s="242" t="s">
        <v>11</v>
      </c>
    </row>
    <row r="368" spans="1:6" s="236" customFormat="1" x14ac:dyDescent="0.25">
      <c r="A368" s="241">
        <v>1979</v>
      </c>
      <c r="B368" s="259" t="s">
        <v>1265</v>
      </c>
      <c r="C368" s="258">
        <v>27930</v>
      </c>
      <c r="D368" s="242" t="s">
        <v>11</v>
      </c>
    </row>
    <row r="369" spans="1:4" x14ac:dyDescent="0.25">
      <c r="A369" s="241">
        <v>1979</v>
      </c>
      <c r="B369" s="259" t="s">
        <v>1265</v>
      </c>
      <c r="C369" s="258">
        <v>64253</v>
      </c>
      <c r="D369" s="242" t="s">
        <v>11</v>
      </c>
    </row>
    <row r="370" spans="1:4" x14ac:dyDescent="0.25">
      <c r="A370" s="241">
        <v>1979</v>
      </c>
      <c r="B370" s="259" t="s">
        <v>1266</v>
      </c>
      <c r="C370" s="258">
        <v>40700</v>
      </c>
      <c r="D370" s="242" t="s">
        <v>11</v>
      </c>
    </row>
    <row r="371" spans="1:4" x14ac:dyDescent="0.25">
      <c r="A371" s="241">
        <v>1979</v>
      </c>
      <c r="B371" s="259" t="s">
        <v>1266</v>
      </c>
      <c r="C371" s="258">
        <v>22302</v>
      </c>
      <c r="D371" s="242" t="s">
        <v>11</v>
      </c>
    </row>
    <row r="372" spans="1:4" x14ac:dyDescent="0.25">
      <c r="A372" s="241">
        <v>1979</v>
      </c>
      <c r="B372" s="259" t="s">
        <v>1267</v>
      </c>
      <c r="C372" s="258">
        <v>38567</v>
      </c>
      <c r="D372" s="242" t="s">
        <v>11</v>
      </c>
    </row>
    <row r="373" spans="1:4" x14ac:dyDescent="0.25">
      <c r="A373" s="241">
        <v>1979</v>
      </c>
      <c r="B373" s="259" t="s">
        <v>1268</v>
      </c>
      <c r="C373" s="258">
        <v>109488</v>
      </c>
      <c r="D373" s="242" t="s">
        <v>11</v>
      </c>
    </row>
    <row r="374" spans="1:4" x14ac:dyDescent="0.25">
      <c r="A374" s="241">
        <v>1979</v>
      </c>
      <c r="B374" s="259" t="s">
        <v>1269</v>
      </c>
      <c r="C374" s="258">
        <v>96710</v>
      </c>
      <c r="D374" s="242" t="s">
        <v>11</v>
      </c>
    </row>
    <row r="375" spans="1:4" x14ac:dyDescent="0.25">
      <c r="A375" s="241">
        <v>1979</v>
      </c>
      <c r="B375" s="259" t="s">
        <v>1270</v>
      </c>
      <c r="C375" s="258">
        <v>2850</v>
      </c>
      <c r="D375" s="242" t="s">
        <v>11</v>
      </c>
    </row>
    <row r="376" spans="1:4" x14ac:dyDescent="0.25">
      <c r="A376" s="241">
        <v>1979</v>
      </c>
      <c r="B376" s="259" t="s">
        <v>1271</v>
      </c>
      <c r="C376" s="258">
        <v>5037</v>
      </c>
      <c r="D376" s="242" t="s">
        <v>11</v>
      </c>
    </row>
    <row r="377" spans="1:4" x14ac:dyDescent="0.25">
      <c r="A377" s="241">
        <v>1979</v>
      </c>
      <c r="B377" s="259" t="s">
        <v>1272</v>
      </c>
      <c r="C377" s="258">
        <v>63000</v>
      </c>
      <c r="D377" s="242" t="s">
        <v>11</v>
      </c>
    </row>
    <row r="378" spans="1:4" x14ac:dyDescent="0.25">
      <c r="A378" s="241">
        <v>1980</v>
      </c>
      <c r="B378" s="259" t="s">
        <v>1273</v>
      </c>
      <c r="C378" s="258">
        <v>216150</v>
      </c>
      <c r="D378" s="242" t="s">
        <v>11</v>
      </c>
    </row>
    <row r="379" spans="1:4" x14ac:dyDescent="0.25">
      <c r="A379" s="241">
        <v>1980</v>
      </c>
      <c r="B379" s="216" t="s">
        <v>1260</v>
      </c>
      <c r="C379" s="258">
        <v>120480</v>
      </c>
      <c r="D379" s="242" t="s">
        <v>11</v>
      </c>
    </row>
    <row r="380" spans="1:4" x14ac:dyDescent="0.25">
      <c r="A380" s="241">
        <v>1980</v>
      </c>
      <c r="B380" s="259" t="s">
        <v>1261</v>
      </c>
      <c r="C380" s="258">
        <v>18319</v>
      </c>
      <c r="D380" s="242" t="s">
        <v>11</v>
      </c>
    </row>
    <row r="381" spans="1:4" x14ac:dyDescent="0.25">
      <c r="A381" s="241">
        <v>1980</v>
      </c>
      <c r="B381" s="259" t="s">
        <v>1274</v>
      </c>
      <c r="C381" s="258">
        <v>29717</v>
      </c>
      <c r="D381" s="242" t="s">
        <v>11</v>
      </c>
    </row>
    <row r="382" spans="1:4" x14ac:dyDescent="0.25">
      <c r="A382" s="241">
        <v>1980</v>
      </c>
      <c r="B382" s="259" t="s">
        <v>1275</v>
      </c>
      <c r="C382" s="258">
        <v>97020</v>
      </c>
      <c r="D382" s="242" t="s">
        <v>11</v>
      </c>
    </row>
    <row r="383" spans="1:4" x14ac:dyDescent="0.25">
      <c r="A383" s="241">
        <v>1980</v>
      </c>
      <c r="B383" s="259" t="s">
        <v>1275</v>
      </c>
      <c r="C383" s="258">
        <v>56100</v>
      </c>
      <c r="D383" s="242" t="s">
        <v>11</v>
      </c>
    </row>
    <row r="384" spans="1:4" x14ac:dyDescent="0.25">
      <c r="A384" s="241">
        <v>1980</v>
      </c>
      <c r="B384" s="259" t="s">
        <v>1275</v>
      </c>
      <c r="C384" s="258">
        <v>8500</v>
      </c>
      <c r="D384" s="242" t="s">
        <v>11</v>
      </c>
    </row>
    <row r="385" spans="1:4" x14ac:dyDescent="0.25">
      <c r="A385" s="241">
        <v>1980</v>
      </c>
      <c r="B385" s="259" t="s">
        <v>1276</v>
      </c>
      <c r="C385" s="258">
        <v>79565</v>
      </c>
      <c r="D385" s="242" t="s">
        <v>11</v>
      </c>
    </row>
    <row r="386" spans="1:4" x14ac:dyDescent="0.25">
      <c r="A386" s="241">
        <v>1980</v>
      </c>
      <c r="B386" s="259" t="s">
        <v>1276</v>
      </c>
      <c r="C386" s="258">
        <v>43344</v>
      </c>
      <c r="D386" s="242" t="s">
        <v>11</v>
      </c>
    </row>
    <row r="387" spans="1:4" x14ac:dyDescent="0.25">
      <c r="A387" s="241">
        <v>1980</v>
      </c>
      <c r="B387" s="259" t="s">
        <v>1277</v>
      </c>
      <c r="C387" s="258">
        <v>37000</v>
      </c>
      <c r="D387" s="242" t="s">
        <v>11</v>
      </c>
    </row>
    <row r="388" spans="1:4" x14ac:dyDescent="0.25">
      <c r="A388" s="241">
        <v>1980</v>
      </c>
      <c r="B388" s="259" t="s">
        <v>1278</v>
      </c>
      <c r="C388" s="258">
        <v>5000</v>
      </c>
      <c r="D388" s="242" t="s">
        <v>11</v>
      </c>
    </row>
    <row r="389" spans="1:4" x14ac:dyDescent="0.25">
      <c r="A389" s="241">
        <v>1980</v>
      </c>
      <c r="B389" s="259" t="s">
        <v>1278</v>
      </c>
      <c r="C389" s="258">
        <v>7221</v>
      </c>
      <c r="D389" s="242" t="s">
        <v>11</v>
      </c>
    </row>
    <row r="390" spans="1:4" x14ac:dyDescent="0.25">
      <c r="A390" s="241">
        <v>1980</v>
      </c>
      <c r="B390" s="259" t="s">
        <v>1279</v>
      </c>
      <c r="C390" s="258">
        <v>18900</v>
      </c>
      <c r="D390" s="242" t="s">
        <v>11</v>
      </c>
    </row>
    <row r="391" spans="1:4" x14ac:dyDescent="0.25">
      <c r="A391" s="241">
        <v>1980</v>
      </c>
      <c r="B391" s="259" t="s">
        <v>1279</v>
      </c>
      <c r="C391" s="258">
        <v>9049</v>
      </c>
      <c r="D391" s="242" t="s">
        <v>11</v>
      </c>
    </row>
    <row r="392" spans="1:4" x14ac:dyDescent="0.25">
      <c r="A392" s="241">
        <v>1980</v>
      </c>
      <c r="B392" s="259" t="s">
        <v>1280</v>
      </c>
      <c r="C392" s="258">
        <v>125925</v>
      </c>
      <c r="D392" s="242" t="s">
        <v>11</v>
      </c>
    </row>
    <row r="393" spans="1:4" x14ac:dyDescent="0.25">
      <c r="A393" s="241">
        <v>1980</v>
      </c>
      <c r="B393" s="259" t="s">
        <v>1280</v>
      </c>
      <c r="C393" s="258">
        <v>216253</v>
      </c>
      <c r="D393" s="242" t="s">
        <v>11</v>
      </c>
    </row>
    <row r="394" spans="1:4" x14ac:dyDescent="0.25">
      <c r="A394" s="241">
        <v>1980</v>
      </c>
      <c r="B394" s="259" t="s">
        <v>1281</v>
      </c>
      <c r="C394" s="258">
        <v>15120</v>
      </c>
      <c r="D394" s="242" t="s">
        <v>11</v>
      </c>
    </row>
    <row r="395" spans="1:4" x14ac:dyDescent="0.25">
      <c r="A395" s="241">
        <v>1980</v>
      </c>
      <c r="B395" s="259" t="s">
        <v>1262</v>
      </c>
      <c r="C395" s="258">
        <v>6904</v>
      </c>
      <c r="D395" s="242" t="s">
        <v>11</v>
      </c>
    </row>
    <row r="396" spans="1:4" x14ac:dyDescent="0.25">
      <c r="A396" s="241">
        <v>1980</v>
      </c>
      <c r="B396" s="259" t="s">
        <v>1282</v>
      </c>
      <c r="C396" s="258">
        <v>29493</v>
      </c>
      <c r="D396" s="242" t="s">
        <v>11</v>
      </c>
    </row>
    <row r="397" spans="1:4" x14ac:dyDescent="0.25">
      <c r="A397" s="241">
        <v>1980</v>
      </c>
      <c r="B397" s="259" t="s">
        <v>1264</v>
      </c>
      <c r="C397" s="258">
        <v>24531</v>
      </c>
      <c r="D397" s="242" t="s">
        <v>11</v>
      </c>
    </row>
    <row r="398" spans="1:4" x14ac:dyDescent="0.25">
      <c r="A398" s="241">
        <v>1980</v>
      </c>
      <c r="B398" s="259" t="s">
        <v>1264</v>
      </c>
      <c r="C398" s="258">
        <v>170497</v>
      </c>
      <c r="D398" s="242" t="s">
        <v>11</v>
      </c>
    </row>
    <row r="399" spans="1:4" x14ac:dyDescent="0.25">
      <c r="A399" s="241">
        <v>1980</v>
      </c>
      <c r="B399" s="259" t="s">
        <v>1266</v>
      </c>
      <c r="C399" s="258">
        <v>199655</v>
      </c>
      <c r="D399" s="242" t="s">
        <v>11</v>
      </c>
    </row>
    <row r="400" spans="1:4" x14ac:dyDescent="0.25">
      <c r="A400" s="241">
        <v>1980</v>
      </c>
      <c r="B400" s="259" t="s">
        <v>1283</v>
      </c>
      <c r="C400" s="258">
        <v>303834</v>
      </c>
      <c r="D400" s="242" t="s">
        <v>11</v>
      </c>
    </row>
    <row r="401" spans="1:4" x14ac:dyDescent="0.25">
      <c r="A401" s="241">
        <v>1980</v>
      </c>
      <c r="B401" s="259" t="s">
        <v>1284</v>
      </c>
      <c r="C401" s="258">
        <v>20800</v>
      </c>
      <c r="D401" s="242" t="s">
        <v>11</v>
      </c>
    </row>
    <row r="402" spans="1:4" x14ac:dyDescent="0.25">
      <c r="A402" s="241">
        <v>1980</v>
      </c>
      <c r="B402" s="259" t="s">
        <v>1285</v>
      </c>
      <c r="C402" s="258">
        <v>13473</v>
      </c>
      <c r="D402" s="242" t="s">
        <v>11</v>
      </c>
    </row>
    <row r="403" spans="1:4" x14ac:dyDescent="0.25">
      <c r="A403" s="241">
        <v>1980</v>
      </c>
      <c r="B403" s="259" t="s">
        <v>1285</v>
      </c>
      <c r="C403" s="258">
        <v>11491</v>
      </c>
      <c r="D403" s="242" t="s">
        <v>11</v>
      </c>
    </row>
    <row r="404" spans="1:4" x14ac:dyDescent="0.25">
      <c r="A404" s="241">
        <v>1980</v>
      </c>
      <c r="B404" s="259" t="s">
        <v>1285</v>
      </c>
      <c r="C404" s="258">
        <v>3194</v>
      </c>
      <c r="D404" s="242" t="s">
        <v>11</v>
      </c>
    </row>
    <row r="405" spans="1:4" x14ac:dyDescent="0.25">
      <c r="A405" s="241">
        <v>1980</v>
      </c>
      <c r="B405" s="259" t="s">
        <v>1286</v>
      </c>
      <c r="C405" s="258">
        <v>53365</v>
      </c>
      <c r="D405" s="242" t="s">
        <v>11</v>
      </c>
    </row>
    <row r="406" spans="1:4" x14ac:dyDescent="0.25">
      <c r="A406" s="241">
        <v>1980</v>
      </c>
      <c r="B406" s="259" t="s">
        <v>1287</v>
      </c>
      <c r="C406" s="258">
        <v>18400</v>
      </c>
      <c r="D406" s="242" t="s">
        <v>11</v>
      </c>
    </row>
    <row r="407" spans="1:4" x14ac:dyDescent="0.25">
      <c r="A407" s="241">
        <v>1980</v>
      </c>
      <c r="B407" s="259" t="s">
        <v>1288</v>
      </c>
      <c r="C407" s="258">
        <v>12025</v>
      </c>
      <c r="D407" s="242" t="s">
        <v>11</v>
      </c>
    </row>
    <row r="408" spans="1:4" x14ac:dyDescent="0.25">
      <c r="A408" s="241">
        <v>1980</v>
      </c>
      <c r="B408" s="259" t="s">
        <v>1289</v>
      </c>
      <c r="C408" s="258">
        <v>18368</v>
      </c>
      <c r="D408" s="242" t="s">
        <v>11</v>
      </c>
    </row>
    <row r="409" spans="1:4" x14ac:dyDescent="0.25">
      <c r="A409" s="241">
        <v>1980</v>
      </c>
      <c r="B409" s="259" t="s">
        <v>1289</v>
      </c>
      <c r="C409" s="258">
        <v>12412</v>
      </c>
      <c r="D409" s="242" t="s">
        <v>11</v>
      </c>
    </row>
    <row r="410" spans="1:4" x14ac:dyDescent="0.25">
      <c r="A410" s="241">
        <v>1980</v>
      </c>
      <c r="B410" s="259" t="s">
        <v>1290</v>
      </c>
      <c r="C410" s="258">
        <v>65762</v>
      </c>
      <c r="D410" s="242" t="s">
        <v>11</v>
      </c>
    </row>
    <row r="411" spans="1:4" x14ac:dyDescent="0.25">
      <c r="A411" s="241">
        <v>1980</v>
      </c>
      <c r="B411" s="259" t="s">
        <v>1291</v>
      </c>
      <c r="C411" s="258">
        <v>17000</v>
      </c>
      <c r="D411" s="242" t="s">
        <v>11</v>
      </c>
    </row>
    <row r="412" spans="1:4" x14ac:dyDescent="0.25">
      <c r="A412" s="241">
        <v>1980</v>
      </c>
      <c r="B412" s="259" t="s">
        <v>1291</v>
      </c>
      <c r="C412" s="258">
        <v>27900</v>
      </c>
      <c r="D412" s="242" t="s">
        <v>11</v>
      </c>
    </row>
    <row r="413" spans="1:4" x14ac:dyDescent="0.25">
      <c r="A413" s="241">
        <v>1980</v>
      </c>
      <c r="B413" s="259" t="s">
        <v>1292</v>
      </c>
      <c r="C413" s="258">
        <v>20639</v>
      </c>
      <c r="D413" s="242" t="s">
        <v>11</v>
      </c>
    </row>
    <row r="414" spans="1:4" x14ac:dyDescent="0.25">
      <c r="A414" s="241">
        <v>1980</v>
      </c>
      <c r="B414" s="259" t="s">
        <v>1293</v>
      </c>
      <c r="C414" s="258">
        <v>27150</v>
      </c>
      <c r="D414" s="242" t="s">
        <v>11</v>
      </c>
    </row>
    <row r="415" spans="1:4" x14ac:dyDescent="0.25">
      <c r="A415" s="241">
        <v>1981</v>
      </c>
      <c r="B415" s="259" t="s">
        <v>1273</v>
      </c>
      <c r="C415" s="258">
        <v>217042</v>
      </c>
      <c r="D415" s="242" t="s">
        <v>11</v>
      </c>
    </row>
    <row r="416" spans="1:4" x14ac:dyDescent="0.25">
      <c r="A416" s="241">
        <v>1981</v>
      </c>
      <c r="B416" s="259" t="s">
        <v>1260</v>
      </c>
      <c r="C416" s="258">
        <v>2525</v>
      </c>
      <c r="D416" s="242" t="s">
        <v>11</v>
      </c>
    </row>
    <row r="417" spans="1:4" x14ac:dyDescent="0.25">
      <c r="A417" s="241">
        <v>1981</v>
      </c>
      <c r="B417" s="259" t="s">
        <v>1275</v>
      </c>
      <c r="C417" s="258">
        <v>122088</v>
      </c>
      <c r="D417" s="242" t="s">
        <v>11</v>
      </c>
    </row>
    <row r="418" spans="1:4" x14ac:dyDescent="0.25">
      <c r="A418" s="241">
        <v>1981</v>
      </c>
      <c r="B418" s="259" t="s">
        <v>1294</v>
      </c>
      <c r="C418" s="258">
        <v>40424</v>
      </c>
      <c r="D418" s="242" t="s">
        <v>11</v>
      </c>
    </row>
    <row r="419" spans="1:4" x14ac:dyDescent="0.25">
      <c r="A419" s="241">
        <v>1981</v>
      </c>
      <c r="B419" s="259" t="s">
        <v>1277</v>
      </c>
      <c r="C419" s="258">
        <v>28253</v>
      </c>
      <c r="D419" s="242" t="s">
        <v>11</v>
      </c>
    </row>
    <row r="420" spans="1:4" x14ac:dyDescent="0.25">
      <c r="A420" s="241">
        <v>1981</v>
      </c>
      <c r="B420" s="259" t="s">
        <v>1280</v>
      </c>
      <c r="C420" s="258">
        <v>258863</v>
      </c>
      <c r="D420" s="242" t="s">
        <v>11</v>
      </c>
    </row>
    <row r="421" spans="1:4" x14ac:dyDescent="0.25">
      <c r="A421" s="241">
        <v>1981</v>
      </c>
      <c r="B421" s="259" t="s">
        <v>1295</v>
      </c>
      <c r="C421" s="258">
        <v>39437</v>
      </c>
      <c r="D421" s="242" t="s">
        <v>11</v>
      </c>
    </row>
    <row r="422" spans="1:4" x14ac:dyDescent="0.25">
      <c r="A422" s="241">
        <v>1981</v>
      </c>
      <c r="B422" s="259" t="s">
        <v>1281</v>
      </c>
      <c r="C422" s="258">
        <v>2906</v>
      </c>
      <c r="D422" s="242" t="s">
        <v>11</v>
      </c>
    </row>
    <row r="423" spans="1:4" x14ac:dyDescent="0.25">
      <c r="A423" s="241">
        <v>1981</v>
      </c>
      <c r="B423" s="259" t="s">
        <v>1264</v>
      </c>
      <c r="C423" s="258">
        <v>19481</v>
      </c>
      <c r="D423" s="242" t="s">
        <v>11</v>
      </c>
    </row>
    <row r="424" spans="1:4" x14ac:dyDescent="0.25">
      <c r="A424" s="241">
        <v>1981</v>
      </c>
      <c r="B424" s="259" t="s">
        <v>1296</v>
      </c>
      <c r="C424" s="258">
        <v>2889</v>
      </c>
      <c r="D424" s="242" t="s">
        <v>11</v>
      </c>
    </row>
    <row r="425" spans="1:4" x14ac:dyDescent="0.25">
      <c r="A425" s="241">
        <v>1981</v>
      </c>
      <c r="B425" s="259" t="s">
        <v>1286</v>
      </c>
      <c r="C425" s="258">
        <v>51453</v>
      </c>
      <c r="D425" s="242" t="s">
        <v>11</v>
      </c>
    </row>
    <row r="426" spans="1:4" x14ac:dyDescent="0.25">
      <c r="A426" s="241">
        <v>1981</v>
      </c>
      <c r="B426" s="259" t="s">
        <v>1272</v>
      </c>
      <c r="C426" s="258">
        <v>4325</v>
      </c>
      <c r="D426" s="242" t="s">
        <v>11</v>
      </c>
    </row>
    <row r="427" spans="1:4" x14ac:dyDescent="0.25">
      <c r="A427" s="241">
        <v>1981</v>
      </c>
      <c r="B427" s="259" t="s">
        <v>1291</v>
      </c>
      <c r="C427" s="258">
        <v>14028</v>
      </c>
      <c r="D427" s="242" t="s">
        <v>11</v>
      </c>
    </row>
    <row r="428" spans="1:4" x14ac:dyDescent="0.25">
      <c r="A428" s="241">
        <v>1982</v>
      </c>
      <c r="B428" s="259" t="s">
        <v>1260</v>
      </c>
      <c r="C428" s="258">
        <v>53690</v>
      </c>
      <c r="D428" s="242" t="s">
        <v>11</v>
      </c>
    </row>
    <row r="429" spans="1:4" x14ac:dyDescent="0.25">
      <c r="A429" s="241">
        <v>1982</v>
      </c>
      <c r="B429" s="259" t="s">
        <v>1297</v>
      </c>
      <c r="C429" s="258">
        <v>31500</v>
      </c>
      <c r="D429" s="242" t="s">
        <v>11</v>
      </c>
    </row>
    <row r="430" spans="1:4" x14ac:dyDescent="0.25">
      <c r="A430" s="241">
        <v>1982</v>
      </c>
      <c r="B430" s="259" t="s">
        <v>1280</v>
      </c>
      <c r="C430" s="258">
        <v>12867</v>
      </c>
      <c r="D430" s="242" t="s">
        <v>11</v>
      </c>
    </row>
    <row r="431" spans="1:4" x14ac:dyDescent="0.25">
      <c r="A431" s="241">
        <v>1982</v>
      </c>
      <c r="B431" s="259" t="s">
        <v>1298</v>
      </c>
      <c r="C431" s="258">
        <v>38243</v>
      </c>
      <c r="D431" s="242" t="s">
        <v>11</v>
      </c>
    </row>
    <row r="432" spans="1:4" x14ac:dyDescent="0.25">
      <c r="A432" s="241">
        <v>1982</v>
      </c>
      <c r="B432" s="259" t="s">
        <v>1299</v>
      </c>
      <c r="C432" s="258">
        <v>176854</v>
      </c>
      <c r="D432" s="242" t="s">
        <v>11</v>
      </c>
    </row>
    <row r="433" spans="1:4" x14ac:dyDescent="0.25">
      <c r="A433" s="241">
        <v>1982</v>
      </c>
      <c r="B433" s="259" t="s">
        <v>1300</v>
      </c>
      <c r="C433" s="258">
        <v>11200</v>
      </c>
      <c r="D433" s="242" t="s">
        <v>11</v>
      </c>
    </row>
    <row r="434" spans="1:4" x14ac:dyDescent="0.25">
      <c r="A434" s="241">
        <v>1982</v>
      </c>
      <c r="B434" s="259" t="s">
        <v>1301</v>
      </c>
      <c r="C434" s="258">
        <v>60000</v>
      </c>
      <c r="D434" s="242" t="s">
        <v>11</v>
      </c>
    </row>
    <row r="435" spans="1:4" x14ac:dyDescent="0.25">
      <c r="A435" s="241">
        <v>1982</v>
      </c>
      <c r="B435" s="259" t="s">
        <v>1302</v>
      </c>
      <c r="C435" s="258">
        <v>134385</v>
      </c>
      <c r="D435" s="242" t="s">
        <v>11</v>
      </c>
    </row>
    <row r="436" spans="1:4" x14ac:dyDescent="0.25">
      <c r="A436" s="241">
        <v>1982</v>
      </c>
      <c r="B436" s="259" t="s">
        <v>1303</v>
      </c>
      <c r="C436" s="258">
        <v>96992</v>
      </c>
      <c r="D436" s="242" t="s">
        <v>11</v>
      </c>
    </row>
    <row r="437" spans="1:4" x14ac:dyDescent="0.25">
      <c r="A437" s="241">
        <v>1982</v>
      </c>
      <c r="B437" s="259" t="s">
        <v>1272</v>
      </c>
      <c r="C437" s="258">
        <v>5187</v>
      </c>
      <c r="D437" s="242" t="s">
        <v>11</v>
      </c>
    </row>
    <row r="438" spans="1:4" x14ac:dyDescent="0.25">
      <c r="A438" s="241">
        <v>1982</v>
      </c>
      <c r="B438" s="259" t="s">
        <v>1304</v>
      </c>
      <c r="C438" s="258">
        <v>9300</v>
      </c>
      <c r="D438" s="242" t="s">
        <v>11</v>
      </c>
    </row>
    <row r="439" spans="1:4" x14ac:dyDescent="0.25">
      <c r="A439" s="241">
        <v>1982</v>
      </c>
      <c r="B439" s="259" t="s">
        <v>1304</v>
      </c>
      <c r="C439" s="258">
        <v>4437</v>
      </c>
      <c r="D439" s="242" t="s">
        <v>11</v>
      </c>
    </row>
    <row r="440" spans="1:4" x14ac:dyDescent="0.25">
      <c r="A440" s="241">
        <v>1982</v>
      </c>
      <c r="B440" s="259" t="s">
        <v>1305</v>
      </c>
      <c r="C440" s="258">
        <v>44239</v>
      </c>
      <c r="D440" s="242" t="s">
        <v>11</v>
      </c>
    </row>
    <row r="441" spans="1:4" x14ac:dyDescent="0.25">
      <c r="A441" s="241">
        <v>1983</v>
      </c>
      <c r="B441" s="259" t="s">
        <v>1306</v>
      </c>
      <c r="C441" s="258">
        <v>14987</v>
      </c>
      <c r="D441" s="242" t="s">
        <v>11</v>
      </c>
    </row>
    <row r="442" spans="1:4" x14ac:dyDescent="0.25">
      <c r="A442" s="241">
        <v>1983</v>
      </c>
      <c r="B442" s="259" t="s">
        <v>1264</v>
      </c>
      <c r="C442" s="258">
        <v>26344</v>
      </c>
      <c r="D442" s="242" t="s">
        <v>11</v>
      </c>
    </row>
    <row r="443" spans="1:4" x14ac:dyDescent="0.25">
      <c r="A443" s="241">
        <v>1983</v>
      </c>
      <c r="B443" s="259" t="s">
        <v>1307</v>
      </c>
      <c r="C443" s="258">
        <v>18789</v>
      </c>
      <c r="D443" s="242" t="s">
        <v>11</v>
      </c>
    </row>
    <row r="444" spans="1:4" x14ac:dyDescent="0.25">
      <c r="A444" s="241">
        <v>1984</v>
      </c>
      <c r="B444" s="259" t="s">
        <v>1264</v>
      </c>
      <c r="C444" s="258">
        <v>7977</v>
      </c>
      <c r="D444" s="242" t="s">
        <v>11</v>
      </c>
    </row>
    <row r="445" spans="1:4" x14ac:dyDescent="0.25">
      <c r="A445" s="241">
        <v>1984</v>
      </c>
      <c r="B445" s="259" t="s">
        <v>1308</v>
      </c>
      <c r="C445" s="258">
        <v>42151</v>
      </c>
      <c r="D445" s="242" t="s">
        <v>11</v>
      </c>
    </row>
    <row r="446" spans="1:4" x14ac:dyDescent="0.25">
      <c r="A446" s="241">
        <v>1984</v>
      </c>
      <c r="B446" s="259" t="s">
        <v>1309</v>
      </c>
      <c r="C446" s="258">
        <v>7811</v>
      </c>
      <c r="D446" s="242" t="s">
        <v>11</v>
      </c>
    </row>
    <row r="447" spans="1:4" x14ac:dyDescent="0.25">
      <c r="A447" s="241">
        <v>1985</v>
      </c>
      <c r="B447" s="259" t="s">
        <v>1275</v>
      </c>
      <c r="C447" s="258">
        <v>47296</v>
      </c>
      <c r="D447" s="242" t="s">
        <v>11</v>
      </c>
    </row>
    <row r="448" spans="1:4" x14ac:dyDescent="0.25">
      <c r="A448" s="241">
        <v>1985</v>
      </c>
      <c r="B448" s="259" t="s">
        <v>1310</v>
      </c>
      <c r="C448" s="258">
        <v>45000</v>
      </c>
      <c r="D448" s="242" t="s">
        <v>11</v>
      </c>
    </row>
    <row r="449" spans="1:4" x14ac:dyDescent="0.25">
      <c r="A449" s="241">
        <v>1985</v>
      </c>
      <c r="B449" s="259" t="s">
        <v>1311</v>
      </c>
      <c r="C449" s="258">
        <v>108000</v>
      </c>
      <c r="D449" s="242" t="s">
        <v>11</v>
      </c>
    </row>
    <row r="450" spans="1:4" x14ac:dyDescent="0.25">
      <c r="A450" s="241">
        <v>1985</v>
      </c>
      <c r="B450" s="259" t="s">
        <v>1312</v>
      </c>
      <c r="C450" s="258">
        <v>14023</v>
      </c>
      <c r="D450" s="242" t="s">
        <v>11</v>
      </c>
    </row>
    <row r="451" spans="1:4" x14ac:dyDescent="0.25">
      <c r="A451" s="241">
        <v>1985</v>
      </c>
      <c r="B451" s="259" t="s">
        <v>1299</v>
      </c>
      <c r="C451" s="258">
        <v>30302</v>
      </c>
      <c r="D451" s="242" t="s">
        <v>11</v>
      </c>
    </row>
    <row r="452" spans="1:4" x14ac:dyDescent="0.25">
      <c r="A452" s="241">
        <v>1985</v>
      </c>
      <c r="B452" s="259" t="s">
        <v>1264</v>
      </c>
      <c r="C452" s="258">
        <v>30238</v>
      </c>
      <c r="D452" s="242" t="s">
        <v>11</v>
      </c>
    </row>
    <row r="453" spans="1:4" x14ac:dyDescent="0.25">
      <c r="A453" s="241">
        <v>1985</v>
      </c>
      <c r="B453" s="259" t="s">
        <v>1313</v>
      </c>
      <c r="C453" s="258">
        <v>24465</v>
      </c>
      <c r="D453" s="242" t="s">
        <v>11</v>
      </c>
    </row>
    <row r="454" spans="1:4" x14ac:dyDescent="0.25">
      <c r="A454" s="241">
        <v>1985</v>
      </c>
      <c r="B454" s="259" t="s">
        <v>1314</v>
      </c>
      <c r="C454" s="258">
        <v>63832</v>
      </c>
      <c r="D454" s="242" t="s">
        <v>11</v>
      </c>
    </row>
    <row r="455" spans="1:4" x14ac:dyDescent="0.25">
      <c r="A455" s="241">
        <v>1985</v>
      </c>
      <c r="B455" s="259" t="s">
        <v>1315</v>
      </c>
      <c r="C455" s="258">
        <v>418629</v>
      </c>
      <c r="D455" s="242" t="s">
        <v>11</v>
      </c>
    </row>
    <row r="456" spans="1:4" x14ac:dyDescent="0.25">
      <c r="A456" s="241">
        <v>1985</v>
      </c>
      <c r="B456" s="259" t="s">
        <v>1307</v>
      </c>
      <c r="C456" s="258">
        <v>326900</v>
      </c>
      <c r="D456" s="242" t="s">
        <v>11</v>
      </c>
    </row>
    <row r="457" spans="1:4" x14ac:dyDescent="0.25">
      <c r="A457" s="241">
        <v>1985</v>
      </c>
      <c r="B457" s="259" t="s">
        <v>1307</v>
      </c>
      <c r="C457" s="258">
        <v>25254</v>
      </c>
      <c r="D457" s="242" t="s">
        <v>11</v>
      </c>
    </row>
    <row r="458" spans="1:4" x14ac:dyDescent="0.25">
      <c r="A458" s="241">
        <v>1985</v>
      </c>
      <c r="B458" s="259" t="s">
        <v>1307</v>
      </c>
      <c r="C458" s="258">
        <v>4230</v>
      </c>
      <c r="D458" s="242" t="s">
        <v>11</v>
      </c>
    </row>
    <row r="459" spans="1:4" x14ac:dyDescent="0.25">
      <c r="A459" s="241">
        <v>1985</v>
      </c>
      <c r="B459" s="259" t="s">
        <v>1290</v>
      </c>
      <c r="C459" s="258">
        <v>151229</v>
      </c>
      <c r="D459" s="242" t="s">
        <v>11</v>
      </c>
    </row>
    <row r="460" spans="1:4" x14ac:dyDescent="0.25">
      <c r="A460" s="241">
        <v>1986</v>
      </c>
      <c r="B460" s="259" t="s">
        <v>1275</v>
      </c>
      <c r="C460" s="258">
        <v>141807</v>
      </c>
      <c r="D460" s="242" t="s">
        <v>11</v>
      </c>
    </row>
    <row r="461" spans="1:4" x14ac:dyDescent="0.25">
      <c r="A461" s="241">
        <v>1986</v>
      </c>
      <c r="B461" s="259" t="s">
        <v>1279</v>
      </c>
      <c r="C461" s="258">
        <v>11234</v>
      </c>
      <c r="D461" s="242" t="s">
        <v>11</v>
      </c>
    </row>
    <row r="462" spans="1:4" x14ac:dyDescent="0.25">
      <c r="A462" s="241">
        <v>1986</v>
      </c>
      <c r="B462" s="259" t="s">
        <v>1279</v>
      </c>
      <c r="C462" s="258">
        <v>46670</v>
      </c>
      <c r="D462" s="242" t="s">
        <v>11</v>
      </c>
    </row>
    <row r="463" spans="1:4" x14ac:dyDescent="0.25">
      <c r="A463" s="241">
        <v>1986</v>
      </c>
      <c r="B463" s="259" t="s">
        <v>1316</v>
      </c>
      <c r="C463" s="258">
        <v>17582</v>
      </c>
      <c r="D463" s="242" t="s">
        <v>11</v>
      </c>
    </row>
    <row r="464" spans="1:4" x14ac:dyDescent="0.25">
      <c r="A464" s="241">
        <v>1986</v>
      </c>
      <c r="B464" s="259" t="s">
        <v>1317</v>
      </c>
      <c r="C464" s="258">
        <v>8960</v>
      </c>
      <c r="D464" s="242" t="s">
        <v>11</v>
      </c>
    </row>
    <row r="465" spans="1:4" x14ac:dyDescent="0.25">
      <c r="A465" s="241">
        <v>1986</v>
      </c>
      <c r="B465" s="259" t="s">
        <v>1318</v>
      </c>
      <c r="C465" s="258">
        <v>11127</v>
      </c>
      <c r="D465" s="242" t="s">
        <v>11</v>
      </c>
    </row>
    <row r="466" spans="1:4" x14ac:dyDescent="0.25">
      <c r="A466" s="241">
        <v>1988</v>
      </c>
      <c r="B466" s="259" t="s">
        <v>1319</v>
      </c>
      <c r="C466" s="258">
        <v>12162</v>
      </c>
      <c r="D466" s="242" t="s">
        <v>11</v>
      </c>
    </row>
    <row r="467" spans="1:4" x14ac:dyDescent="0.25">
      <c r="A467" s="241">
        <v>1988</v>
      </c>
      <c r="B467" s="259" t="s">
        <v>1320</v>
      </c>
      <c r="C467" s="258">
        <v>17407</v>
      </c>
      <c r="D467" s="242" t="s">
        <v>11</v>
      </c>
    </row>
    <row r="468" spans="1:4" x14ac:dyDescent="0.25">
      <c r="A468" s="241">
        <v>1988</v>
      </c>
      <c r="B468" s="259" t="s">
        <v>1321</v>
      </c>
      <c r="C468" s="258">
        <v>47132</v>
      </c>
      <c r="D468" s="242" t="s">
        <v>11</v>
      </c>
    </row>
    <row r="469" spans="1:4" x14ac:dyDescent="0.25">
      <c r="A469" s="241">
        <v>1988</v>
      </c>
      <c r="B469" s="259" t="s">
        <v>1322</v>
      </c>
      <c r="C469" s="258">
        <v>51121</v>
      </c>
      <c r="D469" s="242" t="s">
        <v>11</v>
      </c>
    </row>
    <row r="470" spans="1:4" x14ac:dyDescent="0.25">
      <c r="A470" s="241">
        <v>1988</v>
      </c>
      <c r="B470" s="259" t="s">
        <v>1323</v>
      </c>
      <c r="C470" s="258">
        <v>28821</v>
      </c>
      <c r="D470" s="260" t="s">
        <v>1127</v>
      </c>
    </row>
    <row r="471" spans="1:4" x14ac:dyDescent="0.25">
      <c r="A471" s="241">
        <v>1988</v>
      </c>
      <c r="B471" s="259" t="s">
        <v>1324</v>
      </c>
      <c r="C471" s="258">
        <v>122262</v>
      </c>
      <c r="D471" s="260" t="s">
        <v>1127</v>
      </c>
    </row>
    <row r="472" spans="1:4" x14ac:dyDescent="0.25">
      <c r="A472" s="241">
        <v>1988</v>
      </c>
      <c r="B472" s="259" t="s">
        <v>1325</v>
      </c>
      <c r="C472" s="258">
        <v>28676</v>
      </c>
      <c r="D472" s="260" t="s">
        <v>1127</v>
      </c>
    </row>
    <row r="473" spans="1:4" x14ac:dyDescent="0.25">
      <c r="A473" s="241">
        <v>1988</v>
      </c>
      <c r="B473" s="259" t="s">
        <v>1326</v>
      </c>
      <c r="C473" s="258">
        <v>25003</v>
      </c>
      <c r="D473" s="242" t="s">
        <v>11</v>
      </c>
    </row>
    <row r="474" spans="1:4" x14ac:dyDescent="0.25">
      <c r="A474" s="241">
        <v>1988</v>
      </c>
      <c r="B474" s="259" t="s">
        <v>1327</v>
      </c>
      <c r="C474" s="258">
        <v>122908</v>
      </c>
      <c r="D474" s="242" t="s">
        <v>11</v>
      </c>
    </row>
    <row r="475" spans="1:4" x14ac:dyDescent="0.25">
      <c r="A475" s="241">
        <v>1988</v>
      </c>
      <c r="B475" s="259" t="s">
        <v>1328</v>
      </c>
      <c r="C475" s="258">
        <v>5182</v>
      </c>
      <c r="D475" s="242" t="s">
        <v>11</v>
      </c>
    </row>
    <row r="476" spans="1:4" x14ac:dyDescent="0.25">
      <c r="A476" s="241">
        <v>1988</v>
      </c>
      <c r="B476" s="259" t="s">
        <v>1329</v>
      </c>
      <c r="C476" s="258">
        <v>23594</v>
      </c>
      <c r="D476" s="260" t="s">
        <v>1127</v>
      </c>
    </row>
    <row r="477" spans="1:4" x14ac:dyDescent="0.25">
      <c r="A477" s="241">
        <v>1988</v>
      </c>
      <c r="B477" s="259" t="s">
        <v>1266</v>
      </c>
      <c r="C477" s="258">
        <v>67801</v>
      </c>
      <c r="D477" s="260" t="s">
        <v>1127</v>
      </c>
    </row>
    <row r="478" spans="1:4" x14ac:dyDescent="0.25">
      <c r="A478" s="241">
        <v>1988</v>
      </c>
      <c r="B478" s="259" t="s">
        <v>1330</v>
      </c>
      <c r="C478" s="258">
        <v>89642</v>
      </c>
      <c r="D478" s="260" t="s">
        <v>1127</v>
      </c>
    </row>
    <row r="479" spans="1:4" x14ac:dyDescent="0.25">
      <c r="A479" s="241">
        <v>1988</v>
      </c>
      <c r="B479" s="216" t="s">
        <v>1331</v>
      </c>
      <c r="C479" s="258">
        <v>25494</v>
      </c>
      <c r="D479" s="260" t="s">
        <v>1127</v>
      </c>
    </row>
    <row r="480" spans="1:4" x14ac:dyDescent="0.25">
      <c r="A480" s="241">
        <v>1988</v>
      </c>
      <c r="B480" s="259" t="s">
        <v>1332</v>
      </c>
      <c r="C480" s="258">
        <v>49201</v>
      </c>
      <c r="D480" s="242" t="s">
        <v>11</v>
      </c>
    </row>
    <row r="481" spans="1:4" x14ac:dyDescent="0.25">
      <c r="A481" s="241">
        <v>1988</v>
      </c>
      <c r="B481" s="259" t="s">
        <v>1270</v>
      </c>
      <c r="C481" s="258">
        <v>52556</v>
      </c>
      <c r="D481" s="242" t="s">
        <v>11</v>
      </c>
    </row>
    <row r="482" spans="1:4" x14ac:dyDescent="0.25">
      <c r="A482" s="241">
        <v>1988</v>
      </c>
      <c r="B482" s="259" t="s">
        <v>1333</v>
      </c>
      <c r="C482" s="258">
        <v>48658</v>
      </c>
      <c r="D482" s="242" t="s">
        <v>11</v>
      </c>
    </row>
    <row r="483" spans="1:4" x14ac:dyDescent="0.25">
      <c r="A483" s="241">
        <v>1988</v>
      </c>
      <c r="B483" s="259" t="s">
        <v>1334</v>
      </c>
      <c r="C483" s="258">
        <v>7228</v>
      </c>
      <c r="D483" s="242" t="s">
        <v>11</v>
      </c>
    </row>
    <row r="484" spans="1:4" x14ac:dyDescent="0.25">
      <c r="A484" s="241">
        <v>1988</v>
      </c>
      <c r="B484" s="259" t="s">
        <v>1334</v>
      </c>
      <c r="C484" s="258">
        <v>5044</v>
      </c>
      <c r="D484" s="242" t="s">
        <v>11</v>
      </c>
    </row>
    <row r="485" spans="1:4" x14ac:dyDescent="0.25">
      <c r="A485" s="241">
        <v>1989</v>
      </c>
      <c r="B485" s="259" t="s">
        <v>1335</v>
      </c>
      <c r="C485" s="258">
        <v>88626</v>
      </c>
      <c r="D485" s="260" t="s">
        <v>1127</v>
      </c>
    </row>
    <row r="486" spans="1:4" x14ac:dyDescent="0.25">
      <c r="A486" s="241">
        <v>1989</v>
      </c>
      <c r="B486" s="259" t="s">
        <v>1336</v>
      </c>
      <c r="C486" s="258">
        <v>98079</v>
      </c>
      <c r="D486" s="260" t="s">
        <v>1127</v>
      </c>
    </row>
    <row r="487" spans="1:4" x14ac:dyDescent="0.25">
      <c r="A487" s="241">
        <v>1989</v>
      </c>
      <c r="B487" s="259" t="s">
        <v>1337</v>
      </c>
      <c r="C487" s="258">
        <v>157007</v>
      </c>
      <c r="D487" s="260" t="s">
        <v>1127</v>
      </c>
    </row>
    <row r="488" spans="1:4" x14ac:dyDescent="0.25">
      <c r="A488" s="241">
        <v>1989</v>
      </c>
      <c r="B488" s="259" t="s">
        <v>1321</v>
      </c>
      <c r="C488" s="258">
        <v>63850</v>
      </c>
      <c r="D488" s="242" t="s">
        <v>11</v>
      </c>
    </row>
    <row r="489" spans="1:4" x14ac:dyDescent="0.25">
      <c r="A489" s="241">
        <v>1989</v>
      </c>
      <c r="B489" s="259" t="s">
        <v>1338</v>
      </c>
      <c r="C489" s="258">
        <v>19170</v>
      </c>
      <c r="D489" s="242" t="s">
        <v>11</v>
      </c>
    </row>
    <row r="490" spans="1:4" x14ac:dyDescent="0.25">
      <c r="A490" s="241">
        <v>1989</v>
      </c>
      <c r="B490" s="259" t="s">
        <v>1277</v>
      </c>
      <c r="C490" s="258">
        <v>58780</v>
      </c>
      <c r="D490" s="242" t="s">
        <v>11</v>
      </c>
    </row>
    <row r="491" spans="1:4" x14ac:dyDescent="0.25">
      <c r="A491" s="241">
        <v>1989</v>
      </c>
      <c r="B491" s="259" t="s">
        <v>1339</v>
      </c>
      <c r="C491" s="258">
        <v>64268</v>
      </c>
      <c r="D491" s="260" t="s">
        <v>1127</v>
      </c>
    </row>
    <row r="492" spans="1:4" x14ac:dyDescent="0.25">
      <c r="A492" s="241">
        <v>1989</v>
      </c>
      <c r="B492" s="259" t="s">
        <v>1326</v>
      </c>
      <c r="C492" s="258">
        <v>14995</v>
      </c>
      <c r="D492" s="242" t="s">
        <v>11</v>
      </c>
    </row>
    <row r="493" spans="1:4" x14ac:dyDescent="0.25">
      <c r="A493" s="241">
        <v>1989</v>
      </c>
      <c r="B493" s="259" t="s">
        <v>1340</v>
      </c>
      <c r="C493" s="258">
        <v>97308</v>
      </c>
      <c r="D493" s="242" t="s">
        <v>11</v>
      </c>
    </row>
    <row r="494" spans="1:4" x14ac:dyDescent="0.25">
      <c r="A494" s="241">
        <v>1989</v>
      </c>
      <c r="B494" s="259" t="s">
        <v>1341</v>
      </c>
      <c r="C494" s="258">
        <v>131000</v>
      </c>
      <c r="D494" s="242" t="s">
        <v>11</v>
      </c>
    </row>
    <row r="495" spans="1:4" x14ac:dyDescent="0.25">
      <c r="A495" s="241">
        <v>1989</v>
      </c>
      <c r="B495" s="259" t="s">
        <v>1342</v>
      </c>
      <c r="C495" s="258">
        <v>75000</v>
      </c>
      <c r="D495" s="242" t="s">
        <v>11</v>
      </c>
    </row>
    <row r="496" spans="1:4" x14ac:dyDescent="0.25">
      <c r="A496" s="241">
        <v>1989</v>
      </c>
      <c r="B496" s="259" t="s">
        <v>1343</v>
      </c>
      <c r="C496" s="258">
        <v>17260</v>
      </c>
      <c r="D496" s="260" t="s">
        <v>1127</v>
      </c>
    </row>
    <row r="497" spans="1:4" x14ac:dyDescent="0.25">
      <c r="A497" s="241">
        <v>1989</v>
      </c>
      <c r="B497" s="259" t="s">
        <v>1284</v>
      </c>
      <c r="C497" s="258">
        <v>101745</v>
      </c>
      <c r="D497" s="242" t="s">
        <v>11</v>
      </c>
    </row>
    <row r="498" spans="1:4" x14ac:dyDescent="0.25">
      <c r="A498" s="241">
        <v>1989</v>
      </c>
      <c r="B498" s="216" t="s">
        <v>1344</v>
      </c>
      <c r="C498" s="258">
        <v>93500</v>
      </c>
      <c r="D498" s="242" t="s">
        <v>11</v>
      </c>
    </row>
    <row r="499" spans="1:4" x14ac:dyDescent="0.25">
      <c r="A499" s="241">
        <v>1989</v>
      </c>
      <c r="B499" s="259" t="s">
        <v>1345</v>
      </c>
      <c r="C499" s="258">
        <v>35339</v>
      </c>
      <c r="D499" s="260" t="s">
        <v>1127</v>
      </c>
    </row>
    <row r="500" spans="1:4" x14ac:dyDescent="0.25">
      <c r="A500" s="241">
        <v>1989</v>
      </c>
      <c r="B500" s="259" t="s">
        <v>1346</v>
      </c>
      <c r="C500" s="258">
        <v>77000</v>
      </c>
      <c r="D500" s="242" t="s">
        <v>11</v>
      </c>
    </row>
    <row r="501" spans="1:4" x14ac:dyDescent="0.25">
      <c r="A501" s="241">
        <v>1989</v>
      </c>
      <c r="B501" s="259" t="s">
        <v>1347</v>
      </c>
      <c r="C501" s="258">
        <v>43508</v>
      </c>
      <c r="D501" s="260" t="s">
        <v>1127</v>
      </c>
    </row>
    <row r="502" spans="1:4" x14ac:dyDescent="0.25">
      <c r="A502" s="241">
        <v>1989</v>
      </c>
      <c r="B502" s="259" t="s">
        <v>1305</v>
      </c>
      <c r="C502" s="258">
        <v>77847</v>
      </c>
      <c r="D502" s="242" t="s">
        <v>11</v>
      </c>
    </row>
    <row r="503" spans="1:4" x14ac:dyDescent="0.25">
      <c r="A503" s="241">
        <v>1990</v>
      </c>
      <c r="B503" s="259" t="s">
        <v>1336</v>
      </c>
      <c r="C503" s="258">
        <v>7823</v>
      </c>
      <c r="D503" s="260" t="s">
        <v>1127</v>
      </c>
    </row>
    <row r="504" spans="1:4" x14ac:dyDescent="0.25">
      <c r="A504" s="241">
        <v>1990</v>
      </c>
      <c r="B504" s="259" t="s">
        <v>1348</v>
      </c>
      <c r="C504" s="258">
        <v>47050</v>
      </c>
      <c r="D504" s="260" t="s">
        <v>1127</v>
      </c>
    </row>
    <row r="505" spans="1:4" x14ac:dyDescent="0.25">
      <c r="A505" s="241">
        <v>1990</v>
      </c>
      <c r="B505" s="259" t="s">
        <v>1349</v>
      </c>
      <c r="C505" s="258">
        <v>19641</v>
      </c>
      <c r="D505" s="260" t="s">
        <v>1127</v>
      </c>
    </row>
    <row r="506" spans="1:4" x14ac:dyDescent="0.25">
      <c r="A506" s="241">
        <v>1990</v>
      </c>
      <c r="B506" s="259" t="s">
        <v>1330</v>
      </c>
      <c r="C506" s="258">
        <v>2195</v>
      </c>
      <c r="D506" s="260" t="s">
        <v>1127</v>
      </c>
    </row>
    <row r="507" spans="1:4" x14ac:dyDescent="0.25">
      <c r="A507" s="241">
        <v>1990</v>
      </c>
      <c r="B507" s="259" t="s">
        <v>1350</v>
      </c>
      <c r="C507" s="258">
        <v>287000</v>
      </c>
      <c r="D507" s="242" t="s">
        <v>11</v>
      </c>
    </row>
    <row r="508" spans="1:4" x14ac:dyDescent="0.25">
      <c r="A508" s="241">
        <v>1990</v>
      </c>
      <c r="B508" s="216" t="s">
        <v>1344</v>
      </c>
      <c r="C508" s="258">
        <v>12453</v>
      </c>
      <c r="D508" s="242" t="s">
        <v>11</v>
      </c>
    </row>
    <row r="509" spans="1:4" x14ac:dyDescent="0.25">
      <c r="A509" s="241">
        <v>1990</v>
      </c>
      <c r="B509" s="259" t="s">
        <v>1346</v>
      </c>
      <c r="C509" s="258">
        <v>310917</v>
      </c>
      <c r="D509" s="242" t="s">
        <v>11</v>
      </c>
    </row>
    <row r="510" spans="1:4" x14ac:dyDescent="0.25">
      <c r="A510" s="241">
        <v>1990</v>
      </c>
      <c r="B510" s="259" t="s">
        <v>1332</v>
      </c>
      <c r="C510" s="258">
        <v>11047</v>
      </c>
      <c r="D510" s="242" t="s">
        <v>11</v>
      </c>
    </row>
    <row r="511" spans="1:4" x14ac:dyDescent="0.25">
      <c r="A511" s="241">
        <v>1990</v>
      </c>
      <c r="B511" s="259" t="s">
        <v>1351</v>
      </c>
      <c r="C511" s="258">
        <v>29281</v>
      </c>
      <c r="D511" s="260" t="s">
        <v>1127</v>
      </c>
    </row>
    <row r="512" spans="1:4" x14ac:dyDescent="0.25">
      <c r="A512" s="241">
        <v>1990</v>
      </c>
      <c r="B512" s="259" t="s">
        <v>1352</v>
      </c>
      <c r="C512" s="258">
        <v>53439</v>
      </c>
      <c r="D512" s="260" t="s">
        <v>1127</v>
      </c>
    </row>
    <row r="513" spans="1:4" x14ac:dyDescent="0.25">
      <c r="A513" s="241">
        <v>1990</v>
      </c>
      <c r="B513" s="259" t="s">
        <v>1353</v>
      </c>
      <c r="C513" s="258">
        <v>15600</v>
      </c>
      <c r="D513" s="260" t="s">
        <v>1127</v>
      </c>
    </row>
    <row r="514" spans="1:4" x14ac:dyDescent="0.25">
      <c r="A514" s="241">
        <v>1990</v>
      </c>
      <c r="B514" s="259" t="s">
        <v>1305</v>
      </c>
      <c r="C514" s="258">
        <v>5272</v>
      </c>
      <c r="D514" s="242" t="s">
        <v>11</v>
      </c>
    </row>
    <row r="515" spans="1:4" x14ac:dyDescent="0.25">
      <c r="A515" s="241">
        <v>1991</v>
      </c>
      <c r="B515" s="259" t="s">
        <v>1354</v>
      </c>
      <c r="C515" s="258">
        <v>55539</v>
      </c>
      <c r="D515" s="260" t="s">
        <v>1127</v>
      </c>
    </row>
    <row r="516" spans="1:4" x14ac:dyDescent="0.25">
      <c r="A516" s="241">
        <v>1991</v>
      </c>
      <c r="B516" s="259" t="s">
        <v>1335</v>
      </c>
      <c r="C516" s="258">
        <v>54015</v>
      </c>
      <c r="D516" s="260" t="s">
        <v>1127</v>
      </c>
    </row>
    <row r="517" spans="1:4" x14ac:dyDescent="0.25">
      <c r="A517" s="241">
        <v>1991</v>
      </c>
      <c r="B517" s="259" t="s">
        <v>1355</v>
      </c>
      <c r="C517" s="258">
        <v>22136</v>
      </c>
      <c r="D517" s="260" t="s">
        <v>1127</v>
      </c>
    </row>
    <row r="518" spans="1:4" x14ac:dyDescent="0.25">
      <c r="A518" s="241">
        <v>1991</v>
      </c>
      <c r="B518" s="259" t="s">
        <v>1356</v>
      </c>
      <c r="C518" s="258">
        <v>3284</v>
      </c>
      <c r="D518" s="260" t="s">
        <v>1127</v>
      </c>
    </row>
    <row r="519" spans="1:4" x14ac:dyDescent="0.25">
      <c r="A519" s="241">
        <v>1991</v>
      </c>
      <c r="B519" s="216" t="s">
        <v>1357</v>
      </c>
      <c r="C519" s="232">
        <v>5090</v>
      </c>
      <c r="D519" s="260" t="s">
        <v>1127</v>
      </c>
    </row>
    <row r="520" spans="1:4" x14ac:dyDescent="0.25">
      <c r="A520" s="241">
        <v>1991</v>
      </c>
      <c r="B520" s="259" t="s">
        <v>1358</v>
      </c>
      <c r="C520" s="258">
        <v>69032</v>
      </c>
      <c r="D520" s="242" t="s">
        <v>11</v>
      </c>
    </row>
    <row r="521" spans="1:4" x14ac:dyDescent="0.25">
      <c r="A521" s="241">
        <v>1991</v>
      </c>
      <c r="B521" s="259" t="s">
        <v>1359</v>
      </c>
      <c r="C521" s="258">
        <v>33237</v>
      </c>
      <c r="D521" s="260" t="s">
        <v>1127</v>
      </c>
    </row>
    <row r="522" spans="1:4" x14ac:dyDescent="0.25">
      <c r="A522" s="241">
        <v>1991</v>
      </c>
      <c r="B522" s="259" t="s">
        <v>1360</v>
      </c>
      <c r="C522" s="258">
        <v>61445</v>
      </c>
      <c r="D522" s="260" t="s">
        <v>1127</v>
      </c>
    </row>
    <row r="523" spans="1:4" x14ac:dyDescent="0.25">
      <c r="A523" s="241">
        <v>1991</v>
      </c>
      <c r="B523" s="259" t="s">
        <v>1361</v>
      </c>
      <c r="C523" s="258">
        <v>201773</v>
      </c>
      <c r="D523" s="260" t="s">
        <v>1127</v>
      </c>
    </row>
    <row r="524" spans="1:4" x14ac:dyDescent="0.25">
      <c r="A524" s="241">
        <v>1991</v>
      </c>
      <c r="B524" s="259" t="s">
        <v>1362</v>
      </c>
      <c r="C524" s="258">
        <v>35767</v>
      </c>
      <c r="D524" s="260" t="s">
        <v>1127</v>
      </c>
    </row>
    <row r="525" spans="1:4" x14ac:dyDescent="0.25">
      <c r="A525" s="241">
        <v>1991</v>
      </c>
      <c r="B525" s="259" t="s">
        <v>1363</v>
      </c>
      <c r="C525" s="258">
        <v>100800</v>
      </c>
      <c r="D525" s="242" t="s">
        <v>11</v>
      </c>
    </row>
    <row r="526" spans="1:4" x14ac:dyDescent="0.25">
      <c r="A526" s="241">
        <v>1991</v>
      </c>
      <c r="B526" s="259" t="s">
        <v>1364</v>
      </c>
      <c r="C526" s="258">
        <v>75971</v>
      </c>
      <c r="D526" s="260" t="s">
        <v>1127</v>
      </c>
    </row>
    <row r="527" spans="1:4" x14ac:dyDescent="0.25">
      <c r="A527" s="241">
        <v>1991</v>
      </c>
      <c r="B527" s="259" t="s">
        <v>1365</v>
      </c>
      <c r="C527" s="258">
        <v>164000</v>
      </c>
      <c r="D527" s="242" t="s">
        <v>11</v>
      </c>
    </row>
    <row r="528" spans="1:4" x14ac:dyDescent="0.25">
      <c r="A528" s="241">
        <v>1991</v>
      </c>
      <c r="B528" s="259" t="s">
        <v>1366</v>
      </c>
      <c r="C528" s="258">
        <v>184556</v>
      </c>
      <c r="D528" s="242" t="s">
        <v>11</v>
      </c>
    </row>
    <row r="529" spans="1:4" x14ac:dyDescent="0.25">
      <c r="A529" s="241">
        <v>1991</v>
      </c>
      <c r="B529" s="259" t="s">
        <v>1367</v>
      </c>
      <c r="C529" s="258">
        <v>112044</v>
      </c>
      <c r="D529" s="260" t="s">
        <v>1127</v>
      </c>
    </row>
    <row r="530" spans="1:4" x14ac:dyDescent="0.25">
      <c r="A530" s="241">
        <v>1991</v>
      </c>
      <c r="B530" s="259" t="s">
        <v>1368</v>
      </c>
      <c r="C530" s="258">
        <v>412540</v>
      </c>
      <c r="D530" s="242" t="s">
        <v>11</v>
      </c>
    </row>
    <row r="531" spans="1:4" x14ac:dyDescent="0.25">
      <c r="A531" s="241">
        <v>1991</v>
      </c>
      <c r="B531" s="259" t="s">
        <v>1330</v>
      </c>
      <c r="C531" s="258">
        <v>48669</v>
      </c>
      <c r="D531" s="260" t="s">
        <v>1127</v>
      </c>
    </row>
    <row r="532" spans="1:4" x14ac:dyDescent="0.25">
      <c r="A532" s="241">
        <v>1991</v>
      </c>
      <c r="B532" s="259" t="s">
        <v>1369</v>
      </c>
      <c r="C532" s="258">
        <v>19669</v>
      </c>
      <c r="D532" s="260" t="s">
        <v>1127</v>
      </c>
    </row>
    <row r="533" spans="1:4" x14ac:dyDescent="0.25">
      <c r="A533" s="241">
        <v>1991</v>
      </c>
      <c r="B533" s="216" t="s">
        <v>1370</v>
      </c>
      <c r="C533" s="258">
        <v>7400</v>
      </c>
      <c r="D533" s="260" t="s">
        <v>1127</v>
      </c>
    </row>
    <row r="534" spans="1:4" x14ac:dyDescent="0.25">
      <c r="A534" s="241">
        <v>1991</v>
      </c>
      <c r="B534" s="216" t="s">
        <v>1371</v>
      </c>
      <c r="C534" s="232">
        <v>5411</v>
      </c>
      <c r="D534" s="260" t="s">
        <v>1127</v>
      </c>
    </row>
    <row r="535" spans="1:4" x14ac:dyDescent="0.25">
      <c r="A535" s="241">
        <v>1991</v>
      </c>
      <c r="B535" s="216" t="s">
        <v>1372</v>
      </c>
      <c r="C535" s="258">
        <v>19462</v>
      </c>
      <c r="D535" s="260" t="s">
        <v>1127</v>
      </c>
    </row>
    <row r="536" spans="1:4" x14ac:dyDescent="0.25">
      <c r="A536" s="241">
        <v>1991</v>
      </c>
      <c r="B536" s="259" t="s">
        <v>1373</v>
      </c>
      <c r="C536" s="258">
        <v>15000</v>
      </c>
      <c r="D536" s="242" t="s">
        <v>11</v>
      </c>
    </row>
    <row r="537" spans="1:4" x14ac:dyDescent="0.25">
      <c r="A537" s="241">
        <v>1992</v>
      </c>
      <c r="B537" s="216" t="s">
        <v>1355</v>
      </c>
      <c r="C537" s="232">
        <v>13870</v>
      </c>
      <c r="D537" s="260" t="s">
        <v>1127</v>
      </c>
    </row>
    <row r="538" spans="1:4" x14ac:dyDescent="0.25">
      <c r="A538" s="241">
        <v>1992</v>
      </c>
      <c r="B538" s="216" t="s">
        <v>1338</v>
      </c>
      <c r="C538" s="232">
        <v>41583</v>
      </c>
      <c r="D538" s="260" t="s">
        <v>1127</v>
      </c>
    </row>
    <row r="539" spans="1:4" x14ac:dyDescent="0.25">
      <c r="A539" s="241">
        <v>1992</v>
      </c>
      <c r="B539" s="216" t="s">
        <v>1374</v>
      </c>
      <c r="C539" s="232">
        <v>109982</v>
      </c>
      <c r="D539" s="260" t="s">
        <v>1127</v>
      </c>
    </row>
    <row r="540" spans="1:4" x14ac:dyDescent="0.25">
      <c r="A540" s="241">
        <v>1992</v>
      </c>
      <c r="B540" s="216" t="s">
        <v>1375</v>
      </c>
      <c r="C540" s="232">
        <v>156202</v>
      </c>
      <c r="D540" s="260" t="s">
        <v>1127</v>
      </c>
    </row>
    <row r="541" spans="1:4" x14ac:dyDescent="0.25">
      <c r="A541" s="241">
        <v>1992</v>
      </c>
      <c r="B541" s="259" t="s">
        <v>1358</v>
      </c>
      <c r="C541" s="232">
        <v>77094</v>
      </c>
      <c r="D541" s="242" t="s">
        <v>11</v>
      </c>
    </row>
    <row r="542" spans="1:4" x14ac:dyDescent="0.25">
      <c r="A542" s="241">
        <v>1992</v>
      </c>
      <c r="B542" s="216" t="s">
        <v>1376</v>
      </c>
      <c r="C542" s="232">
        <v>150274</v>
      </c>
      <c r="D542" s="260" t="s">
        <v>1127</v>
      </c>
    </row>
    <row r="543" spans="1:4" x14ac:dyDescent="0.25">
      <c r="A543" s="241">
        <v>1992</v>
      </c>
      <c r="B543" s="216" t="s">
        <v>1377</v>
      </c>
      <c r="C543" s="232">
        <v>113604</v>
      </c>
      <c r="D543" s="260" t="s">
        <v>1127</v>
      </c>
    </row>
    <row r="544" spans="1:4" x14ac:dyDescent="0.25">
      <c r="A544" s="241">
        <v>1992</v>
      </c>
      <c r="B544" s="216" t="s">
        <v>1378</v>
      </c>
      <c r="C544" s="232">
        <v>20907</v>
      </c>
      <c r="D544" s="260" t="s">
        <v>1127</v>
      </c>
    </row>
    <row r="545" spans="1:4" x14ac:dyDescent="0.25">
      <c r="A545" s="241">
        <v>1992</v>
      </c>
      <c r="B545" s="216" t="s">
        <v>1379</v>
      </c>
      <c r="C545" s="232">
        <v>25000</v>
      </c>
      <c r="D545" s="242" t="s">
        <v>11</v>
      </c>
    </row>
    <row r="546" spans="1:4" x14ac:dyDescent="0.25">
      <c r="A546" s="241">
        <v>1992</v>
      </c>
      <c r="B546" s="216" t="s">
        <v>1364</v>
      </c>
      <c r="C546" s="232">
        <v>57571</v>
      </c>
      <c r="D546" s="260" t="s">
        <v>1127</v>
      </c>
    </row>
    <row r="547" spans="1:4" x14ac:dyDescent="0.25">
      <c r="A547" s="241">
        <v>1992</v>
      </c>
      <c r="B547" s="259" t="s">
        <v>1349</v>
      </c>
      <c r="C547" s="232">
        <v>13242</v>
      </c>
      <c r="D547" s="260" t="s">
        <v>1127</v>
      </c>
    </row>
    <row r="548" spans="1:4" x14ac:dyDescent="0.25">
      <c r="A548" s="241">
        <v>1992</v>
      </c>
      <c r="B548" s="216" t="s">
        <v>1366</v>
      </c>
      <c r="C548" s="232">
        <v>112378</v>
      </c>
      <c r="D548" s="242" t="s">
        <v>11</v>
      </c>
    </row>
    <row r="549" spans="1:4" x14ac:dyDescent="0.25">
      <c r="A549" s="241">
        <v>1992</v>
      </c>
      <c r="B549" s="216" t="s">
        <v>1380</v>
      </c>
      <c r="C549" s="232">
        <v>122067</v>
      </c>
      <c r="D549" s="242" t="s">
        <v>11</v>
      </c>
    </row>
    <row r="550" spans="1:4" x14ac:dyDescent="0.25">
      <c r="A550" s="241">
        <v>1992</v>
      </c>
      <c r="B550" s="216" t="s">
        <v>1381</v>
      </c>
      <c r="C550" s="232">
        <v>58580</v>
      </c>
      <c r="D550" s="260" t="s">
        <v>1127</v>
      </c>
    </row>
    <row r="551" spans="1:4" x14ac:dyDescent="0.25">
      <c r="A551" s="241">
        <v>1992</v>
      </c>
      <c r="B551" s="216" t="s">
        <v>1382</v>
      </c>
      <c r="C551" s="232">
        <v>91092</v>
      </c>
      <c r="D551" s="242" t="s">
        <v>11</v>
      </c>
    </row>
    <row r="552" spans="1:4" x14ac:dyDescent="0.25">
      <c r="A552" s="241">
        <v>1992</v>
      </c>
      <c r="B552" s="216" t="s">
        <v>1372</v>
      </c>
      <c r="C552" s="232">
        <v>50976</v>
      </c>
      <c r="D552" s="242" t="s">
        <v>11</v>
      </c>
    </row>
    <row r="553" spans="1:4" x14ac:dyDescent="0.25">
      <c r="A553" s="241">
        <v>1993</v>
      </c>
      <c r="B553" s="216" t="s">
        <v>1335</v>
      </c>
      <c r="C553" s="232">
        <v>53404</v>
      </c>
      <c r="D553" s="260" t="s">
        <v>1127</v>
      </c>
    </row>
    <row r="554" spans="1:4" x14ac:dyDescent="0.25">
      <c r="A554" s="241">
        <v>1993</v>
      </c>
      <c r="B554" s="216" t="s">
        <v>1383</v>
      </c>
      <c r="C554" s="232">
        <v>121147</v>
      </c>
      <c r="D554" s="260" t="s">
        <v>1127</v>
      </c>
    </row>
    <row r="555" spans="1:4" x14ac:dyDescent="0.25">
      <c r="A555" s="241">
        <v>1993</v>
      </c>
      <c r="B555" s="259" t="s">
        <v>1275</v>
      </c>
      <c r="C555" s="232">
        <v>203138</v>
      </c>
      <c r="D555" s="242" t="s">
        <v>11</v>
      </c>
    </row>
    <row r="556" spans="1:4" x14ac:dyDescent="0.25">
      <c r="A556" s="241">
        <v>1993</v>
      </c>
      <c r="B556" s="216" t="s">
        <v>1384</v>
      </c>
      <c r="C556" s="232">
        <v>136000</v>
      </c>
      <c r="D556" s="242" t="s">
        <v>11</v>
      </c>
    </row>
    <row r="557" spans="1:4" x14ac:dyDescent="0.25">
      <c r="A557" s="241">
        <v>1993</v>
      </c>
      <c r="B557" s="216" t="s">
        <v>1326</v>
      </c>
      <c r="C557" s="232">
        <v>206578</v>
      </c>
      <c r="D557" s="260" t="s">
        <v>1127</v>
      </c>
    </row>
    <row r="558" spans="1:4" x14ac:dyDescent="0.25">
      <c r="A558" s="241">
        <v>1993</v>
      </c>
      <c r="B558" s="216" t="s">
        <v>1326</v>
      </c>
      <c r="C558" s="232">
        <v>53419</v>
      </c>
      <c r="D558" s="260" t="s">
        <v>1127</v>
      </c>
    </row>
    <row r="559" spans="1:4" x14ac:dyDescent="0.25">
      <c r="A559" s="241">
        <v>1993</v>
      </c>
      <c r="B559" s="216" t="s">
        <v>1385</v>
      </c>
      <c r="C559" s="232">
        <v>7522</v>
      </c>
      <c r="D559" s="260" t="s">
        <v>1127</v>
      </c>
    </row>
    <row r="560" spans="1:4" x14ac:dyDescent="0.25">
      <c r="A560" s="241">
        <v>1993</v>
      </c>
      <c r="B560" s="216" t="s">
        <v>1386</v>
      </c>
      <c r="C560" s="232">
        <v>201592</v>
      </c>
      <c r="D560" s="260" t="s">
        <v>1127</v>
      </c>
    </row>
    <row r="561" spans="1:4" x14ac:dyDescent="0.25">
      <c r="A561" s="241">
        <v>1993</v>
      </c>
      <c r="B561" s="216" t="s">
        <v>1361</v>
      </c>
      <c r="C561" s="232">
        <v>99255</v>
      </c>
      <c r="D561" s="260" t="s">
        <v>1127</v>
      </c>
    </row>
    <row r="562" spans="1:4" x14ac:dyDescent="0.25">
      <c r="A562" s="241">
        <v>1993</v>
      </c>
      <c r="B562" s="216" t="s">
        <v>1387</v>
      </c>
      <c r="C562" s="232">
        <v>15250</v>
      </c>
      <c r="D562" s="242" t="s">
        <v>11</v>
      </c>
    </row>
    <row r="563" spans="1:4" x14ac:dyDescent="0.25">
      <c r="A563" s="241">
        <v>1993</v>
      </c>
      <c r="B563" s="216" t="s">
        <v>1388</v>
      </c>
      <c r="C563" s="232">
        <v>97769</v>
      </c>
      <c r="D563" s="260" t="s">
        <v>1127</v>
      </c>
    </row>
    <row r="564" spans="1:4" x14ac:dyDescent="0.25">
      <c r="A564" s="241">
        <v>1993</v>
      </c>
      <c r="B564" s="216" t="s">
        <v>1388</v>
      </c>
      <c r="C564" s="232">
        <v>71296</v>
      </c>
      <c r="D564" s="260" t="s">
        <v>1127</v>
      </c>
    </row>
    <row r="565" spans="1:4" x14ac:dyDescent="0.25">
      <c r="A565" s="241">
        <v>1993</v>
      </c>
      <c r="B565" s="216" t="s">
        <v>1389</v>
      </c>
      <c r="C565" s="232">
        <v>34936</v>
      </c>
      <c r="D565" s="242" t="s">
        <v>11</v>
      </c>
    </row>
    <row r="566" spans="1:4" x14ac:dyDescent="0.25">
      <c r="A566" s="241">
        <v>1994</v>
      </c>
      <c r="B566" s="216" t="s">
        <v>1390</v>
      </c>
      <c r="C566" s="232">
        <v>13054</v>
      </c>
      <c r="D566" s="260" t="s">
        <v>1127</v>
      </c>
    </row>
    <row r="567" spans="1:4" x14ac:dyDescent="0.25">
      <c r="A567" s="241">
        <v>1994</v>
      </c>
      <c r="B567" s="216" t="s">
        <v>1391</v>
      </c>
      <c r="C567" s="232">
        <v>23241</v>
      </c>
      <c r="D567" s="260" t="s">
        <v>1127</v>
      </c>
    </row>
    <row r="568" spans="1:4" x14ac:dyDescent="0.25">
      <c r="A568" s="241">
        <v>1994</v>
      </c>
      <c r="B568" s="216" t="s">
        <v>1392</v>
      </c>
      <c r="C568" s="232">
        <v>34870</v>
      </c>
      <c r="D568" s="260" t="s">
        <v>1127</v>
      </c>
    </row>
    <row r="569" spans="1:4" x14ac:dyDescent="0.25">
      <c r="A569" s="241">
        <v>1994</v>
      </c>
      <c r="B569" s="216" t="s">
        <v>1393</v>
      </c>
      <c r="C569" s="232">
        <v>150000</v>
      </c>
      <c r="D569" s="260" t="s">
        <v>1127</v>
      </c>
    </row>
    <row r="570" spans="1:4" x14ac:dyDescent="0.25">
      <c r="A570" s="241">
        <v>1994</v>
      </c>
      <c r="B570" s="216" t="s">
        <v>1394</v>
      </c>
      <c r="C570" s="232">
        <v>16500</v>
      </c>
      <c r="D570" s="260" t="s">
        <v>1127</v>
      </c>
    </row>
    <row r="571" spans="1:4" x14ac:dyDescent="0.25">
      <c r="A571" s="241">
        <v>1994</v>
      </c>
      <c r="B571" s="216" t="s">
        <v>1395</v>
      </c>
      <c r="C571" s="232">
        <v>74713</v>
      </c>
      <c r="D571" s="260" t="s">
        <v>1127</v>
      </c>
    </row>
    <row r="572" spans="1:4" x14ac:dyDescent="0.25">
      <c r="A572" s="241">
        <v>1994</v>
      </c>
      <c r="B572" s="216" t="s">
        <v>1396</v>
      </c>
      <c r="C572" s="232">
        <v>72200</v>
      </c>
      <c r="D572" s="242" t="s">
        <v>11</v>
      </c>
    </row>
    <row r="573" spans="1:4" x14ac:dyDescent="0.25">
      <c r="A573" s="241">
        <v>1994</v>
      </c>
      <c r="B573" s="216" t="s">
        <v>1397</v>
      </c>
      <c r="C573" s="232">
        <v>44630</v>
      </c>
      <c r="D573" s="260" t="s">
        <v>1127</v>
      </c>
    </row>
    <row r="574" spans="1:4" x14ac:dyDescent="0.25">
      <c r="A574" s="241">
        <v>1994</v>
      </c>
      <c r="B574" s="216" t="s">
        <v>1374</v>
      </c>
      <c r="C574" s="232">
        <v>36803</v>
      </c>
      <c r="D574" s="260" t="s">
        <v>1127</v>
      </c>
    </row>
    <row r="575" spans="1:4" x14ac:dyDescent="0.25">
      <c r="A575" s="241">
        <v>1994</v>
      </c>
      <c r="B575" s="216" t="s">
        <v>1398</v>
      </c>
      <c r="C575" s="232">
        <v>8100</v>
      </c>
      <c r="D575" s="260" t="s">
        <v>1127</v>
      </c>
    </row>
    <row r="576" spans="1:4" x14ac:dyDescent="0.25">
      <c r="A576" s="241">
        <v>1994</v>
      </c>
      <c r="B576" s="216" t="s">
        <v>1399</v>
      </c>
      <c r="C576" s="232">
        <v>49286</v>
      </c>
      <c r="D576" s="242" t="s">
        <v>11</v>
      </c>
    </row>
    <row r="577" spans="1:4" x14ac:dyDescent="0.25">
      <c r="A577" s="241">
        <v>1994</v>
      </c>
      <c r="B577" s="216" t="s">
        <v>1357</v>
      </c>
      <c r="C577" s="232">
        <v>24750</v>
      </c>
      <c r="D577" s="260" t="s">
        <v>1127</v>
      </c>
    </row>
    <row r="578" spans="1:4" x14ac:dyDescent="0.25">
      <c r="A578" s="241">
        <v>1994</v>
      </c>
      <c r="B578" s="216" t="s">
        <v>1306</v>
      </c>
      <c r="C578" s="232">
        <v>150000</v>
      </c>
      <c r="D578" s="242" t="s">
        <v>11</v>
      </c>
    </row>
    <row r="579" spans="1:4" x14ac:dyDescent="0.25">
      <c r="A579" s="241">
        <v>1994</v>
      </c>
      <c r="B579" s="216" t="s">
        <v>1400</v>
      </c>
      <c r="C579" s="232">
        <v>61683</v>
      </c>
      <c r="D579" s="260" t="s">
        <v>1127</v>
      </c>
    </row>
    <row r="580" spans="1:4" x14ac:dyDescent="0.25">
      <c r="A580" s="241">
        <v>1994</v>
      </c>
      <c r="B580" s="216" t="s">
        <v>1401</v>
      </c>
      <c r="C580" s="232">
        <v>22878</v>
      </c>
      <c r="D580" s="242" t="s">
        <v>1127</v>
      </c>
    </row>
    <row r="581" spans="1:4" x14ac:dyDescent="0.25">
      <c r="A581" s="241">
        <v>1994</v>
      </c>
      <c r="B581" s="216" t="s">
        <v>1401</v>
      </c>
      <c r="C581" s="232">
        <v>4922</v>
      </c>
      <c r="D581" s="260" t="s">
        <v>1127</v>
      </c>
    </row>
    <row r="582" spans="1:4" x14ac:dyDescent="0.25">
      <c r="A582" s="241">
        <v>1994</v>
      </c>
      <c r="B582" s="216" t="s">
        <v>1402</v>
      </c>
      <c r="C582" s="232">
        <v>28272</v>
      </c>
      <c r="D582" s="260" t="s">
        <v>1127</v>
      </c>
    </row>
    <row r="583" spans="1:4" x14ac:dyDescent="0.25">
      <c r="A583" s="241">
        <v>1994</v>
      </c>
      <c r="B583" s="216" t="s">
        <v>1376</v>
      </c>
      <c r="C583" s="232">
        <v>215423</v>
      </c>
      <c r="D583" s="260" t="s">
        <v>1127</v>
      </c>
    </row>
    <row r="584" spans="1:4" x14ac:dyDescent="0.25">
      <c r="A584" s="241">
        <v>1994</v>
      </c>
      <c r="B584" s="216" t="s">
        <v>1403</v>
      </c>
      <c r="C584" s="232">
        <v>36915</v>
      </c>
      <c r="D584" s="242" t="s">
        <v>11</v>
      </c>
    </row>
    <row r="585" spans="1:4" x14ac:dyDescent="0.25">
      <c r="A585" s="241">
        <v>1994</v>
      </c>
      <c r="B585" s="216" t="s">
        <v>1361</v>
      </c>
      <c r="C585" s="232">
        <v>80076</v>
      </c>
      <c r="D585" s="260" t="s">
        <v>1127</v>
      </c>
    </row>
    <row r="586" spans="1:4" x14ac:dyDescent="0.25">
      <c r="A586" s="241">
        <v>1994</v>
      </c>
      <c r="B586" s="216" t="s">
        <v>1404</v>
      </c>
      <c r="C586" s="232">
        <v>18610</v>
      </c>
      <c r="D586" s="260" t="s">
        <v>1127</v>
      </c>
    </row>
    <row r="587" spans="1:4" x14ac:dyDescent="0.25">
      <c r="A587" s="241">
        <v>1994</v>
      </c>
      <c r="B587" s="259" t="s">
        <v>1349</v>
      </c>
      <c r="C587" s="232">
        <v>2010</v>
      </c>
      <c r="D587" s="260" t="s">
        <v>1127</v>
      </c>
    </row>
    <row r="588" spans="1:4" x14ac:dyDescent="0.25">
      <c r="A588" s="241">
        <v>1994</v>
      </c>
      <c r="B588" s="216" t="s">
        <v>1405</v>
      </c>
      <c r="C588" s="232">
        <v>70580</v>
      </c>
      <c r="D588" s="242" t="s">
        <v>11</v>
      </c>
    </row>
    <row r="589" spans="1:4" x14ac:dyDescent="0.25">
      <c r="A589" s="241">
        <v>1994</v>
      </c>
      <c r="B589" s="216" t="s">
        <v>1406</v>
      </c>
      <c r="C589" s="232">
        <v>180000</v>
      </c>
      <c r="D589" s="242" t="s">
        <v>11</v>
      </c>
    </row>
    <row r="590" spans="1:4" x14ac:dyDescent="0.25">
      <c r="A590" s="241">
        <v>1994</v>
      </c>
      <c r="B590" s="216" t="s">
        <v>1407</v>
      </c>
      <c r="C590" s="232">
        <v>60366</v>
      </c>
      <c r="D590" s="260" t="s">
        <v>1127</v>
      </c>
    </row>
    <row r="591" spans="1:4" x14ac:dyDescent="0.25">
      <c r="A591" s="241">
        <v>1994</v>
      </c>
      <c r="B591" s="216" t="s">
        <v>1408</v>
      </c>
      <c r="C591" s="232">
        <v>13585</v>
      </c>
      <c r="D591" s="260" t="s">
        <v>1127</v>
      </c>
    </row>
    <row r="592" spans="1:4" x14ac:dyDescent="0.25">
      <c r="A592" s="241">
        <v>1994</v>
      </c>
      <c r="B592" s="216" t="s">
        <v>1409</v>
      </c>
      <c r="C592" s="232">
        <v>23859</v>
      </c>
      <c r="D592" s="242" t="s">
        <v>11</v>
      </c>
    </row>
    <row r="593" spans="1:4" x14ac:dyDescent="0.25">
      <c r="A593" s="241">
        <v>1994</v>
      </c>
      <c r="B593" s="259" t="s">
        <v>1345</v>
      </c>
      <c r="C593" s="232">
        <v>45947</v>
      </c>
      <c r="D593" s="260" t="s">
        <v>1127</v>
      </c>
    </row>
    <row r="594" spans="1:4" x14ac:dyDescent="0.25">
      <c r="A594" s="241">
        <v>1994</v>
      </c>
      <c r="B594" s="259" t="s">
        <v>1345</v>
      </c>
      <c r="C594" s="232">
        <v>87747</v>
      </c>
      <c r="D594" s="260" t="s">
        <v>1127</v>
      </c>
    </row>
    <row r="595" spans="1:4" x14ac:dyDescent="0.25">
      <c r="A595" s="241">
        <v>1994</v>
      </c>
      <c r="B595" s="216" t="s">
        <v>1331</v>
      </c>
      <c r="C595" s="232">
        <v>26380</v>
      </c>
      <c r="D595" s="260" t="s">
        <v>1127</v>
      </c>
    </row>
    <row r="596" spans="1:4" x14ac:dyDescent="0.25">
      <c r="A596" s="241">
        <v>1994</v>
      </c>
      <c r="B596" s="216" t="s">
        <v>1410</v>
      </c>
      <c r="C596" s="232">
        <v>81450</v>
      </c>
      <c r="D596" s="260" t="s">
        <v>1127</v>
      </c>
    </row>
    <row r="597" spans="1:4" x14ac:dyDescent="0.25">
      <c r="A597" s="241">
        <v>1994</v>
      </c>
      <c r="B597" s="216" t="s">
        <v>1411</v>
      </c>
      <c r="C597" s="232">
        <v>150000</v>
      </c>
      <c r="D597" s="242" t="s">
        <v>11</v>
      </c>
    </row>
    <row r="598" spans="1:4" x14ac:dyDescent="0.25">
      <c r="A598" s="241">
        <v>1994</v>
      </c>
      <c r="B598" s="216" t="s">
        <v>1412</v>
      </c>
      <c r="C598" s="232">
        <v>75000</v>
      </c>
      <c r="D598" s="260" t="s">
        <v>1127</v>
      </c>
    </row>
    <row r="599" spans="1:4" x14ac:dyDescent="0.25">
      <c r="A599" s="241">
        <v>1994</v>
      </c>
      <c r="B599" s="216" t="s">
        <v>1413</v>
      </c>
      <c r="C599" s="232">
        <v>99500</v>
      </c>
      <c r="D599" s="260" t="s">
        <v>1127</v>
      </c>
    </row>
    <row r="600" spans="1:4" x14ac:dyDescent="0.25">
      <c r="A600" s="241">
        <v>1994</v>
      </c>
      <c r="B600" s="216" t="s">
        <v>1414</v>
      </c>
      <c r="C600" s="232">
        <v>26500</v>
      </c>
      <c r="D600" s="242" t="s">
        <v>11</v>
      </c>
    </row>
    <row r="601" spans="1:4" x14ac:dyDescent="0.25">
      <c r="A601" s="241">
        <v>1994</v>
      </c>
      <c r="B601" s="216" t="s">
        <v>1415</v>
      </c>
      <c r="C601" s="232">
        <v>60000</v>
      </c>
      <c r="D601" s="260" t="s">
        <v>1127</v>
      </c>
    </row>
    <row r="602" spans="1:4" x14ac:dyDescent="0.25">
      <c r="A602" s="241">
        <v>1995</v>
      </c>
      <c r="B602" s="216" t="s">
        <v>1416</v>
      </c>
      <c r="C602" s="232">
        <v>9400</v>
      </c>
      <c r="D602" s="242" t="s">
        <v>11</v>
      </c>
    </row>
    <row r="603" spans="1:4" x14ac:dyDescent="0.25">
      <c r="A603" s="241">
        <v>1995</v>
      </c>
      <c r="B603" s="216" t="s">
        <v>1274</v>
      </c>
      <c r="C603" s="232">
        <v>400000</v>
      </c>
      <c r="D603" s="242" t="s">
        <v>11</v>
      </c>
    </row>
    <row r="604" spans="1:4" x14ac:dyDescent="0.25">
      <c r="A604" s="241">
        <v>1995</v>
      </c>
      <c r="B604" s="216" t="s">
        <v>1417</v>
      </c>
      <c r="C604" s="232">
        <v>113000</v>
      </c>
      <c r="D604" s="242" t="s">
        <v>11</v>
      </c>
    </row>
    <row r="605" spans="1:4" x14ac:dyDescent="0.25">
      <c r="A605" s="241">
        <v>1995</v>
      </c>
      <c r="B605" s="216" t="s">
        <v>1418</v>
      </c>
      <c r="C605" s="232">
        <v>150000</v>
      </c>
      <c r="D605" s="260" t="s">
        <v>1127</v>
      </c>
    </row>
    <row r="606" spans="1:4" x14ac:dyDescent="0.25">
      <c r="A606" s="241">
        <v>1995</v>
      </c>
      <c r="B606" s="216" t="s">
        <v>1419</v>
      </c>
      <c r="C606" s="232">
        <v>10270</v>
      </c>
      <c r="D606" s="242" t="s">
        <v>11</v>
      </c>
    </row>
    <row r="607" spans="1:4" x14ac:dyDescent="0.25">
      <c r="A607" s="241">
        <v>1995</v>
      </c>
      <c r="B607" s="216" t="s">
        <v>1361</v>
      </c>
      <c r="C607" s="232">
        <v>42171</v>
      </c>
      <c r="D607" s="242" t="s">
        <v>11</v>
      </c>
    </row>
    <row r="608" spans="1:4" x14ac:dyDescent="0.25">
      <c r="A608" s="241">
        <v>1995</v>
      </c>
      <c r="B608" s="216" t="s">
        <v>1420</v>
      </c>
      <c r="C608" s="232">
        <v>400000</v>
      </c>
      <c r="D608" s="242" t="s">
        <v>11</v>
      </c>
    </row>
    <row r="609" spans="1:4" x14ac:dyDescent="0.25">
      <c r="A609" s="241">
        <v>1995</v>
      </c>
      <c r="B609" s="216" t="s">
        <v>1421</v>
      </c>
      <c r="C609" s="232">
        <v>18370</v>
      </c>
      <c r="D609" s="242" t="s">
        <v>11</v>
      </c>
    </row>
    <row r="610" spans="1:4" x14ac:dyDescent="0.25">
      <c r="A610" s="241">
        <v>1995</v>
      </c>
      <c r="B610" s="216" t="s">
        <v>1364</v>
      </c>
      <c r="C610" s="232">
        <v>39500</v>
      </c>
      <c r="D610" s="260" t="s">
        <v>1127</v>
      </c>
    </row>
    <row r="611" spans="1:4" x14ac:dyDescent="0.25">
      <c r="A611" s="241">
        <v>1995</v>
      </c>
      <c r="B611" s="216" t="s">
        <v>1364</v>
      </c>
      <c r="C611" s="232">
        <v>44326</v>
      </c>
      <c r="D611" s="242" t="s">
        <v>11</v>
      </c>
    </row>
    <row r="612" spans="1:4" x14ac:dyDescent="0.25">
      <c r="A612" s="241">
        <v>1995</v>
      </c>
      <c r="B612" s="216" t="s">
        <v>1422</v>
      </c>
      <c r="C612" s="232">
        <v>51532</v>
      </c>
      <c r="D612" s="242" t="s">
        <v>11</v>
      </c>
    </row>
    <row r="613" spans="1:4" x14ac:dyDescent="0.25">
      <c r="A613" s="241">
        <v>1995</v>
      </c>
      <c r="B613" s="216" t="s">
        <v>1370</v>
      </c>
      <c r="C613" s="232">
        <v>36579</v>
      </c>
      <c r="D613" s="242" t="s">
        <v>11</v>
      </c>
    </row>
    <row r="614" spans="1:4" x14ac:dyDescent="0.25">
      <c r="A614" s="241">
        <v>1995</v>
      </c>
      <c r="B614" s="216" t="s">
        <v>1423</v>
      </c>
      <c r="C614" s="232">
        <v>31525</v>
      </c>
      <c r="D614" s="242" t="s">
        <v>11</v>
      </c>
    </row>
    <row r="615" spans="1:4" x14ac:dyDescent="0.25">
      <c r="A615" s="241">
        <v>1995</v>
      </c>
      <c r="B615" s="216" t="s">
        <v>1388</v>
      </c>
      <c r="C615" s="232">
        <v>45500</v>
      </c>
      <c r="D615" s="242" t="s">
        <v>11</v>
      </c>
    </row>
    <row r="616" spans="1:4" x14ac:dyDescent="0.25">
      <c r="A616" s="241">
        <v>1996</v>
      </c>
      <c r="B616" s="216" t="s">
        <v>1424</v>
      </c>
      <c r="C616" s="232">
        <v>11720</v>
      </c>
      <c r="D616" s="242" t="s">
        <v>11</v>
      </c>
    </row>
    <row r="617" spans="1:4" x14ac:dyDescent="0.25">
      <c r="A617" s="241">
        <v>1996</v>
      </c>
      <c r="B617" s="216" t="s">
        <v>1417</v>
      </c>
      <c r="C617" s="232">
        <v>86300</v>
      </c>
      <c r="D617" s="260" t="s">
        <v>1127</v>
      </c>
    </row>
    <row r="618" spans="1:4" x14ac:dyDescent="0.25">
      <c r="A618" s="241">
        <v>1996</v>
      </c>
      <c r="B618" s="216" t="s">
        <v>1417</v>
      </c>
      <c r="C618" s="232">
        <v>222400</v>
      </c>
      <c r="D618" s="242" t="s">
        <v>11</v>
      </c>
    </row>
    <row r="619" spans="1:4" x14ac:dyDescent="0.25">
      <c r="A619" s="241">
        <v>1996</v>
      </c>
      <c r="B619" s="216" t="s">
        <v>1417</v>
      </c>
      <c r="C619" s="232">
        <v>26300</v>
      </c>
      <c r="D619" s="242" t="s">
        <v>11</v>
      </c>
    </row>
    <row r="620" spans="1:4" x14ac:dyDescent="0.25">
      <c r="A620" s="241">
        <v>1996</v>
      </c>
      <c r="B620" s="216" t="s">
        <v>1417</v>
      </c>
      <c r="C620" s="232">
        <v>26000</v>
      </c>
      <c r="D620" s="242" t="s">
        <v>11</v>
      </c>
    </row>
    <row r="621" spans="1:4" x14ac:dyDescent="0.25">
      <c r="A621" s="241">
        <v>1996</v>
      </c>
      <c r="B621" s="216" t="s">
        <v>1417</v>
      </c>
      <c r="C621" s="232">
        <v>27500</v>
      </c>
      <c r="D621" s="242" t="s">
        <v>11</v>
      </c>
    </row>
    <row r="622" spans="1:4" x14ac:dyDescent="0.25">
      <c r="A622" s="241">
        <v>1996</v>
      </c>
      <c r="B622" s="216" t="s">
        <v>1425</v>
      </c>
      <c r="C622" s="232">
        <v>238000</v>
      </c>
      <c r="D622" s="242" t="s">
        <v>11</v>
      </c>
    </row>
    <row r="623" spans="1:4" x14ac:dyDescent="0.25">
      <c r="A623" s="241">
        <v>1996</v>
      </c>
      <c r="B623" s="216" t="s">
        <v>1426</v>
      </c>
      <c r="C623" s="232">
        <v>85370</v>
      </c>
      <c r="D623" s="242" t="s">
        <v>11</v>
      </c>
    </row>
    <row r="624" spans="1:4" x14ac:dyDescent="0.25">
      <c r="A624" s="241">
        <v>1996</v>
      </c>
      <c r="B624" s="216" t="s">
        <v>1426</v>
      </c>
      <c r="C624" s="232">
        <v>95113</v>
      </c>
      <c r="D624" s="242" t="s">
        <v>11</v>
      </c>
    </row>
    <row r="625" spans="1:4" x14ac:dyDescent="0.25">
      <c r="A625" s="241">
        <v>1996</v>
      </c>
      <c r="B625" s="216" t="s">
        <v>1262</v>
      </c>
      <c r="C625" s="232">
        <v>109012</v>
      </c>
      <c r="D625" s="260" t="s">
        <v>1127</v>
      </c>
    </row>
    <row r="626" spans="1:4" x14ac:dyDescent="0.25">
      <c r="A626" s="241">
        <v>1996</v>
      </c>
      <c r="B626" s="216" t="s">
        <v>1377</v>
      </c>
      <c r="C626" s="232">
        <v>147121</v>
      </c>
      <c r="D626" s="242" t="s">
        <v>11</v>
      </c>
    </row>
    <row r="627" spans="1:4" x14ac:dyDescent="0.25">
      <c r="A627" s="241">
        <v>1996</v>
      </c>
      <c r="B627" s="216" t="s">
        <v>1427</v>
      </c>
      <c r="C627" s="232">
        <v>13835</v>
      </c>
      <c r="D627" s="242" t="s">
        <v>11</v>
      </c>
    </row>
    <row r="628" spans="1:4" x14ac:dyDescent="0.25">
      <c r="A628" s="241">
        <v>1996</v>
      </c>
      <c r="B628" s="216" t="s">
        <v>1428</v>
      </c>
      <c r="C628" s="232">
        <v>55647</v>
      </c>
      <c r="D628" s="260" t="s">
        <v>1127</v>
      </c>
    </row>
    <row r="629" spans="1:4" x14ac:dyDescent="0.25">
      <c r="A629" s="241">
        <v>1996</v>
      </c>
      <c r="B629" s="216" t="s">
        <v>1429</v>
      </c>
      <c r="C629" s="232">
        <v>25000</v>
      </c>
      <c r="D629" s="242" t="s">
        <v>11</v>
      </c>
    </row>
    <row r="630" spans="1:4" x14ac:dyDescent="0.25">
      <c r="A630" s="241">
        <v>1996</v>
      </c>
      <c r="B630" s="216" t="s">
        <v>1430</v>
      </c>
      <c r="C630" s="232">
        <v>77224</v>
      </c>
      <c r="D630" s="242" t="s">
        <v>11</v>
      </c>
    </row>
    <row r="631" spans="1:4" x14ac:dyDescent="0.25">
      <c r="A631" s="241">
        <v>1997</v>
      </c>
      <c r="B631" s="216" t="s">
        <v>1417</v>
      </c>
      <c r="C631" s="232">
        <v>164200</v>
      </c>
      <c r="D631" s="260" t="s">
        <v>1127</v>
      </c>
    </row>
    <row r="632" spans="1:4" x14ac:dyDescent="0.25">
      <c r="A632" s="241">
        <v>1997</v>
      </c>
      <c r="B632" s="216" t="s">
        <v>1417</v>
      </c>
      <c r="C632" s="232">
        <v>43000</v>
      </c>
      <c r="D632" s="260" t="s">
        <v>1127</v>
      </c>
    </row>
    <row r="633" spans="1:4" x14ac:dyDescent="0.25">
      <c r="A633" s="241">
        <v>1997</v>
      </c>
      <c r="B633" s="216" t="s">
        <v>1417</v>
      </c>
      <c r="C633" s="232">
        <v>38000</v>
      </c>
      <c r="D633" s="260" t="s">
        <v>1127</v>
      </c>
    </row>
    <row r="634" spans="1:4" x14ac:dyDescent="0.25">
      <c r="A634" s="241">
        <v>1997</v>
      </c>
      <c r="B634" s="216" t="s">
        <v>1431</v>
      </c>
      <c r="C634" s="232">
        <v>135000</v>
      </c>
      <c r="D634" s="260" t="s">
        <v>1127</v>
      </c>
    </row>
    <row r="635" spans="1:4" x14ac:dyDescent="0.25">
      <c r="A635" s="241">
        <v>1997</v>
      </c>
      <c r="B635" s="216" t="s">
        <v>1376</v>
      </c>
      <c r="C635" s="232">
        <v>26167</v>
      </c>
      <c r="D635" s="260" t="s">
        <v>1127</v>
      </c>
    </row>
    <row r="636" spans="1:4" x14ac:dyDescent="0.25">
      <c r="A636" s="241">
        <v>1997</v>
      </c>
      <c r="B636" s="216" t="s">
        <v>1376</v>
      </c>
      <c r="C636" s="232">
        <v>28833</v>
      </c>
      <c r="D636" s="260" t="s">
        <v>1127</v>
      </c>
    </row>
    <row r="637" spans="1:4" x14ac:dyDescent="0.25">
      <c r="A637" s="241">
        <v>1999</v>
      </c>
      <c r="B637" s="259" t="s">
        <v>1275</v>
      </c>
      <c r="C637" s="232">
        <v>293572</v>
      </c>
      <c r="D637" s="260" t="s">
        <v>1127</v>
      </c>
    </row>
    <row r="638" spans="1:4" x14ac:dyDescent="0.25">
      <c r="A638" s="241">
        <v>2000</v>
      </c>
      <c r="B638" s="216" t="s">
        <v>1432</v>
      </c>
      <c r="C638" s="232">
        <v>200000</v>
      </c>
      <c r="D638" s="242" t="s">
        <v>11</v>
      </c>
    </row>
    <row r="639" spans="1:4" x14ac:dyDescent="0.25">
      <c r="A639" s="241">
        <v>2000</v>
      </c>
      <c r="B639" s="216" t="s">
        <v>1433</v>
      </c>
      <c r="C639" s="232">
        <v>7760</v>
      </c>
      <c r="D639" s="260" t="s">
        <v>1127</v>
      </c>
    </row>
    <row r="640" spans="1:4" x14ac:dyDescent="0.25">
      <c r="A640" s="241">
        <v>2000</v>
      </c>
      <c r="B640" s="216" t="s">
        <v>1434</v>
      </c>
      <c r="C640" s="232">
        <v>1779736</v>
      </c>
      <c r="D640" s="242" t="s">
        <v>11</v>
      </c>
    </row>
    <row r="641" spans="1:4" x14ac:dyDescent="0.25">
      <c r="A641" s="241">
        <v>2000</v>
      </c>
      <c r="B641" s="216" t="s">
        <v>1434</v>
      </c>
      <c r="C641" s="232">
        <v>1229376</v>
      </c>
      <c r="D641" s="242" t="s">
        <v>11</v>
      </c>
    </row>
    <row r="642" spans="1:4" x14ac:dyDescent="0.25">
      <c r="A642" s="241">
        <v>2000</v>
      </c>
      <c r="B642" s="216" t="s">
        <v>1435</v>
      </c>
      <c r="C642" s="232">
        <v>185885</v>
      </c>
      <c r="D642" s="242" t="s">
        <v>11</v>
      </c>
    </row>
    <row r="643" spans="1:4" x14ac:dyDescent="0.25">
      <c r="A643" s="241">
        <v>2000</v>
      </c>
      <c r="B643" s="216" t="s">
        <v>1435</v>
      </c>
      <c r="C643" s="232">
        <v>901306</v>
      </c>
      <c r="D643" s="242" t="s">
        <v>11</v>
      </c>
    </row>
    <row r="644" spans="1:4" x14ac:dyDescent="0.25">
      <c r="A644" s="241">
        <v>2000</v>
      </c>
      <c r="B644" s="259" t="s">
        <v>1275</v>
      </c>
      <c r="C644" s="232">
        <v>293572</v>
      </c>
      <c r="D644" s="242" t="s">
        <v>1127</v>
      </c>
    </row>
    <row r="645" spans="1:4" x14ac:dyDescent="0.25">
      <c r="A645" s="241">
        <v>2000</v>
      </c>
      <c r="B645" s="216" t="s">
        <v>1436</v>
      </c>
      <c r="C645" s="232">
        <v>750000</v>
      </c>
      <c r="D645" s="242" t="s">
        <v>11</v>
      </c>
    </row>
    <row r="646" spans="1:4" x14ac:dyDescent="0.25">
      <c r="A646" s="241">
        <v>2001</v>
      </c>
      <c r="B646" s="259" t="s">
        <v>1275</v>
      </c>
      <c r="C646" s="232">
        <v>388533</v>
      </c>
      <c r="D646" s="242" t="s">
        <v>11</v>
      </c>
    </row>
    <row r="647" spans="1:4" x14ac:dyDescent="0.25">
      <c r="A647" s="241">
        <v>2001</v>
      </c>
      <c r="B647" s="216" t="s">
        <v>1437</v>
      </c>
      <c r="C647" s="232">
        <v>500000</v>
      </c>
      <c r="D647" s="242" t="s">
        <v>11</v>
      </c>
    </row>
    <row r="648" spans="1:4" x14ac:dyDescent="0.25">
      <c r="A648" s="241">
        <v>2001</v>
      </c>
      <c r="B648" s="216" t="s">
        <v>1438</v>
      </c>
      <c r="C648" s="232">
        <v>119832</v>
      </c>
      <c r="D648" s="242" t="s">
        <v>11</v>
      </c>
    </row>
    <row r="649" spans="1:4" x14ac:dyDescent="0.25">
      <c r="A649" s="241">
        <v>2001</v>
      </c>
      <c r="B649" s="216" t="s">
        <v>1439</v>
      </c>
      <c r="C649" s="232">
        <v>271000</v>
      </c>
      <c r="D649" s="242" t="s">
        <v>11</v>
      </c>
    </row>
    <row r="650" spans="1:4" x14ac:dyDescent="0.25">
      <c r="A650" s="241">
        <v>2001</v>
      </c>
      <c r="B650" s="216" t="s">
        <v>1440</v>
      </c>
      <c r="C650" s="232">
        <v>22300</v>
      </c>
      <c r="D650" s="242" t="s">
        <v>11</v>
      </c>
    </row>
    <row r="651" spans="1:4" x14ac:dyDescent="0.25">
      <c r="A651" s="241">
        <v>2001</v>
      </c>
      <c r="B651" s="216" t="s">
        <v>1441</v>
      </c>
      <c r="C651" s="232">
        <v>131559</v>
      </c>
      <c r="D651" s="242" t="s">
        <v>11</v>
      </c>
    </row>
    <row r="652" spans="1:4" x14ac:dyDescent="0.25">
      <c r="A652" s="241">
        <v>2001</v>
      </c>
      <c r="B652" s="216" t="s">
        <v>1442</v>
      </c>
      <c r="C652" s="232">
        <v>261930</v>
      </c>
      <c r="D652" s="242" t="s">
        <v>11</v>
      </c>
    </row>
    <row r="653" spans="1:4" x14ac:dyDescent="0.25">
      <c r="A653" s="241">
        <v>2001</v>
      </c>
      <c r="B653" s="216" t="s">
        <v>1443</v>
      </c>
      <c r="C653" s="232">
        <v>730000</v>
      </c>
      <c r="D653" s="242" t="s">
        <v>11</v>
      </c>
    </row>
    <row r="654" spans="1:4" x14ac:dyDescent="0.25">
      <c r="A654" s="241">
        <v>2001</v>
      </c>
      <c r="B654" s="216" t="s">
        <v>1444</v>
      </c>
      <c r="C654" s="232">
        <v>471411</v>
      </c>
      <c r="D654" s="242" t="s">
        <v>11</v>
      </c>
    </row>
    <row r="655" spans="1:4" x14ac:dyDescent="0.25">
      <c r="A655" s="241">
        <v>2002</v>
      </c>
      <c r="B655" s="216" t="s">
        <v>1445</v>
      </c>
      <c r="C655" s="232">
        <v>2000000</v>
      </c>
      <c r="D655" s="260" t="s">
        <v>1127</v>
      </c>
    </row>
    <row r="656" spans="1:4" x14ac:dyDescent="0.25">
      <c r="A656" s="241">
        <v>2002</v>
      </c>
      <c r="B656" s="216" t="s">
        <v>1446</v>
      </c>
      <c r="C656" s="232">
        <v>48517</v>
      </c>
      <c r="D656" s="242" t="s">
        <v>11</v>
      </c>
    </row>
    <row r="657" spans="1:4" x14ac:dyDescent="0.25">
      <c r="A657" s="241">
        <v>2002</v>
      </c>
      <c r="B657" s="216" t="s">
        <v>1447</v>
      </c>
      <c r="C657" s="232">
        <v>150000</v>
      </c>
      <c r="D657" s="260" t="s">
        <v>1127</v>
      </c>
    </row>
    <row r="658" spans="1:4" x14ac:dyDescent="0.25">
      <c r="A658" s="241">
        <v>2002</v>
      </c>
      <c r="B658" s="216" t="s">
        <v>1448</v>
      </c>
      <c r="C658" s="232">
        <v>106777</v>
      </c>
      <c r="D658" s="260" t="s">
        <v>1127</v>
      </c>
    </row>
    <row r="659" spans="1:4" x14ac:dyDescent="0.25">
      <c r="A659" s="241">
        <v>2002</v>
      </c>
      <c r="B659" s="216" t="s">
        <v>1449</v>
      </c>
      <c r="C659" s="232">
        <v>1946466</v>
      </c>
      <c r="D659" s="260" t="s">
        <v>1127</v>
      </c>
    </row>
    <row r="660" spans="1:4" x14ac:dyDescent="0.25">
      <c r="A660" s="241">
        <v>2002</v>
      </c>
      <c r="B660" s="216" t="s">
        <v>1450</v>
      </c>
      <c r="C660" s="232">
        <v>1935300</v>
      </c>
      <c r="D660" s="242" t="s">
        <v>11</v>
      </c>
    </row>
    <row r="661" spans="1:4" x14ac:dyDescent="0.25">
      <c r="A661" s="241">
        <v>2002</v>
      </c>
      <c r="B661" s="216" t="s">
        <v>1307</v>
      </c>
      <c r="C661" s="232">
        <v>232400</v>
      </c>
      <c r="D661" s="260" t="s">
        <v>1127</v>
      </c>
    </row>
    <row r="662" spans="1:4" x14ac:dyDescent="0.25">
      <c r="A662" s="241">
        <v>2003</v>
      </c>
      <c r="B662" s="216" t="s">
        <v>1451</v>
      </c>
      <c r="C662" s="232">
        <v>1310300</v>
      </c>
      <c r="D662" s="242" t="s">
        <v>11</v>
      </c>
    </row>
    <row r="663" spans="1:4" x14ac:dyDescent="0.25">
      <c r="A663" s="241">
        <v>2003</v>
      </c>
      <c r="B663" s="216" t="s">
        <v>1452</v>
      </c>
      <c r="C663" s="232">
        <v>1361930</v>
      </c>
      <c r="D663" s="242" t="s">
        <v>11</v>
      </c>
    </row>
    <row r="664" spans="1:4" x14ac:dyDescent="0.25">
      <c r="A664" s="241">
        <v>2004</v>
      </c>
      <c r="B664" s="216" t="s">
        <v>1267</v>
      </c>
      <c r="C664" s="232">
        <v>596000</v>
      </c>
      <c r="D664" s="242" t="s">
        <v>11</v>
      </c>
    </row>
    <row r="665" spans="1:4" x14ac:dyDescent="0.25">
      <c r="A665" s="241">
        <v>2004</v>
      </c>
      <c r="B665" s="216" t="s">
        <v>1452</v>
      </c>
      <c r="C665" s="232">
        <v>73412</v>
      </c>
      <c r="D665" s="242" t="s">
        <v>11</v>
      </c>
    </row>
    <row r="666" spans="1:4" x14ac:dyDescent="0.25">
      <c r="A666" s="241">
        <v>2004</v>
      </c>
      <c r="B666" s="216" t="s">
        <v>1344</v>
      </c>
      <c r="C666" s="232">
        <v>49500</v>
      </c>
      <c r="D666" s="242" t="s">
        <v>11</v>
      </c>
    </row>
    <row r="667" spans="1:4" x14ac:dyDescent="0.25">
      <c r="A667" s="241">
        <v>2004</v>
      </c>
      <c r="B667" s="216" t="s">
        <v>1370</v>
      </c>
      <c r="C667" s="232">
        <v>600000</v>
      </c>
      <c r="D667" s="242" t="s">
        <v>11</v>
      </c>
    </row>
    <row r="668" spans="1:4" x14ac:dyDescent="0.25">
      <c r="A668" s="241">
        <v>2005</v>
      </c>
      <c r="B668" s="216" t="s">
        <v>1451</v>
      </c>
      <c r="C668" s="232">
        <v>248852</v>
      </c>
      <c r="D668" s="242" t="s">
        <v>11</v>
      </c>
    </row>
    <row r="669" spans="1:4" x14ac:dyDescent="0.25">
      <c r="A669" s="241">
        <v>2005</v>
      </c>
      <c r="B669" s="216" t="s">
        <v>1453</v>
      </c>
      <c r="C669" s="232">
        <v>41615</v>
      </c>
      <c r="D669" s="242" t="s">
        <v>11</v>
      </c>
    </row>
    <row r="670" spans="1:4" x14ac:dyDescent="0.25">
      <c r="A670" s="241">
        <v>2005</v>
      </c>
      <c r="B670" s="216" t="s">
        <v>1454</v>
      </c>
      <c r="C670" s="232">
        <v>27400</v>
      </c>
      <c r="D670" s="242" t="s">
        <v>11</v>
      </c>
    </row>
    <row r="671" spans="1:4" x14ac:dyDescent="0.25">
      <c r="A671" s="241">
        <v>2005</v>
      </c>
      <c r="B671" s="216" t="s">
        <v>1267</v>
      </c>
      <c r="C671" s="232">
        <v>341677</v>
      </c>
      <c r="D671" s="242" t="s">
        <v>11</v>
      </c>
    </row>
    <row r="672" spans="1:4" x14ac:dyDescent="0.25">
      <c r="A672" s="241">
        <v>2005</v>
      </c>
      <c r="B672" s="216" t="s">
        <v>1455</v>
      </c>
      <c r="C672" s="232">
        <v>1160000</v>
      </c>
      <c r="D672" s="242" t="s">
        <v>11</v>
      </c>
    </row>
    <row r="673" spans="1:4" x14ac:dyDescent="0.25">
      <c r="A673" s="241">
        <v>2006</v>
      </c>
      <c r="B673" s="216" t="s">
        <v>1456</v>
      </c>
      <c r="C673" s="232">
        <v>623380</v>
      </c>
      <c r="D673" s="242" t="s">
        <v>11</v>
      </c>
    </row>
    <row r="674" spans="1:4" x14ac:dyDescent="0.25">
      <c r="A674" s="241">
        <v>2006</v>
      </c>
      <c r="B674" s="216" t="s">
        <v>1457</v>
      </c>
      <c r="C674" s="232">
        <v>58000</v>
      </c>
      <c r="D674" s="242" t="s">
        <v>11</v>
      </c>
    </row>
    <row r="675" spans="1:4" x14ac:dyDescent="0.25">
      <c r="A675" s="241">
        <v>2007</v>
      </c>
      <c r="B675" s="216" t="s">
        <v>1440</v>
      </c>
      <c r="C675" s="232">
        <v>92000</v>
      </c>
      <c r="D675" s="242" t="s">
        <v>11</v>
      </c>
    </row>
    <row r="676" spans="1:4" x14ac:dyDescent="0.25">
      <c r="A676" s="241">
        <v>2008</v>
      </c>
      <c r="B676" s="216" t="s">
        <v>1458</v>
      </c>
      <c r="C676" s="232">
        <v>366081</v>
      </c>
      <c r="D676" s="242" t="s">
        <v>11</v>
      </c>
    </row>
    <row r="677" spans="1:4" x14ac:dyDescent="0.25">
      <c r="A677" s="241">
        <v>2008</v>
      </c>
      <c r="B677" s="216" t="s">
        <v>1459</v>
      </c>
      <c r="C677" s="232">
        <v>925418</v>
      </c>
      <c r="D677" s="242" t="s">
        <v>11</v>
      </c>
    </row>
    <row r="678" spans="1:4" x14ac:dyDescent="0.25">
      <c r="A678" s="241">
        <v>2009</v>
      </c>
      <c r="B678" s="216" t="s">
        <v>1460</v>
      </c>
      <c r="C678" s="232">
        <f>651370+111194</f>
        <v>762564</v>
      </c>
      <c r="D678" s="242" t="s">
        <v>11</v>
      </c>
    </row>
    <row r="679" spans="1:4" x14ac:dyDescent="0.25">
      <c r="A679" s="241">
        <v>2012</v>
      </c>
      <c r="B679" s="216" t="s">
        <v>1461</v>
      </c>
      <c r="C679" s="232">
        <v>3000000</v>
      </c>
      <c r="D679" s="244" t="s">
        <v>11</v>
      </c>
    </row>
    <row r="680" spans="1:4" x14ac:dyDescent="0.25">
      <c r="A680" s="241">
        <v>2012</v>
      </c>
      <c r="B680" s="216" t="s">
        <v>1462</v>
      </c>
      <c r="C680" s="232">
        <v>1807443</v>
      </c>
      <c r="D680" s="244" t="s">
        <v>11</v>
      </c>
    </row>
    <row r="681" spans="1:4" x14ac:dyDescent="0.25">
      <c r="A681" s="241">
        <v>2012</v>
      </c>
      <c r="B681" s="216" t="s">
        <v>1463</v>
      </c>
      <c r="C681" s="232">
        <v>380000</v>
      </c>
      <c r="D681" s="244" t="s">
        <v>11</v>
      </c>
    </row>
    <row r="682" spans="1:4" x14ac:dyDescent="0.25">
      <c r="A682" s="241">
        <v>2012</v>
      </c>
      <c r="B682" s="245" t="s">
        <v>1449</v>
      </c>
      <c r="C682" s="246">
        <v>2710721</v>
      </c>
      <c r="D682" s="244" t="s">
        <v>11</v>
      </c>
    </row>
    <row r="683" spans="1:4" x14ac:dyDescent="0.25">
      <c r="A683" s="241">
        <v>2013</v>
      </c>
      <c r="B683" s="245" t="s">
        <v>1464</v>
      </c>
      <c r="C683" s="246">
        <v>85000</v>
      </c>
      <c r="D683" s="244" t="s">
        <v>11</v>
      </c>
    </row>
    <row r="684" spans="1:4" x14ac:dyDescent="0.25">
      <c r="A684" s="241">
        <v>2013</v>
      </c>
      <c r="B684" s="245" t="s">
        <v>1465</v>
      </c>
      <c r="C684" s="246">
        <v>1146184</v>
      </c>
      <c r="D684" s="244" t="s">
        <v>11</v>
      </c>
    </row>
    <row r="685" spans="1:4" x14ac:dyDescent="0.25">
      <c r="A685" s="241">
        <v>2013</v>
      </c>
      <c r="B685" s="245" t="s">
        <v>1466</v>
      </c>
      <c r="C685" s="246">
        <v>687000</v>
      </c>
      <c r="D685" s="244" t="s">
        <v>11</v>
      </c>
    </row>
    <row r="686" spans="1:4" x14ac:dyDescent="0.25">
      <c r="A686" s="241">
        <v>2013</v>
      </c>
      <c r="B686" s="245" t="s">
        <v>1467</v>
      </c>
      <c r="C686" s="246">
        <v>150000</v>
      </c>
      <c r="D686" s="244" t="s">
        <v>11</v>
      </c>
    </row>
    <row r="687" spans="1:4" x14ac:dyDescent="0.25">
      <c r="A687" s="241">
        <v>2013</v>
      </c>
      <c r="B687" s="245" t="s">
        <v>1468</v>
      </c>
      <c r="C687" s="246">
        <v>1439914</v>
      </c>
      <c r="D687" s="244" t="s">
        <v>11</v>
      </c>
    </row>
    <row r="688" spans="1:4" x14ac:dyDescent="0.25">
      <c r="A688" s="241">
        <v>2014</v>
      </c>
      <c r="B688" s="245" t="s">
        <v>1307</v>
      </c>
      <c r="C688" s="246">
        <v>1242492</v>
      </c>
      <c r="D688" s="244" t="s">
        <v>1469</v>
      </c>
    </row>
    <row r="689" spans="1:4" x14ac:dyDescent="0.25">
      <c r="A689" s="241">
        <v>2014</v>
      </c>
      <c r="B689" s="245" t="s">
        <v>1470</v>
      </c>
      <c r="C689" s="246">
        <v>1766665</v>
      </c>
      <c r="D689" s="244" t="s">
        <v>1469</v>
      </c>
    </row>
    <row r="690" spans="1:4" x14ac:dyDescent="0.25">
      <c r="A690" s="241">
        <v>2014</v>
      </c>
      <c r="B690" s="245" t="s">
        <v>1471</v>
      </c>
      <c r="C690" s="246">
        <v>3000000</v>
      </c>
      <c r="D690" s="244" t="s">
        <v>1469</v>
      </c>
    </row>
    <row r="691" spans="1:4" x14ac:dyDescent="0.25">
      <c r="A691" s="241">
        <v>2014</v>
      </c>
      <c r="B691" s="245" t="s">
        <v>1472</v>
      </c>
      <c r="C691" s="246">
        <v>3000000</v>
      </c>
      <c r="D691" s="244" t="s">
        <v>1469</v>
      </c>
    </row>
    <row r="692" spans="1:4" x14ac:dyDescent="0.25">
      <c r="A692" s="241">
        <v>2014</v>
      </c>
      <c r="B692" s="245" t="s">
        <v>1473</v>
      </c>
      <c r="C692" s="246">
        <v>710000</v>
      </c>
      <c r="D692" s="244" t="s">
        <v>1469</v>
      </c>
    </row>
    <row r="693" spans="1:4" ht="26.25" x14ac:dyDescent="0.25">
      <c r="A693" s="241">
        <v>2014</v>
      </c>
      <c r="B693" s="261" t="s">
        <v>1474</v>
      </c>
      <c r="C693" s="14">
        <v>794812</v>
      </c>
      <c r="D693" s="244" t="s">
        <v>1469</v>
      </c>
    </row>
    <row r="694" spans="1:4" ht="26.25" x14ac:dyDescent="0.25">
      <c r="A694" s="241">
        <v>2014</v>
      </c>
      <c r="B694" s="261" t="s">
        <v>1475</v>
      </c>
      <c r="C694" s="14">
        <v>692584</v>
      </c>
      <c r="D694" s="244" t="s">
        <v>1469</v>
      </c>
    </row>
    <row r="695" spans="1:4" ht="26.25" x14ac:dyDescent="0.25">
      <c r="A695" s="241">
        <v>2014</v>
      </c>
      <c r="B695" s="261" t="s">
        <v>1476</v>
      </c>
      <c r="C695" s="14">
        <v>478754</v>
      </c>
      <c r="D695" s="244" t="s">
        <v>1469</v>
      </c>
    </row>
    <row r="696" spans="1:4" ht="26.25" x14ac:dyDescent="0.25">
      <c r="A696" s="241">
        <v>2014</v>
      </c>
      <c r="B696" s="261" t="s">
        <v>1477</v>
      </c>
      <c r="C696" s="14">
        <v>65887</v>
      </c>
      <c r="D696" s="244" t="s">
        <v>1469</v>
      </c>
    </row>
    <row r="697" spans="1:4" ht="26.25" x14ac:dyDescent="0.25">
      <c r="A697" s="241">
        <v>2014</v>
      </c>
      <c r="B697" s="261" t="s">
        <v>1478</v>
      </c>
      <c r="C697" s="14">
        <v>534346</v>
      </c>
      <c r="D697" s="244" t="s">
        <v>1469</v>
      </c>
    </row>
    <row r="698" spans="1:4" ht="26.25" x14ac:dyDescent="0.25">
      <c r="A698" s="241">
        <v>2014</v>
      </c>
      <c r="B698" s="261" t="s">
        <v>1479</v>
      </c>
      <c r="C698" s="14">
        <v>81218</v>
      </c>
      <c r="D698" s="244" t="s">
        <v>1469</v>
      </c>
    </row>
    <row r="699" spans="1:4" ht="26.25" x14ac:dyDescent="0.25">
      <c r="A699" s="241">
        <v>2014</v>
      </c>
      <c r="B699" s="261" t="s">
        <v>1480</v>
      </c>
      <c r="C699" s="14">
        <v>513000</v>
      </c>
      <c r="D699" s="244" t="s">
        <v>1469</v>
      </c>
    </row>
    <row r="700" spans="1:4" ht="26.25" x14ac:dyDescent="0.25">
      <c r="A700" s="241">
        <v>2014</v>
      </c>
      <c r="B700" s="261" t="s">
        <v>1481</v>
      </c>
      <c r="C700" s="14">
        <v>1084933</v>
      </c>
      <c r="D700" s="244" t="s">
        <v>1469</v>
      </c>
    </row>
    <row r="701" spans="1:4" ht="26.25" x14ac:dyDescent="0.25">
      <c r="A701" s="241">
        <v>2014</v>
      </c>
      <c r="B701" s="261" t="s">
        <v>1482</v>
      </c>
      <c r="C701" s="14">
        <v>1078750</v>
      </c>
      <c r="D701" s="244" t="s">
        <v>1469</v>
      </c>
    </row>
    <row r="702" spans="1:4" ht="26.25" x14ac:dyDescent="0.25">
      <c r="A702" s="241">
        <v>2014</v>
      </c>
      <c r="B702" s="261" t="s">
        <v>1483</v>
      </c>
      <c r="C702" s="14">
        <v>796007</v>
      </c>
      <c r="D702" s="244" t="s">
        <v>1469</v>
      </c>
    </row>
    <row r="703" spans="1:4" ht="26.25" x14ac:dyDescent="0.25">
      <c r="A703" s="241">
        <v>2014</v>
      </c>
      <c r="B703" s="261" t="s">
        <v>1484</v>
      </c>
      <c r="C703" s="14">
        <v>1378638</v>
      </c>
      <c r="D703" s="244" t="s">
        <v>1469</v>
      </c>
    </row>
    <row r="704" spans="1:4" x14ac:dyDescent="0.25">
      <c r="A704" s="241">
        <v>2014</v>
      </c>
      <c r="B704" s="261" t="s">
        <v>1485</v>
      </c>
      <c r="C704" s="14">
        <v>3000000</v>
      </c>
      <c r="D704" s="244" t="s">
        <v>1469</v>
      </c>
    </row>
    <row r="705" spans="1:4" x14ac:dyDescent="0.25">
      <c r="A705" s="241">
        <v>2014</v>
      </c>
      <c r="B705" s="261" t="s">
        <v>1449</v>
      </c>
      <c r="C705" s="14">
        <v>3000000</v>
      </c>
      <c r="D705" s="244" t="s">
        <v>1469</v>
      </c>
    </row>
    <row r="706" spans="1:4" x14ac:dyDescent="0.25">
      <c r="A706" s="241">
        <v>2015</v>
      </c>
      <c r="B706" s="261" t="s">
        <v>1486</v>
      </c>
      <c r="C706" s="14">
        <v>3000000</v>
      </c>
      <c r="D706" s="244" t="s">
        <v>1469</v>
      </c>
    </row>
    <row r="707" spans="1:4" x14ac:dyDescent="0.25">
      <c r="A707" s="241">
        <v>2015</v>
      </c>
      <c r="B707" s="261" t="s">
        <v>1487</v>
      </c>
      <c r="C707" s="14">
        <v>1799839</v>
      </c>
      <c r="D707" s="244" t="s">
        <v>1469</v>
      </c>
    </row>
    <row r="708" spans="1:4" x14ac:dyDescent="0.25">
      <c r="A708" s="241">
        <v>2015</v>
      </c>
      <c r="B708" s="261" t="s">
        <v>1488</v>
      </c>
      <c r="C708" s="14">
        <v>2054469</v>
      </c>
      <c r="D708" s="244" t="s">
        <v>1469</v>
      </c>
    </row>
    <row r="709" spans="1:4" x14ac:dyDescent="0.25">
      <c r="A709" s="241">
        <v>2015</v>
      </c>
      <c r="B709" s="261" t="s">
        <v>1489</v>
      </c>
      <c r="C709" s="14">
        <v>419520</v>
      </c>
      <c r="D709" s="244" t="s">
        <v>1469</v>
      </c>
    </row>
    <row r="710" spans="1:4" x14ac:dyDescent="0.25">
      <c r="A710" s="176">
        <v>2015</v>
      </c>
      <c r="B710" s="261" t="s">
        <v>1490</v>
      </c>
      <c r="C710" s="14">
        <v>2000000</v>
      </c>
      <c r="D710" s="244" t="s">
        <v>1469</v>
      </c>
    </row>
    <row r="711" spans="1:4" x14ac:dyDescent="0.25">
      <c r="A711" s="176">
        <v>2015</v>
      </c>
      <c r="B711" s="261" t="s">
        <v>1491</v>
      </c>
      <c r="C711" s="14">
        <v>146240</v>
      </c>
      <c r="D711" s="244" t="s">
        <v>1469</v>
      </c>
    </row>
    <row r="712" spans="1:4" x14ac:dyDescent="0.25">
      <c r="A712" s="241">
        <v>2015</v>
      </c>
      <c r="B712" s="261" t="s">
        <v>1492</v>
      </c>
      <c r="C712" s="14">
        <v>2800000</v>
      </c>
      <c r="D712" s="244" t="s">
        <v>1469</v>
      </c>
    </row>
    <row r="713" spans="1:4" x14ac:dyDescent="0.25">
      <c r="A713" s="176">
        <v>2016</v>
      </c>
      <c r="B713" s="261" t="s">
        <v>1493</v>
      </c>
      <c r="C713" s="14">
        <v>2000000</v>
      </c>
      <c r="D713" s="244" t="s">
        <v>1469</v>
      </c>
    </row>
    <row r="714" spans="1:4" x14ac:dyDescent="0.25">
      <c r="A714" s="176">
        <v>2016</v>
      </c>
      <c r="B714" s="261" t="s">
        <v>1494</v>
      </c>
      <c r="C714" s="14">
        <v>3000000</v>
      </c>
      <c r="D714" s="244" t="s">
        <v>1469</v>
      </c>
    </row>
    <row r="715" spans="1:4" x14ac:dyDescent="0.25">
      <c r="A715" s="176">
        <v>2016</v>
      </c>
      <c r="B715" s="261" t="s">
        <v>1495</v>
      </c>
      <c r="C715" s="14">
        <v>1000000</v>
      </c>
      <c r="D715" s="244" t="s">
        <v>1469</v>
      </c>
    </row>
    <row r="716" spans="1:4" x14ac:dyDescent="0.25">
      <c r="A716" s="176">
        <v>2016</v>
      </c>
      <c r="B716" s="261" t="s">
        <v>1496</v>
      </c>
      <c r="C716" s="14">
        <v>708227</v>
      </c>
      <c r="D716" s="244" t="s">
        <v>1469</v>
      </c>
    </row>
    <row r="717" spans="1:4" x14ac:dyDescent="0.25">
      <c r="A717" s="248" t="s">
        <v>1497</v>
      </c>
      <c r="B717" s="249"/>
      <c r="C717" s="250"/>
      <c r="D717" s="251"/>
    </row>
    <row r="718" spans="1:4" x14ac:dyDescent="0.25">
      <c r="A718" s="252"/>
      <c r="B718" s="253">
        <f>COUNTA(B360:B716)</f>
        <v>357</v>
      </c>
      <c r="C718" s="254">
        <f>SUM(C360:C716)</f>
        <v>95669928</v>
      </c>
      <c r="D718" s="262"/>
    </row>
    <row r="721" spans="1:4" ht="18" x14ac:dyDescent="0.25">
      <c r="A721" s="233" t="s">
        <v>1498</v>
      </c>
      <c r="B721" s="18"/>
      <c r="C721" s="234"/>
      <c r="D721" s="235"/>
    </row>
    <row r="722" spans="1:4" ht="39" x14ac:dyDescent="0.25">
      <c r="A722" s="237" t="s">
        <v>1050</v>
      </c>
      <c r="B722" s="238" t="s">
        <v>1051</v>
      </c>
      <c r="C722" s="239" t="s">
        <v>1052</v>
      </c>
      <c r="D722" s="240" t="s">
        <v>1053</v>
      </c>
    </row>
    <row r="723" spans="1:4" x14ac:dyDescent="0.25">
      <c r="A723" s="256">
        <v>1979</v>
      </c>
      <c r="B723" s="249" t="s">
        <v>1499</v>
      </c>
      <c r="C723" s="250">
        <v>33000</v>
      </c>
      <c r="D723" s="263" t="s">
        <v>11</v>
      </c>
    </row>
    <row r="724" spans="1:4" x14ac:dyDescent="0.25">
      <c r="A724" s="241">
        <v>1979</v>
      </c>
      <c r="B724" s="216" t="s">
        <v>1500</v>
      </c>
      <c r="C724" s="232">
        <v>246541</v>
      </c>
      <c r="D724" s="264" t="s">
        <v>11</v>
      </c>
    </row>
    <row r="725" spans="1:4" x14ac:dyDescent="0.25">
      <c r="A725" s="241">
        <v>1979</v>
      </c>
      <c r="B725" s="216" t="s">
        <v>1501</v>
      </c>
      <c r="C725" s="232">
        <v>7000</v>
      </c>
      <c r="D725" s="264" t="s">
        <v>11</v>
      </c>
    </row>
    <row r="726" spans="1:4" x14ac:dyDescent="0.25">
      <c r="A726" s="241">
        <v>1979</v>
      </c>
      <c r="B726" s="216" t="s">
        <v>1502</v>
      </c>
      <c r="C726" s="232">
        <v>36352</v>
      </c>
      <c r="D726" s="264" t="s">
        <v>11</v>
      </c>
    </row>
    <row r="727" spans="1:4" x14ac:dyDescent="0.25">
      <c r="A727" s="241">
        <v>1979</v>
      </c>
      <c r="B727" s="216" t="s">
        <v>1503</v>
      </c>
      <c r="C727" s="232">
        <v>216729</v>
      </c>
      <c r="D727" s="264" t="s">
        <v>11</v>
      </c>
    </row>
    <row r="728" spans="1:4" x14ac:dyDescent="0.25">
      <c r="A728" s="241">
        <v>1979</v>
      </c>
      <c r="B728" s="216" t="s">
        <v>1504</v>
      </c>
      <c r="C728" s="232">
        <v>53756</v>
      </c>
      <c r="D728" s="264" t="s">
        <v>11</v>
      </c>
    </row>
    <row r="729" spans="1:4" x14ac:dyDescent="0.25">
      <c r="A729" s="241">
        <v>1979</v>
      </c>
      <c r="B729" s="216" t="s">
        <v>1505</v>
      </c>
      <c r="C729" s="232">
        <v>101215</v>
      </c>
      <c r="D729" s="264" t="s">
        <v>11</v>
      </c>
    </row>
    <row r="730" spans="1:4" x14ac:dyDescent="0.25">
      <c r="A730" s="241">
        <v>1980</v>
      </c>
      <c r="B730" s="216" t="s">
        <v>1506</v>
      </c>
      <c r="C730" s="232">
        <v>18800</v>
      </c>
      <c r="D730" s="264" t="s">
        <v>11</v>
      </c>
    </row>
    <row r="731" spans="1:4" s="236" customFormat="1" x14ac:dyDescent="0.25">
      <c r="A731" s="241">
        <v>1980</v>
      </c>
      <c r="B731" s="216" t="s">
        <v>1506</v>
      </c>
      <c r="C731" s="232">
        <v>68604</v>
      </c>
      <c r="D731" s="264" t="s">
        <v>11</v>
      </c>
    </row>
    <row r="732" spans="1:4" x14ac:dyDescent="0.25">
      <c r="A732" s="241">
        <v>1980</v>
      </c>
      <c r="B732" s="216" t="s">
        <v>1507</v>
      </c>
      <c r="C732" s="232">
        <v>1678</v>
      </c>
      <c r="D732" s="264" t="s">
        <v>11</v>
      </c>
    </row>
    <row r="733" spans="1:4" x14ac:dyDescent="0.25">
      <c r="A733" s="241">
        <v>1980</v>
      </c>
      <c r="B733" s="216" t="s">
        <v>1507</v>
      </c>
      <c r="C733" s="232">
        <v>41958</v>
      </c>
      <c r="D733" s="264" t="s">
        <v>11</v>
      </c>
    </row>
    <row r="734" spans="1:4" x14ac:dyDescent="0.25">
      <c r="A734" s="241">
        <v>1980</v>
      </c>
      <c r="B734" s="216" t="s">
        <v>1508</v>
      </c>
      <c r="C734" s="232">
        <v>22872</v>
      </c>
      <c r="D734" s="264" t="s">
        <v>11</v>
      </c>
    </row>
    <row r="735" spans="1:4" x14ac:dyDescent="0.25">
      <c r="A735" s="241">
        <v>1980</v>
      </c>
      <c r="B735" s="216" t="s">
        <v>1509</v>
      </c>
      <c r="C735" s="232">
        <v>109190</v>
      </c>
      <c r="D735" s="264" t="s">
        <v>11</v>
      </c>
    </row>
    <row r="736" spans="1:4" x14ac:dyDescent="0.25">
      <c r="A736" s="241">
        <v>1980</v>
      </c>
      <c r="B736" s="216" t="s">
        <v>1510</v>
      </c>
      <c r="C736" s="232">
        <v>57725</v>
      </c>
      <c r="D736" s="264" t="s">
        <v>11</v>
      </c>
    </row>
    <row r="737" spans="1:4" x14ac:dyDescent="0.25">
      <c r="A737" s="241">
        <v>1980</v>
      </c>
      <c r="B737" s="216" t="s">
        <v>1511</v>
      </c>
      <c r="C737" s="232">
        <v>3503</v>
      </c>
      <c r="D737" s="264" t="s">
        <v>11</v>
      </c>
    </row>
    <row r="738" spans="1:4" x14ac:dyDescent="0.25">
      <c r="A738" s="241">
        <v>1980</v>
      </c>
      <c r="B738" s="216" t="s">
        <v>1512</v>
      </c>
      <c r="C738" s="232">
        <v>204841</v>
      </c>
      <c r="D738" s="264" t="s">
        <v>11</v>
      </c>
    </row>
    <row r="739" spans="1:4" x14ac:dyDescent="0.25">
      <c r="A739" s="241">
        <v>1980</v>
      </c>
      <c r="B739" s="216" t="s">
        <v>1512</v>
      </c>
      <c r="C739" s="232">
        <v>20980</v>
      </c>
      <c r="D739" s="264" t="s">
        <v>11</v>
      </c>
    </row>
    <row r="740" spans="1:4" x14ac:dyDescent="0.25">
      <c r="A740" s="241">
        <v>1980</v>
      </c>
      <c r="B740" s="216" t="s">
        <v>1513</v>
      </c>
      <c r="C740" s="232">
        <v>20585</v>
      </c>
      <c r="D740" s="264" t="s">
        <v>11</v>
      </c>
    </row>
    <row r="741" spans="1:4" x14ac:dyDescent="0.25">
      <c r="A741" s="241">
        <v>1980</v>
      </c>
      <c r="B741" s="216" t="s">
        <v>1514</v>
      </c>
      <c r="C741" s="232">
        <v>211282</v>
      </c>
      <c r="D741" s="264" t="s">
        <v>11</v>
      </c>
    </row>
    <row r="742" spans="1:4" x14ac:dyDescent="0.25">
      <c r="A742" s="241">
        <v>1980</v>
      </c>
      <c r="B742" s="216" t="s">
        <v>1504</v>
      </c>
      <c r="C742" s="232">
        <v>89744</v>
      </c>
      <c r="D742" s="264" t="s">
        <v>11</v>
      </c>
    </row>
    <row r="743" spans="1:4" x14ac:dyDescent="0.25">
      <c r="A743" s="241">
        <v>1980</v>
      </c>
      <c r="B743" s="216" t="s">
        <v>1515</v>
      </c>
      <c r="C743" s="232">
        <v>552086</v>
      </c>
      <c r="D743" s="264" t="s">
        <v>11</v>
      </c>
    </row>
    <row r="744" spans="1:4" x14ac:dyDescent="0.25">
      <c r="A744" s="241">
        <v>1981</v>
      </c>
      <c r="B744" s="216" t="s">
        <v>1503</v>
      </c>
      <c r="C744" s="232">
        <v>14234</v>
      </c>
      <c r="D744" s="264" t="s">
        <v>11</v>
      </c>
    </row>
    <row r="745" spans="1:4" x14ac:dyDescent="0.25">
      <c r="A745" s="241">
        <v>1981</v>
      </c>
      <c r="B745" s="216" t="s">
        <v>1512</v>
      </c>
      <c r="C745" s="232">
        <v>10818</v>
      </c>
      <c r="D745" s="264" t="s">
        <v>11</v>
      </c>
    </row>
    <row r="746" spans="1:4" x14ac:dyDescent="0.25">
      <c r="A746" s="241">
        <v>1982</v>
      </c>
      <c r="B746" s="216" t="s">
        <v>1516</v>
      </c>
      <c r="C746" s="232">
        <v>100441</v>
      </c>
      <c r="D746" s="264" t="s">
        <v>11</v>
      </c>
    </row>
    <row r="747" spans="1:4" x14ac:dyDescent="0.25">
      <c r="A747" s="241">
        <v>1982</v>
      </c>
      <c r="B747" s="216" t="s">
        <v>1516</v>
      </c>
      <c r="C747" s="232">
        <v>16328</v>
      </c>
      <c r="D747" s="264" t="s">
        <v>11</v>
      </c>
    </row>
    <row r="748" spans="1:4" x14ac:dyDescent="0.25">
      <c r="A748" s="241">
        <v>1982</v>
      </c>
      <c r="B748" s="216" t="s">
        <v>1517</v>
      </c>
      <c r="C748" s="232">
        <v>148765</v>
      </c>
      <c r="D748" s="264" t="s">
        <v>11</v>
      </c>
    </row>
    <row r="749" spans="1:4" x14ac:dyDescent="0.25">
      <c r="A749" s="241">
        <v>1982</v>
      </c>
      <c r="B749" s="216" t="s">
        <v>1503</v>
      </c>
      <c r="C749" s="232">
        <v>37700</v>
      </c>
      <c r="D749" s="264" t="s">
        <v>11</v>
      </c>
    </row>
    <row r="750" spans="1:4" x14ac:dyDescent="0.25">
      <c r="A750" s="241">
        <v>1982</v>
      </c>
      <c r="B750" s="216" t="s">
        <v>1513</v>
      </c>
      <c r="C750" s="232">
        <v>11349</v>
      </c>
      <c r="D750" s="264" t="s">
        <v>11</v>
      </c>
    </row>
    <row r="751" spans="1:4" x14ac:dyDescent="0.25">
      <c r="A751" s="241">
        <v>1982</v>
      </c>
      <c r="B751" s="216" t="s">
        <v>1518</v>
      </c>
      <c r="C751" s="232">
        <v>74800</v>
      </c>
      <c r="D751" s="264" t="s">
        <v>11</v>
      </c>
    </row>
    <row r="752" spans="1:4" x14ac:dyDescent="0.25">
      <c r="A752" s="241">
        <v>1984</v>
      </c>
      <c r="B752" s="216" t="s">
        <v>1519</v>
      </c>
      <c r="C752" s="232">
        <v>235800</v>
      </c>
      <c r="D752" s="264" t="s">
        <v>11</v>
      </c>
    </row>
    <row r="753" spans="1:4" x14ac:dyDescent="0.25">
      <c r="A753" s="241">
        <v>1985</v>
      </c>
      <c r="B753" s="216" t="s">
        <v>1506</v>
      </c>
      <c r="C753" s="232">
        <v>31477</v>
      </c>
      <c r="D753" s="264" t="s">
        <v>11</v>
      </c>
    </row>
    <row r="754" spans="1:4" x14ac:dyDescent="0.25">
      <c r="A754" s="241">
        <v>1985</v>
      </c>
      <c r="B754" s="216" t="s">
        <v>1506</v>
      </c>
      <c r="C754" s="232">
        <v>81600</v>
      </c>
      <c r="D754" s="264" t="s">
        <v>11</v>
      </c>
    </row>
    <row r="755" spans="1:4" x14ac:dyDescent="0.25">
      <c r="A755" s="241">
        <v>1985</v>
      </c>
      <c r="B755" s="216" t="s">
        <v>1520</v>
      </c>
      <c r="C755" s="232">
        <v>176693</v>
      </c>
      <c r="D755" s="264" t="s">
        <v>11</v>
      </c>
    </row>
    <row r="756" spans="1:4" x14ac:dyDescent="0.25">
      <c r="A756" s="241">
        <v>1985</v>
      </c>
      <c r="B756" s="216" t="s">
        <v>1521</v>
      </c>
      <c r="C756" s="232">
        <v>11230</v>
      </c>
      <c r="D756" s="264" t="s">
        <v>11</v>
      </c>
    </row>
    <row r="757" spans="1:4" x14ac:dyDescent="0.25">
      <c r="A757" s="241">
        <v>1985</v>
      </c>
      <c r="B757" s="216" t="s">
        <v>1522</v>
      </c>
      <c r="C757" s="232">
        <v>73183</v>
      </c>
      <c r="D757" s="264" t="s">
        <v>11</v>
      </c>
    </row>
    <row r="758" spans="1:4" x14ac:dyDescent="0.25">
      <c r="A758" s="241">
        <v>1986</v>
      </c>
      <c r="B758" s="216" t="s">
        <v>1523</v>
      </c>
      <c r="C758" s="232">
        <v>89470</v>
      </c>
      <c r="D758" s="264" t="s">
        <v>11</v>
      </c>
    </row>
    <row r="759" spans="1:4" x14ac:dyDescent="0.25">
      <c r="A759" s="241">
        <v>1986</v>
      </c>
      <c r="B759" s="216" t="s">
        <v>1524</v>
      </c>
      <c r="C759" s="232">
        <v>109452</v>
      </c>
      <c r="D759" s="264" t="s">
        <v>11</v>
      </c>
    </row>
    <row r="760" spans="1:4" x14ac:dyDescent="0.25">
      <c r="A760" s="241">
        <v>1988</v>
      </c>
      <c r="B760" s="216" t="s">
        <v>1506</v>
      </c>
      <c r="C760" s="232">
        <v>23757</v>
      </c>
      <c r="D760" s="264" t="s">
        <v>11</v>
      </c>
    </row>
    <row r="761" spans="1:4" x14ac:dyDescent="0.25">
      <c r="A761" s="241">
        <v>1990</v>
      </c>
      <c r="B761" s="216" t="s">
        <v>1516</v>
      </c>
      <c r="C761" s="232">
        <v>306567</v>
      </c>
      <c r="D761" s="264" t="s">
        <v>11</v>
      </c>
    </row>
    <row r="762" spans="1:4" x14ac:dyDescent="0.25">
      <c r="A762" s="241">
        <v>1990</v>
      </c>
      <c r="B762" s="216" t="s">
        <v>1525</v>
      </c>
      <c r="C762" s="232">
        <v>2173</v>
      </c>
      <c r="D762" s="264" t="s">
        <v>11</v>
      </c>
    </row>
    <row r="763" spans="1:4" x14ac:dyDescent="0.25">
      <c r="A763" s="241">
        <v>1990</v>
      </c>
      <c r="B763" s="216" t="s">
        <v>1526</v>
      </c>
      <c r="C763" s="232">
        <v>6721</v>
      </c>
      <c r="D763" s="264" t="s">
        <v>11</v>
      </c>
    </row>
    <row r="764" spans="1:4" x14ac:dyDescent="0.25">
      <c r="A764" s="241">
        <v>1990</v>
      </c>
      <c r="B764" s="216" t="s">
        <v>1527</v>
      </c>
      <c r="C764" s="232">
        <v>61967</v>
      </c>
      <c r="D764" s="264" t="s">
        <v>11</v>
      </c>
    </row>
    <row r="765" spans="1:4" x14ac:dyDescent="0.25">
      <c r="A765" s="241">
        <v>1991</v>
      </c>
      <c r="B765" s="216" t="s">
        <v>1528</v>
      </c>
      <c r="C765" s="232">
        <v>195485</v>
      </c>
      <c r="D765" s="264" t="s">
        <v>11</v>
      </c>
    </row>
    <row r="766" spans="1:4" x14ac:dyDescent="0.25">
      <c r="A766" s="241">
        <v>1992</v>
      </c>
      <c r="B766" s="216" t="s">
        <v>1529</v>
      </c>
      <c r="C766" s="232">
        <v>20934</v>
      </c>
      <c r="D766" s="264" t="s">
        <v>11</v>
      </c>
    </row>
    <row r="767" spans="1:4" x14ac:dyDescent="0.25">
      <c r="A767" s="241">
        <v>1993</v>
      </c>
      <c r="B767" s="216" t="s">
        <v>1530</v>
      </c>
      <c r="C767" s="232">
        <v>88196</v>
      </c>
      <c r="D767" s="264" t="s">
        <v>11</v>
      </c>
    </row>
    <row r="768" spans="1:4" x14ac:dyDescent="0.25">
      <c r="A768" s="241">
        <v>1993</v>
      </c>
      <c r="B768" s="216" t="s">
        <v>1531</v>
      </c>
      <c r="C768" s="232">
        <v>189802</v>
      </c>
      <c r="D768" s="264" t="s">
        <v>11</v>
      </c>
    </row>
    <row r="769" spans="1:4" x14ac:dyDescent="0.25">
      <c r="A769" s="241">
        <v>1993</v>
      </c>
      <c r="B769" s="216" t="s">
        <v>1532</v>
      </c>
      <c r="C769" s="232">
        <v>250000</v>
      </c>
      <c r="D769" s="264" t="s">
        <v>11</v>
      </c>
    </row>
    <row r="770" spans="1:4" x14ac:dyDescent="0.25">
      <c r="A770" s="241">
        <v>1994</v>
      </c>
      <c r="B770" s="216" t="s">
        <v>1533</v>
      </c>
      <c r="C770" s="232">
        <v>161804</v>
      </c>
      <c r="D770" s="264" t="s">
        <v>11</v>
      </c>
    </row>
    <row r="771" spans="1:4" x14ac:dyDescent="0.25">
      <c r="A771" s="241">
        <v>1996</v>
      </c>
      <c r="B771" s="216" t="s">
        <v>1534</v>
      </c>
      <c r="C771" s="232">
        <v>185980</v>
      </c>
      <c r="D771" s="264" t="s">
        <v>11</v>
      </c>
    </row>
    <row r="772" spans="1:4" x14ac:dyDescent="0.25">
      <c r="A772" s="241">
        <v>1998</v>
      </c>
      <c r="B772" s="216" t="s">
        <v>1535</v>
      </c>
      <c r="C772" s="232">
        <v>450000</v>
      </c>
      <c r="D772" s="264" t="s">
        <v>11</v>
      </c>
    </row>
    <row r="773" spans="1:4" x14ac:dyDescent="0.25">
      <c r="A773" s="241">
        <v>2001</v>
      </c>
      <c r="B773" s="216" t="s">
        <v>1536</v>
      </c>
      <c r="C773" s="232">
        <v>250000</v>
      </c>
      <c r="D773" s="264" t="s">
        <v>11</v>
      </c>
    </row>
    <row r="774" spans="1:4" x14ac:dyDescent="0.25">
      <c r="A774" s="241">
        <v>2001</v>
      </c>
      <c r="B774" s="216" t="s">
        <v>1537</v>
      </c>
      <c r="C774" s="232">
        <v>962617</v>
      </c>
      <c r="D774" s="264" t="s">
        <v>11</v>
      </c>
    </row>
    <row r="775" spans="1:4" x14ac:dyDescent="0.25">
      <c r="A775" s="241">
        <v>2001</v>
      </c>
      <c r="B775" s="216" t="s">
        <v>1538</v>
      </c>
      <c r="C775" s="232">
        <v>1090020</v>
      </c>
      <c r="D775" s="264" t="s">
        <v>11</v>
      </c>
    </row>
    <row r="776" spans="1:4" x14ac:dyDescent="0.25">
      <c r="A776" s="241">
        <v>2001</v>
      </c>
      <c r="B776" s="216" t="s">
        <v>1538</v>
      </c>
      <c r="C776" s="232">
        <v>62324</v>
      </c>
      <c r="D776" s="264" t="s">
        <v>11</v>
      </c>
    </row>
    <row r="777" spans="1:4" x14ac:dyDescent="0.25">
      <c r="A777" s="241">
        <v>2001</v>
      </c>
      <c r="B777" s="216" t="s">
        <v>1538</v>
      </c>
      <c r="C777" s="232">
        <v>550200</v>
      </c>
      <c r="D777" s="264" t="s">
        <v>11</v>
      </c>
    </row>
    <row r="778" spans="1:4" x14ac:dyDescent="0.25">
      <c r="A778" s="241">
        <v>2001</v>
      </c>
      <c r="B778" s="243" t="s">
        <v>1539</v>
      </c>
      <c r="C778" s="232">
        <v>1600000</v>
      </c>
      <c r="D778" s="264" t="s">
        <v>11</v>
      </c>
    </row>
    <row r="779" spans="1:4" x14ac:dyDescent="0.25">
      <c r="A779" s="241">
        <v>2001</v>
      </c>
      <c r="B779" s="216" t="s">
        <v>1537</v>
      </c>
      <c r="C779" s="232">
        <v>647136</v>
      </c>
      <c r="D779" s="264" t="s">
        <v>11</v>
      </c>
    </row>
    <row r="780" spans="1:4" x14ac:dyDescent="0.25">
      <c r="A780" s="241">
        <v>2001</v>
      </c>
      <c r="B780" s="216" t="s">
        <v>1540</v>
      </c>
      <c r="C780" s="232">
        <v>1593574</v>
      </c>
      <c r="D780" s="264" t="s">
        <v>11</v>
      </c>
    </row>
    <row r="781" spans="1:4" x14ac:dyDescent="0.25">
      <c r="A781" s="241">
        <v>2001</v>
      </c>
      <c r="B781" s="216" t="s">
        <v>1540</v>
      </c>
      <c r="C781" s="232">
        <v>242445</v>
      </c>
      <c r="D781" s="264" t="s">
        <v>11</v>
      </c>
    </row>
    <row r="782" spans="1:4" x14ac:dyDescent="0.25">
      <c r="A782" s="241">
        <v>2001</v>
      </c>
      <c r="B782" s="216" t="s">
        <v>1541</v>
      </c>
      <c r="C782" s="232">
        <v>1210000</v>
      </c>
      <c r="D782" s="264" t="s">
        <v>11</v>
      </c>
    </row>
    <row r="783" spans="1:4" x14ac:dyDescent="0.25">
      <c r="A783" s="241">
        <v>2001</v>
      </c>
      <c r="B783" s="216" t="s">
        <v>1542</v>
      </c>
      <c r="C783" s="232">
        <v>1308913</v>
      </c>
      <c r="D783" s="264" t="s">
        <v>11</v>
      </c>
    </row>
    <row r="784" spans="1:4" x14ac:dyDescent="0.25">
      <c r="A784" s="241">
        <v>2002</v>
      </c>
      <c r="B784" s="216" t="s">
        <v>1543</v>
      </c>
      <c r="C784" s="232">
        <v>486500</v>
      </c>
      <c r="D784" s="264" t="s">
        <v>11</v>
      </c>
    </row>
    <row r="785" spans="1:4" x14ac:dyDescent="0.25">
      <c r="A785" s="241">
        <v>2002</v>
      </c>
      <c r="B785" s="216" t="s">
        <v>1499</v>
      </c>
      <c r="C785" s="232">
        <v>1317000</v>
      </c>
      <c r="D785" s="264" t="s">
        <v>11</v>
      </c>
    </row>
    <row r="786" spans="1:4" x14ac:dyDescent="0.25">
      <c r="A786" s="241">
        <v>2002</v>
      </c>
      <c r="B786" s="216" t="s">
        <v>1544</v>
      </c>
      <c r="C786" s="232">
        <v>1125000</v>
      </c>
      <c r="D786" s="264" t="s">
        <v>11</v>
      </c>
    </row>
    <row r="787" spans="1:4" x14ac:dyDescent="0.25">
      <c r="A787" s="241">
        <v>2002</v>
      </c>
      <c r="B787" s="216" t="s">
        <v>1545</v>
      </c>
      <c r="C787" s="232">
        <v>1208375</v>
      </c>
      <c r="D787" s="264" t="s">
        <v>11</v>
      </c>
    </row>
    <row r="788" spans="1:4" x14ac:dyDescent="0.25">
      <c r="A788" s="241">
        <v>2002</v>
      </c>
      <c r="B788" s="216" t="s">
        <v>1544</v>
      </c>
      <c r="C788" s="232">
        <v>650000</v>
      </c>
      <c r="D788" s="264" t="s">
        <v>11</v>
      </c>
    </row>
    <row r="789" spans="1:4" x14ac:dyDescent="0.25">
      <c r="A789" s="241">
        <v>2003</v>
      </c>
      <c r="B789" s="216" t="s">
        <v>1543</v>
      </c>
      <c r="C789" s="232">
        <v>183685</v>
      </c>
      <c r="D789" s="264" t="s">
        <v>11</v>
      </c>
    </row>
    <row r="790" spans="1:4" x14ac:dyDescent="0.25">
      <c r="A790" s="241">
        <v>2003</v>
      </c>
      <c r="B790" s="216" t="s">
        <v>1546</v>
      </c>
      <c r="C790" s="232">
        <v>91067</v>
      </c>
      <c r="D790" s="264" t="s">
        <v>11</v>
      </c>
    </row>
    <row r="791" spans="1:4" x14ac:dyDescent="0.25">
      <c r="A791" s="241">
        <v>2003</v>
      </c>
      <c r="B791" s="216" t="s">
        <v>1547</v>
      </c>
      <c r="C791" s="232">
        <v>2000000</v>
      </c>
      <c r="D791" s="264" t="s">
        <v>11</v>
      </c>
    </row>
    <row r="792" spans="1:4" x14ac:dyDescent="0.25">
      <c r="A792" s="241">
        <v>2007</v>
      </c>
      <c r="B792" s="216" t="s">
        <v>1548</v>
      </c>
      <c r="C792" s="232">
        <v>1950000</v>
      </c>
      <c r="D792" s="264" t="s">
        <v>11</v>
      </c>
    </row>
    <row r="793" spans="1:4" x14ac:dyDescent="0.25">
      <c r="A793" s="241">
        <v>2008</v>
      </c>
      <c r="B793" s="13" t="s">
        <v>1549</v>
      </c>
      <c r="C793" s="232">
        <v>1368646</v>
      </c>
      <c r="D793" s="264" t="s">
        <v>11</v>
      </c>
    </row>
    <row r="794" spans="1:4" x14ac:dyDescent="0.25">
      <c r="A794" s="241">
        <v>2010</v>
      </c>
      <c r="B794" s="216" t="s">
        <v>1550</v>
      </c>
      <c r="C794" s="232">
        <v>766231</v>
      </c>
      <c r="D794" s="264" t="s">
        <v>1212</v>
      </c>
    </row>
    <row r="795" spans="1:4" x14ac:dyDescent="0.25">
      <c r="A795" s="241">
        <v>2010</v>
      </c>
      <c r="B795" s="216" t="s">
        <v>1472</v>
      </c>
      <c r="C795" s="232">
        <v>2200000</v>
      </c>
      <c r="D795" s="264" t="s">
        <v>11</v>
      </c>
    </row>
    <row r="796" spans="1:4" x14ac:dyDescent="0.25">
      <c r="A796" s="241">
        <v>2013</v>
      </c>
      <c r="B796" s="245" t="s">
        <v>1551</v>
      </c>
      <c r="C796" s="232">
        <v>900000</v>
      </c>
      <c r="D796" s="264" t="s">
        <v>11</v>
      </c>
    </row>
    <row r="797" spans="1:4" x14ac:dyDescent="0.25">
      <c r="A797" s="241">
        <v>2013</v>
      </c>
      <c r="B797" s="245" t="s">
        <v>1552</v>
      </c>
      <c r="C797" s="232">
        <v>750000</v>
      </c>
      <c r="D797" s="265" t="s">
        <v>11</v>
      </c>
    </row>
    <row r="798" spans="1:4" x14ac:dyDescent="0.25">
      <c r="A798" s="241">
        <v>2014</v>
      </c>
      <c r="B798" s="245" t="s">
        <v>1553</v>
      </c>
      <c r="C798" s="232">
        <v>3000000</v>
      </c>
      <c r="D798" s="265" t="s">
        <v>11</v>
      </c>
    </row>
    <row r="799" spans="1:4" x14ac:dyDescent="0.25">
      <c r="A799" s="241">
        <v>2014</v>
      </c>
      <c r="B799" s="245" t="s">
        <v>1554</v>
      </c>
      <c r="C799" s="232">
        <v>3000000</v>
      </c>
      <c r="D799" s="265" t="s">
        <v>1469</v>
      </c>
    </row>
    <row r="800" spans="1:4" x14ac:dyDescent="0.25">
      <c r="A800" s="241">
        <v>2015</v>
      </c>
      <c r="B800" s="245" t="s">
        <v>1555</v>
      </c>
      <c r="C800" s="232">
        <v>3000000</v>
      </c>
      <c r="D800" s="265" t="s">
        <v>1469</v>
      </c>
    </row>
    <row r="801" spans="1:4" x14ac:dyDescent="0.25">
      <c r="A801" s="248" t="s">
        <v>1556</v>
      </c>
      <c r="B801" s="249"/>
      <c r="C801" s="250"/>
      <c r="D801" s="263"/>
    </row>
    <row r="802" spans="1:4" x14ac:dyDescent="0.25">
      <c r="A802" s="252"/>
      <c r="B802" s="253">
        <f>COUNTA(B723:B800)</f>
        <v>78</v>
      </c>
      <c r="C802" s="254">
        <f>SUM(C723:C800)</f>
        <v>38798900</v>
      </c>
      <c r="D802" s="255"/>
    </row>
    <row r="805" spans="1:4" ht="18" x14ac:dyDescent="0.25">
      <c r="A805" s="233" t="s">
        <v>1557</v>
      </c>
      <c r="B805" s="18"/>
      <c r="C805" s="234"/>
      <c r="D805" s="266"/>
    </row>
    <row r="806" spans="1:4" ht="39" x14ac:dyDescent="0.25">
      <c r="A806" s="237" t="s">
        <v>1050</v>
      </c>
      <c r="B806" s="238" t="s">
        <v>1051</v>
      </c>
      <c r="C806" s="239" t="s">
        <v>1052</v>
      </c>
      <c r="D806" s="240" t="s">
        <v>1053</v>
      </c>
    </row>
    <row r="807" spans="1:4" x14ac:dyDescent="0.25">
      <c r="A807" s="256">
        <v>1990</v>
      </c>
      <c r="B807" s="249" t="s">
        <v>1558</v>
      </c>
      <c r="C807" s="250">
        <v>200000</v>
      </c>
      <c r="D807" s="251" t="s">
        <v>11</v>
      </c>
    </row>
    <row r="808" spans="1:4" x14ac:dyDescent="0.25">
      <c r="A808" s="241">
        <v>1991</v>
      </c>
      <c r="B808" s="216" t="s">
        <v>1559</v>
      </c>
      <c r="C808" s="232">
        <v>600000</v>
      </c>
      <c r="D808" s="242" t="s">
        <v>11</v>
      </c>
    </row>
    <row r="809" spans="1:4" x14ac:dyDescent="0.25">
      <c r="A809" s="241">
        <v>1993</v>
      </c>
      <c r="B809" s="216" t="s">
        <v>1560</v>
      </c>
      <c r="C809" s="232">
        <v>250000</v>
      </c>
      <c r="D809" s="242" t="s">
        <v>11</v>
      </c>
    </row>
    <row r="810" spans="1:4" x14ac:dyDescent="0.25">
      <c r="A810" s="241">
        <v>1994</v>
      </c>
      <c r="B810" s="216" t="s">
        <v>1561</v>
      </c>
      <c r="C810" s="232">
        <v>242750</v>
      </c>
      <c r="D810" s="242" t="s">
        <v>11</v>
      </c>
    </row>
    <row r="811" spans="1:4" x14ac:dyDescent="0.25">
      <c r="A811" s="241">
        <v>1998</v>
      </c>
      <c r="B811" s="216" t="s">
        <v>1562</v>
      </c>
      <c r="C811" s="232">
        <v>425000</v>
      </c>
      <c r="D811" s="242" t="s">
        <v>11</v>
      </c>
    </row>
    <row r="812" spans="1:4" x14ac:dyDescent="0.25">
      <c r="A812" s="241">
        <v>1998</v>
      </c>
      <c r="B812" s="216" t="s">
        <v>1563</v>
      </c>
      <c r="C812" s="232">
        <v>100000</v>
      </c>
      <c r="D812" s="242" t="s">
        <v>11</v>
      </c>
    </row>
    <row r="813" spans="1:4" x14ac:dyDescent="0.25">
      <c r="A813" s="241">
        <v>2001</v>
      </c>
      <c r="B813" s="216" t="s">
        <v>1564</v>
      </c>
      <c r="C813" s="232">
        <v>1991945</v>
      </c>
      <c r="D813" s="242" t="s">
        <v>11</v>
      </c>
    </row>
    <row r="814" spans="1:4" x14ac:dyDescent="0.25">
      <c r="A814" s="241">
        <v>2001</v>
      </c>
      <c r="B814" s="216" t="s">
        <v>1565</v>
      </c>
      <c r="C814" s="232">
        <v>96300</v>
      </c>
      <c r="D814" s="242" t="s">
        <v>11</v>
      </c>
    </row>
    <row r="815" spans="1:4" s="236" customFormat="1" x14ac:dyDescent="0.25">
      <c r="A815" s="241">
        <v>2003</v>
      </c>
      <c r="B815" s="216" t="s">
        <v>1566</v>
      </c>
      <c r="C815" s="232">
        <v>175000</v>
      </c>
      <c r="D815" s="242" t="s">
        <v>11</v>
      </c>
    </row>
    <row r="816" spans="1:4" x14ac:dyDescent="0.25">
      <c r="A816" s="241">
        <v>2007</v>
      </c>
      <c r="B816" s="216" t="s">
        <v>1567</v>
      </c>
      <c r="C816" s="232">
        <v>1193500</v>
      </c>
      <c r="D816" s="242" t="s">
        <v>11</v>
      </c>
    </row>
    <row r="817" spans="1:4" x14ac:dyDescent="0.25">
      <c r="A817" s="241">
        <v>2010</v>
      </c>
      <c r="B817" s="243" t="s">
        <v>1568</v>
      </c>
      <c r="C817" s="232">
        <v>165100</v>
      </c>
      <c r="D817" s="244" t="s">
        <v>1212</v>
      </c>
    </row>
    <row r="818" spans="1:4" x14ac:dyDescent="0.25">
      <c r="A818" s="241">
        <v>2014</v>
      </c>
      <c r="B818" s="243" t="s">
        <v>1569</v>
      </c>
      <c r="C818" s="232">
        <v>475241</v>
      </c>
      <c r="D818" s="244" t="s">
        <v>11</v>
      </c>
    </row>
    <row r="819" spans="1:4" x14ac:dyDescent="0.25">
      <c r="A819" s="241">
        <v>2015</v>
      </c>
      <c r="B819" s="243" t="s">
        <v>1569</v>
      </c>
      <c r="C819" s="232">
        <v>227475</v>
      </c>
      <c r="D819" s="244" t="s">
        <v>11</v>
      </c>
    </row>
    <row r="820" spans="1:4" x14ac:dyDescent="0.25">
      <c r="A820" s="241">
        <v>2015</v>
      </c>
      <c r="B820" s="243" t="s">
        <v>1570</v>
      </c>
      <c r="C820" s="232">
        <v>2900767</v>
      </c>
      <c r="D820" s="244" t="s">
        <v>11</v>
      </c>
    </row>
    <row r="821" spans="1:4" x14ac:dyDescent="0.25">
      <c r="A821" s="241">
        <v>2016</v>
      </c>
      <c r="B821" s="243" t="s">
        <v>1571</v>
      </c>
      <c r="C821" s="232">
        <v>1355000</v>
      </c>
      <c r="D821" s="244" t="s">
        <v>11</v>
      </c>
    </row>
    <row r="822" spans="1:4" x14ac:dyDescent="0.25">
      <c r="A822" s="241">
        <v>2016</v>
      </c>
      <c r="B822" s="13" t="s">
        <v>1572</v>
      </c>
      <c r="C822" s="232">
        <v>136000</v>
      </c>
      <c r="D822" s="267" t="s">
        <v>11</v>
      </c>
    </row>
    <row r="823" spans="1:4" x14ac:dyDescent="0.25">
      <c r="A823" s="248" t="s">
        <v>1573</v>
      </c>
      <c r="B823" s="249"/>
      <c r="C823" s="250"/>
      <c r="D823" s="251"/>
    </row>
    <row r="824" spans="1:4" x14ac:dyDescent="0.25">
      <c r="A824" s="268"/>
      <c r="B824" s="253">
        <f>COUNTA(B807:B822)</f>
        <v>16</v>
      </c>
      <c r="C824" s="254">
        <f>SUM(C807:C822)</f>
        <v>10534078</v>
      </c>
      <c r="D824" s="262"/>
    </row>
    <row r="827" spans="1:4" ht="18" x14ac:dyDescent="0.25">
      <c r="A827" s="233" t="s">
        <v>1574</v>
      </c>
      <c r="B827" s="18"/>
      <c r="C827" s="234"/>
      <c r="D827" s="235"/>
    </row>
    <row r="828" spans="1:4" ht="39" x14ac:dyDescent="0.25">
      <c r="A828" s="237" t="s">
        <v>1050</v>
      </c>
      <c r="B828" s="238" t="s">
        <v>1051</v>
      </c>
      <c r="C828" s="239" t="s">
        <v>1052</v>
      </c>
      <c r="D828" s="240" t="s">
        <v>1053</v>
      </c>
    </row>
    <row r="829" spans="1:4" x14ac:dyDescent="0.25">
      <c r="A829" s="256">
        <v>1979</v>
      </c>
      <c r="B829" s="249" t="s">
        <v>1575</v>
      </c>
      <c r="C829" s="250">
        <v>23050</v>
      </c>
      <c r="D829" s="251" t="s">
        <v>11</v>
      </c>
    </row>
    <row r="830" spans="1:4" x14ac:dyDescent="0.25">
      <c r="A830" s="241">
        <v>1979</v>
      </c>
      <c r="B830" s="216" t="s">
        <v>1576</v>
      </c>
      <c r="C830" s="232">
        <v>68901</v>
      </c>
      <c r="D830" s="242" t="s">
        <v>11</v>
      </c>
    </row>
    <row r="831" spans="1:4" x14ac:dyDescent="0.25">
      <c r="A831" s="241">
        <v>1979</v>
      </c>
      <c r="B831" s="216" t="s">
        <v>1577</v>
      </c>
      <c r="C831" s="232">
        <v>60725</v>
      </c>
      <c r="D831" s="242" t="s">
        <v>11</v>
      </c>
    </row>
    <row r="832" spans="1:4" x14ac:dyDescent="0.25">
      <c r="A832" s="241">
        <v>1979</v>
      </c>
      <c r="B832" s="216" t="s">
        <v>1578</v>
      </c>
      <c r="C832" s="232">
        <v>19673</v>
      </c>
      <c r="D832" s="242" t="s">
        <v>11</v>
      </c>
    </row>
    <row r="833" spans="1:4" x14ac:dyDescent="0.25">
      <c r="A833" s="241">
        <v>1979</v>
      </c>
      <c r="B833" s="216" t="s">
        <v>1579</v>
      </c>
      <c r="C833" s="232">
        <v>244816</v>
      </c>
      <c r="D833" s="242" t="s">
        <v>11</v>
      </c>
    </row>
    <row r="834" spans="1:4" x14ac:dyDescent="0.25">
      <c r="A834" s="241">
        <v>1979</v>
      </c>
      <c r="B834" s="216" t="s">
        <v>1580</v>
      </c>
      <c r="C834" s="232">
        <v>20444</v>
      </c>
      <c r="D834" s="242" t="s">
        <v>11</v>
      </c>
    </row>
    <row r="835" spans="1:4" x14ac:dyDescent="0.25">
      <c r="A835" s="241">
        <v>1979</v>
      </c>
      <c r="B835" s="216" t="s">
        <v>1580</v>
      </c>
      <c r="C835" s="232">
        <v>572372</v>
      </c>
      <c r="D835" s="242" t="s">
        <v>11</v>
      </c>
    </row>
    <row r="836" spans="1:4" x14ac:dyDescent="0.25">
      <c r="A836" s="241">
        <v>1979</v>
      </c>
      <c r="B836" s="216" t="s">
        <v>1581</v>
      </c>
      <c r="C836" s="232">
        <v>37910</v>
      </c>
      <c r="D836" s="242" t="s">
        <v>11</v>
      </c>
    </row>
    <row r="837" spans="1:4" s="236" customFormat="1" x14ac:dyDescent="0.25">
      <c r="A837" s="241">
        <v>1979</v>
      </c>
      <c r="B837" s="216" t="s">
        <v>1582</v>
      </c>
      <c r="C837" s="232">
        <v>251000</v>
      </c>
      <c r="D837" s="242" t="s">
        <v>11</v>
      </c>
    </row>
    <row r="838" spans="1:4" x14ac:dyDescent="0.25">
      <c r="A838" s="241">
        <v>1979</v>
      </c>
      <c r="B838" s="216" t="s">
        <v>1583</v>
      </c>
      <c r="C838" s="232">
        <v>6900</v>
      </c>
      <c r="D838" s="242" t="s">
        <v>11</v>
      </c>
    </row>
    <row r="839" spans="1:4" x14ac:dyDescent="0.25">
      <c r="A839" s="241">
        <v>1979</v>
      </c>
      <c r="B839" s="216" t="s">
        <v>1584</v>
      </c>
      <c r="C839" s="232">
        <v>165523</v>
      </c>
      <c r="D839" s="242" t="s">
        <v>11</v>
      </c>
    </row>
    <row r="840" spans="1:4" x14ac:dyDescent="0.25">
      <c r="A840" s="241">
        <v>1980</v>
      </c>
      <c r="B840" s="216" t="s">
        <v>1585</v>
      </c>
      <c r="C840" s="232">
        <v>181673</v>
      </c>
      <c r="D840" s="242" t="s">
        <v>11</v>
      </c>
    </row>
    <row r="841" spans="1:4" x14ac:dyDescent="0.25">
      <c r="A841" s="241">
        <v>1980</v>
      </c>
      <c r="B841" s="216" t="s">
        <v>1586</v>
      </c>
      <c r="C841" s="232">
        <v>120105</v>
      </c>
      <c r="D841" s="242" t="s">
        <v>11</v>
      </c>
    </row>
    <row r="842" spans="1:4" x14ac:dyDescent="0.25">
      <c r="A842" s="241">
        <v>1980</v>
      </c>
      <c r="B842" s="216" t="s">
        <v>1587</v>
      </c>
      <c r="C842" s="232">
        <v>50000</v>
      </c>
      <c r="D842" s="242" t="s">
        <v>11</v>
      </c>
    </row>
    <row r="843" spans="1:4" x14ac:dyDescent="0.25">
      <c r="A843" s="241">
        <v>1980</v>
      </c>
      <c r="B843" s="216" t="s">
        <v>1588</v>
      </c>
      <c r="C843" s="232">
        <v>83215</v>
      </c>
      <c r="D843" s="242" t="s">
        <v>11</v>
      </c>
    </row>
    <row r="844" spans="1:4" x14ac:dyDescent="0.25">
      <c r="A844" s="241">
        <v>1980</v>
      </c>
      <c r="B844" s="216" t="s">
        <v>1588</v>
      </c>
      <c r="C844" s="232">
        <v>86424</v>
      </c>
      <c r="D844" s="242" t="s">
        <v>11</v>
      </c>
    </row>
    <row r="845" spans="1:4" x14ac:dyDescent="0.25">
      <c r="A845" s="241">
        <v>1980</v>
      </c>
      <c r="B845" s="216" t="s">
        <v>1589</v>
      </c>
      <c r="C845" s="232">
        <v>3009898</v>
      </c>
      <c r="D845" s="242" t="s">
        <v>11</v>
      </c>
    </row>
    <row r="846" spans="1:4" x14ac:dyDescent="0.25">
      <c r="A846" s="241">
        <v>1980</v>
      </c>
      <c r="B846" s="216" t="s">
        <v>1590</v>
      </c>
      <c r="C846" s="232">
        <v>310183</v>
      </c>
      <c r="D846" s="242" t="s">
        <v>11</v>
      </c>
    </row>
    <row r="847" spans="1:4" x14ac:dyDescent="0.25">
      <c r="A847" s="241">
        <v>1980</v>
      </c>
      <c r="B847" s="216" t="s">
        <v>1591</v>
      </c>
      <c r="C847" s="232">
        <v>26071</v>
      </c>
      <c r="D847" s="242" t="s">
        <v>11</v>
      </c>
    </row>
    <row r="848" spans="1:4" x14ac:dyDescent="0.25">
      <c r="A848" s="241">
        <v>1980</v>
      </c>
      <c r="B848" s="216" t="s">
        <v>1592</v>
      </c>
      <c r="C848" s="232">
        <v>162398</v>
      </c>
      <c r="D848" s="242" t="s">
        <v>11</v>
      </c>
    </row>
    <row r="849" spans="1:4" x14ac:dyDescent="0.25">
      <c r="A849" s="241">
        <v>1980</v>
      </c>
      <c r="B849" s="216" t="s">
        <v>1593</v>
      </c>
      <c r="C849" s="232">
        <v>174159</v>
      </c>
      <c r="D849" s="242" t="s">
        <v>11</v>
      </c>
    </row>
    <row r="850" spans="1:4" x14ac:dyDescent="0.25">
      <c r="A850" s="241">
        <v>1980</v>
      </c>
      <c r="B850" s="216" t="s">
        <v>1594</v>
      </c>
      <c r="C850" s="232">
        <v>50000</v>
      </c>
      <c r="D850" s="242" t="s">
        <v>11</v>
      </c>
    </row>
    <row r="851" spans="1:4" x14ac:dyDescent="0.25">
      <c r="A851" s="241">
        <v>1980</v>
      </c>
      <c r="B851" s="216" t="s">
        <v>1595</v>
      </c>
      <c r="C851" s="232">
        <v>31988</v>
      </c>
      <c r="D851" s="242" t="s">
        <v>11</v>
      </c>
    </row>
    <row r="852" spans="1:4" x14ac:dyDescent="0.25">
      <c r="A852" s="241">
        <v>1980</v>
      </c>
      <c r="B852" s="216" t="s">
        <v>1596</v>
      </c>
      <c r="C852" s="232">
        <v>23504</v>
      </c>
      <c r="D852" s="242" t="s">
        <v>11</v>
      </c>
    </row>
    <row r="853" spans="1:4" x14ac:dyDescent="0.25">
      <c r="A853" s="241">
        <v>1981</v>
      </c>
      <c r="B853" s="216" t="s">
        <v>1597</v>
      </c>
      <c r="C853" s="232">
        <v>141669</v>
      </c>
      <c r="D853" s="242" t="s">
        <v>11</v>
      </c>
    </row>
    <row r="854" spans="1:4" x14ac:dyDescent="0.25">
      <c r="A854" s="241">
        <v>1981</v>
      </c>
      <c r="B854" s="216" t="s">
        <v>1594</v>
      </c>
      <c r="C854" s="232">
        <v>8170</v>
      </c>
      <c r="D854" s="242" t="s">
        <v>11</v>
      </c>
    </row>
    <row r="855" spans="1:4" x14ac:dyDescent="0.25">
      <c r="A855" s="241">
        <v>1981</v>
      </c>
      <c r="B855" s="216" t="s">
        <v>1598</v>
      </c>
      <c r="C855" s="232">
        <v>166150</v>
      </c>
      <c r="D855" s="242" t="s">
        <v>11</v>
      </c>
    </row>
    <row r="856" spans="1:4" x14ac:dyDescent="0.25">
      <c r="A856" s="241">
        <v>1982</v>
      </c>
      <c r="B856" s="216" t="s">
        <v>1597</v>
      </c>
      <c r="C856" s="232">
        <v>200895</v>
      </c>
      <c r="D856" s="242" t="s">
        <v>11</v>
      </c>
    </row>
    <row r="857" spans="1:4" x14ac:dyDescent="0.25">
      <c r="A857" s="241">
        <v>1982</v>
      </c>
      <c r="B857" s="216" t="s">
        <v>1599</v>
      </c>
      <c r="C857" s="232">
        <v>726950</v>
      </c>
      <c r="D857" s="242" t="s">
        <v>11</v>
      </c>
    </row>
    <row r="858" spans="1:4" x14ac:dyDescent="0.25">
      <c r="A858" s="241">
        <v>1982</v>
      </c>
      <c r="B858" s="216" t="s">
        <v>1598</v>
      </c>
      <c r="C858" s="232">
        <v>128640</v>
      </c>
      <c r="D858" s="242" t="s">
        <v>11</v>
      </c>
    </row>
    <row r="859" spans="1:4" x14ac:dyDescent="0.25">
      <c r="A859" s="241">
        <v>1982</v>
      </c>
      <c r="B859" s="216" t="s">
        <v>1600</v>
      </c>
      <c r="C859" s="232">
        <v>22405</v>
      </c>
      <c r="D859" s="242" t="s">
        <v>11</v>
      </c>
    </row>
    <row r="860" spans="1:4" x14ac:dyDescent="0.25">
      <c r="A860" s="241">
        <v>1983</v>
      </c>
      <c r="B860" s="216" t="s">
        <v>1594</v>
      </c>
      <c r="C860" s="232">
        <v>188155</v>
      </c>
      <c r="D860" s="242" t="s">
        <v>11</v>
      </c>
    </row>
    <row r="861" spans="1:4" x14ac:dyDescent="0.25">
      <c r="A861" s="241">
        <v>1984</v>
      </c>
      <c r="B861" s="216" t="s">
        <v>1601</v>
      </c>
      <c r="C861" s="232">
        <v>182559</v>
      </c>
      <c r="D861" s="242" t="s">
        <v>11</v>
      </c>
    </row>
    <row r="862" spans="1:4" x14ac:dyDescent="0.25">
      <c r="A862" s="241">
        <v>1984</v>
      </c>
      <c r="B862" s="216" t="s">
        <v>1598</v>
      </c>
      <c r="C862" s="232">
        <v>32788</v>
      </c>
      <c r="D862" s="242" t="s">
        <v>11</v>
      </c>
    </row>
    <row r="863" spans="1:4" x14ac:dyDescent="0.25">
      <c r="A863" s="241">
        <v>1984</v>
      </c>
      <c r="B863" s="216" t="s">
        <v>1602</v>
      </c>
      <c r="C863" s="232">
        <v>91521</v>
      </c>
      <c r="D863" s="242" t="s">
        <v>11</v>
      </c>
    </row>
    <row r="864" spans="1:4" x14ac:dyDescent="0.25">
      <c r="A864" s="241">
        <v>1985</v>
      </c>
      <c r="B864" s="216" t="s">
        <v>1603</v>
      </c>
      <c r="C864" s="232">
        <v>201615</v>
      </c>
      <c r="D864" s="242" t="s">
        <v>11</v>
      </c>
    </row>
    <row r="865" spans="1:4" x14ac:dyDescent="0.25">
      <c r="A865" s="241">
        <v>1985</v>
      </c>
      <c r="B865" s="216" t="s">
        <v>1604</v>
      </c>
      <c r="C865" s="232">
        <v>200000</v>
      </c>
      <c r="D865" s="242" t="s">
        <v>11</v>
      </c>
    </row>
    <row r="866" spans="1:4" x14ac:dyDescent="0.25">
      <c r="A866" s="241">
        <v>1985</v>
      </c>
      <c r="B866" s="216" t="s">
        <v>1578</v>
      </c>
      <c r="C866" s="232">
        <v>70153</v>
      </c>
      <c r="D866" s="242" t="s">
        <v>11</v>
      </c>
    </row>
    <row r="867" spans="1:4" x14ac:dyDescent="0.25">
      <c r="A867" s="241">
        <v>1988</v>
      </c>
      <c r="B867" s="216" t="s">
        <v>1605</v>
      </c>
      <c r="C867" s="232">
        <v>242633</v>
      </c>
      <c r="D867" s="242" t="s">
        <v>11</v>
      </c>
    </row>
    <row r="868" spans="1:4" x14ac:dyDescent="0.25">
      <c r="A868" s="241">
        <v>1988</v>
      </c>
      <c r="B868" s="216" t="s">
        <v>1606</v>
      </c>
      <c r="C868" s="232">
        <v>85647</v>
      </c>
      <c r="D868" s="242" t="s">
        <v>11</v>
      </c>
    </row>
    <row r="869" spans="1:4" x14ac:dyDescent="0.25">
      <c r="A869" s="241">
        <v>1988</v>
      </c>
      <c r="B869" s="216" t="s">
        <v>1607</v>
      </c>
      <c r="C869" s="232">
        <v>225520</v>
      </c>
      <c r="D869" s="242" t="s">
        <v>11</v>
      </c>
    </row>
    <row r="870" spans="1:4" x14ac:dyDescent="0.25">
      <c r="A870" s="241">
        <v>1988</v>
      </c>
      <c r="B870" s="216" t="s">
        <v>1608</v>
      </c>
      <c r="C870" s="232">
        <v>66466</v>
      </c>
      <c r="D870" s="242" t="s">
        <v>11</v>
      </c>
    </row>
    <row r="871" spans="1:4" x14ac:dyDescent="0.25">
      <c r="A871" s="241">
        <v>1990</v>
      </c>
      <c r="B871" s="216" t="s">
        <v>1609</v>
      </c>
      <c r="C871" s="232">
        <v>171238</v>
      </c>
      <c r="D871" s="242" t="s">
        <v>11</v>
      </c>
    </row>
    <row r="872" spans="1:4" x14ac:dyDescent="0.25">
      <c r="A872" s="241">
        <v>1991</v>
      </c>
      <c r="B872" s="216" t="s">
        <v>1610</v>
      </c>
      <c r="C872" s="232">
        <v>45162</v>
      </c>
      <c r="D872" s="242" t="s">
        <v>11</v>
      </c>
    </row>
    <row r="873" spans="1:4" x14ac:dyDescent="0.25">
      <c r="A873" s="241">
        <v>1993</v>
      </c>
      <c r="B873" s="216" t="s">
        <v>1611</v>
      </c>
      <c r="C873" s="232">
        <v>88282</v>
      </c>
      <c r="D873" s="242" t="s">
        <v>11</v>
      </c>
    </row>
    <row r="874" spans="1:4" x14ac:dyDescent="0.25">
      <c r="A874" s="241">
        <v>1993</v>
      </c>
      <c r="B874" s="216" t="s">
        <v>1612</v>
      </c>
      <c r="C874" s="232">
        <v>200000</v>
      </c>
      <c r="D874" s="242" t="s">
        <v>11</v>
      </c>
    </row>
    <row r="875" spans="1:4" x14ac:dyDescent="0.25">
      <c r="A875" s="241">
        <v>1994</v>
      </c>
      <c r="B875" s="216" t="s">
        <v>1613</v>
      </c>
      <c r="C875" s="232">
        <v>4415</v>
      </c>
      <c r="D875" s="242" t="s">
        <v>11</v>
      </c>
    </row>
    <row r="876" spans="1:4" x14ac:dyDescent="0.25">
      <c r="A876" s="241">
        <v>2001</v>
      </c>
      <c r="B876" s="216" t="s">
        <v>1614</v>
      </c>
      <c r="C876" s="232">
        <v>348338</v>
      </c>
      <c r="D876" s="242" t="s">
        <v>11</v>
      </c>
    </row>
    <row r="877" spans="1:4" x14ac:dyDescent="0.25">
      <c r="A877" s="241">
        <v>2001</v>
      </c>
      <c r="B877" s="216" t="s">
        <v>1615</v>
      </c>
      <c r="C877" s="232">
        <v>1800000</v>
      </c>
      <c r="D877" s="242" t="s">
        <v>11</v>
      </c>
    </row>
    <row r="878" spans="1:4" x14ac:dyDescent="0.25">
      <c r="A878" s="241">
        <v>2001</v>
      </c>
      <c r="B878" s="216" t="s">
        <v>1616</v>
      </c>
      <c r="C878" s="232">
        <v>140000</v>
      </c>
      <c r="D878" s="242" t="s">
        <v>11</v>
      </c>
    </row>
    <row r="879" spans="1:4" x14ac:dyDescent="0.25">
      <c r="A879" s="241">
        <v>2001</v>
      </c>
      <c r="B879" s="216" t="s">
        <v>1617</v>
      </c>
      <c r="C879" s="232">
        <v>1556046</v>
      </c>
      <c r="D879" s="242" t="s">
        <v>11</v>
      </c>
    </row>
    <row r="880" spans="1:4" x14ac:dyDescent="0.25">
      <c r="A880" s="241">
        <v>2001</v>
      </c>
      <c r="B880" s="216" t="s">
        <v>1617</v>
      </c>
      <c r="C880" s="232">
        <v>785164</v>
      </c>
      <c r="D880" s="242" t="s">
        <v>11</v>
      </c>
    </row>
    <row r="881" spans="1:4" x14ac:dyDescent="0.25">
      <c r="A881" s="241">
        <v>2002</v>
      </c>
      <c r="B881" s="216" t="s">
        <v>1618</v>
      </c>
      <c r="C881" s="232">
        <v>300000</v>
      </c>
      <c r="D881" s="242" t="s">
        <v>11</v>
      </c>
    </row>
    <row r="882" spans="1:4" x14ac:dyDescent="0.25">
      <c r="A882" s="241">
        <v>2002</v>
      </c>
      <c r="B882" s="216" t="s">
        <v>1619</v>
      </c>
      <c r="C882" s="232">
        <v>40000</v>
      </c>
      <c r="D882" s="242" t="s">
        <v>11</v>
      </c>
    </row>
    <row r="883" spans="1:4" x14ac:dyDescent="0.25">
      <c r="A883" s="241">
        <v>2003</v>
      </c>
      <c r="B883" s="216" t="s">
        <v>1620</v>
      </c>
      <c r="C883" s="232">
        <v>1704391</v>
      </c>
      <c r="D883" s="242" t="s">
        <v>11</v>
      </c>
    </row>
    <row r="884" spans="1:4" x14ac:dyDescent="0.25">
      <c r="A884" s="241">
        <v>2003</v>
      </c>
      <c r="B884" s="216" t="s">
        <v>1621</v>
      </c>
      <c r="C884" s="232">
        <v>1800000</v>
      </c>
      <c r="D884" s="242" t="s">
        <v>11</v>
      </c>
    </row>
    <row r="885" spans="1:4" x14ac:dyDescent="0.25">
      <c r="A885" s="241">
        <v>2003</v>
      </c>
      <c r="B885" s="216" t="s">
        <v>1622</v>
      </c>
      <c r="C885" s="232">
        <v>54000</v>
      </c>
      <c r="D885" s="242" t="s">
        <v>11</v>
      </c>
    </row>
    <row r="886" spans="1:4" x14ac:dyDescent="0.25">
      <c r="A886" s="241">
        <v>2003</v>
      </c>
      <c r="B886" s="216" t="s">
        <v>1622</v>
      </c>
      <c r="C886" s="232">
        <v>203491</v>
      </c>
      <c r="D886" s="242" t="s">
        <v>11</v>
      </c>
    </row>
    <row r="887" spans="1:4" x14ac:dyDescent="0.25">
      <c r="A887" s="241">
        <v>2009</v>
      </c>
      <c r="B887" s="216" t="s">
        <v>1623</v>
      </c>
      <c r="C887" s="269">
        <v>1600000</v>
      </c>
      <c r="D887" s="242" t="s">
        <v>11</v>
      </c>
    </row>
    <row r="888" spans="1:4" x14ac:dyDescent="0.25">
      <c r="A888" s="241">
        <v>2009</v>
      </c>
      <c r="B888" s="216" t="s">
        <v>1624</v>
      </c>
      <c r="C888" s="269">
        <v>650000</v>
      </c>
      <c r="D888" s="242" t="s">
        <v>11</v>
      </c>
    </row>
    <row r="889" spans="1:4" x14ac:dyDescent="0.25">
      <c r="A889" s="241">
        <v>2010</v>
      </c>
      <c r="B889" s="216" t="s">
        <v>1625</v>
      </c>
      <c r="C889" s="232">
        <v>1966762</v>
      </c>
      <c r="D889" s="242" t="s">
        <v>1212</v>
      </c>
    </row>
    <row r="890" spans="1:4" x14ac:dyDescent="0.25">
      <c r="A890" s="241">
        <v>2011</v>
      </c>
      <c r="B890" s="216" t="s">
        <v>1626</v>
      </c>
      <c r="C890" s="232">
        <v>2056229</v>
      </c>
      <c r="D890" s="244" t="s">
        <v>11</v>
      </c>
    </row>
    <row r="891" spans="1:4" x14ac:dyDescent="0.25">
      <c r="A891" s="241">
        <v>2012</v>
      </c>
      <c r="B891" s="216" t="s">
        <v>1625</v>
      </c>
      <c r="C891" s="232">
        <v>1065097</v>
      </c>
      <c r="D891" s="244" t="s">
        <v>11</v>
      </c>
    </row>
    <row r="892" spans="1:4" x14ac:dyDescent="0.25">
      <c r="A892" s="241">
        <v>2013</v>
      </c>
      <c r="B892" s="216" t="s">
        <v>1627</v>
      </c>
      <c r="C892" s="232">
        <v>700000</v>
      </c>
      <c r="D892" s="244" t="s">
        <v>11</v>
      </c>
    </row>
    <row r="893" spans="1:4" x14ac:dyDescent="0.25">
      <c r="A893" s="248" t="s">
        <v>1628</v>
      </c>
      <c r="B893" s="249"/>
      <c r="C893" s="270"/>
      <c r="D893" s="251"/>
    </row>
    <row r="894" spans="1:4" x14ac:dyDescent="0.25">
      <c r="A894" s="268"/>
      <c r="B894" s="253">
        <f>COUNTA(B829:B892)</f>
        <v>64</v>
      </c>
      <c r="C894" s="254">
        <f>SUM(C829:C892)</f>
        <v>26041483</v>
      </c>
      <c r="D894" s="255"/>
    </row>
    <row r="897" spans="1:4" x14ac:dyDescent="0.25">
      <c r="A897" s="216"/>
      <c r="C897" s="216"/>
    </row>
    <row r="899" spans="1:4" x14ac:dyDescent="0.25">
      <c r="A899" s="271"/>
      <c r="B899" s="18"/>
      <c r="C899" s="234"/>
      <c r="D899" s="235"/>
    </row>
    <row r="900" spans="1:4" x14ac:dyDescent="0.25">
      <c r="A900" s="266"/>
      <c r="B900" s="18"/>
      <c r="C900" s="234"/>
      <c r="D900" s="235"/>
    </row>
    <row r="901" spans="1:4" x14ac:dyDescent="0.25">
      <c r="A901" s="18"/>
      <c r="B901" s="18"/>
      <c r="C901" s="272"/>
      <c r="D901" s="235"/>
    </row>
    <row r="902" spans="1:4" x14ac:dyDescent="0.25">
      <c r="A902" s="18"/>
      <c r="B902" s="18"/>
      <c r="C902" s="272"/>
      <c r="D902" s="235"/>
    </row>
    <row r="903" spans="1:4" x14ac:dyDescent="0.25">
      <c r="A903" s="18"/>
      <c r="B903" s="18"/>
      <c r="C903" s="272"/>
      <c r="D903" s="235"/>
    </row>
    <row r="904" spans="1:4" x14ac:dyDescent="0.25">
      <c r="A904" s="18"/>
      <c r="B904" s="18"/>
      <c r="C904" s="272"/>
      <c r="D904" s="235"/>
    </row>
    <row r="905" spans="1:4" x14ac:dyDescent="0.25">
      <c r="A905" s="271"/>
      <c r="B905" s="18"/>
      <c r="C905" s="272"/>
      <c r="D905" s="235"/>
    </row>
    <row r="906" spans="1:4" s="18" customFormat="1" x14ac:dyDescent="0.25">
      <c r="A906" s="176"/>
      <c r="B906" s="216"/>
      <c r="C906" s="273"/>
      <c r="D906" s="219"/>
    </row>
    <row r="908" spans="1:4" s="18" customFormat="1" x14ac:dyDescent="0.25">
      <c r="A908" s="176"/>
      <c r="B908" s="216"/>
      <c r="C908" s="232"/>
      <c r="D908" s="219"/>
    </row>
    <row r="909" spans="1:4" s="18" customFormat="1" x14ac:dyDescent="0.25">
      <c r="A909" s="176"/>
      <c r="B909" s="216"/>
      <c r="C909" s="232"/>
      <c r="D909" s="219"/>
    </row>
    <row r="910" spans="1:4" s="18" customFormat="1" x14ac:dyDescent="0.25">
      <c r="A910" s="176"/>
      <c r="B910" s="216"/>
      <c r="C910" s="232"/>
      <c r="D910" s="219"/>
    </row>
    <row r="911" spans="1:4" s="18" customFormat="1" x14ac:dyDescent="0.25">
      <c r="A911" s="176"/>
      <c r="B911" s="216"/>
      <c r="C911" s="232"/>
      <c r="D911" s="219"/>
    </row>
    <row r="912" spans="1:4" s="18" customFormat="1" x14ac:dyDescent="0.25">
      <c r="A912" s="176"/>
      <c r="B912" s="216"/>
      <c r="C912" s="232"/>
      <c r="D912" s="219"/>
    </row>
    <row r="913" spans="1:4" s="18" customFormat="1" x14ac:dyDescent="0.25">
      <c r="A913" s="176"/>
      <c r="B913" s="216"/>
      <c r="C913" s="232"/>
      <c r="D913" s="219"/>
    </row>
    <row r="914" spans="1:4" s="18" customFormat="1" x14ac:dyDescent="0.25">
      <c r="A914" s="176"/>
      <c r="B914" s="216"/>
      <c r="C914" s="232"/>
      <c r="D914" s="219"/>
    </row>
  </sheetData>
  <mergeCells count="2">
    <mergeCell ref="A1:D1"/>
    <mergeCell ref="A3:B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F14" sqref="F14"/>
    </sheetView>
  </sheetViews>
  <sheetFormatPr defaultColWidth="8.85546875" defaultRowHeight="15" x14ac:dyDescent="0.25"/>
  <cols>
    <col min="1" max="1" width="27.28515625" style="2" bestFit="1" customWidth="1"/>
    <col min="2" max="2" width="22.7109375" style="2" bestFit="1" customWidth="1"/>
    <col min="3" max="3" width="14.28515625" style="2" customWidth="1"/>
    <col min="4" max="4" width="11.28515625" style="2" customWidth="1"/>
    <col min="5" max="16384" width="8.85546875" style="2"/>
  </cols>
  <sheetData>
    <row r="1" spans="1:7" ht="18" x14ac:dyDescent="0.35">
      <c r="A1" s="203" t="s">
        <v>1010</v>
      </c>
      <c r="B1" s="9"/>
      <c r="C1" s="9"/>
      <c r="D1" s="9"/>
    </row>
    <row r="2" spans="1:7" ht="18" x14ac:dyDescent="0.35">
      <c r="A2" s="5"/>
      <c r="B2" s="9"/>
      <c r="C2" s="9"/>
      <c r="D2" s="9"/>
    </row>
    <row r="3" spans="1:7" thickBot="1" x14ac:dyDescent="0.35">
      <c r="A3" s="177" t="s">
        <v>1033</v>
      </c>
      <c r="B3" s="177" t="s">
        <v>19</v>
      </c>
      <c r="C3" s="177" t="s">
        <v>33</v>
      </c>
      <c r="D3" s="177" t="s">
        <v>1</v>
      </c>
    </row>
    <row r="4" spans="1:7" ht="14.45" x14ac:dyDescent="0.3">
      <c r="A4" s="204" t="s">
        <v>14</v>
      </c>
      <c r="B4" s="205" t="s">
        <v>13</v>
      </c>
      <c r="C4" s="204" t="s">
        <v>30</v>
      </c>
      <c r="D4" s="205" t="s">
        <v>2</v>
      </c>
      <c r="F4" s="202"/>
    </row>
    <row r="5" spans="1:7" ht="14.45" x14ac:dyDescent="0.3">
      <c r="A5" s="204" t="s">
        <v>15</v>
      </c>
      <c r="B5" s="205" t="s">
        <v>13</v>
      </c>
      <c r="C5" s="204" t="s">
        <v>30</v>
      </c>
      <c r="D5" s="205" t="s">
        <v>7</v>
      </c>
      <c r="F5" s="202"/>
    </row>
    <row r="6" spans="1:7" ht="14.45" x14ac:dyDescent="0.3">
      <c r="A6" s="204" t="s">
        <v>24</v>
      </c>
      <c r="B6" s="205" t="s">
        <v>13</v>
      </c>
      <c r="C6" s="204" t="s">
        <v>30</v>
      </c>
      <c r="D6" s="205" t="s">
        <v>7</v>
      </c>
      <c r="F6" s="202"/>
    </row>
    <row r="7" spans="1:7" ht="14.45" x14ac:dyDescent="0.3">
      <c r="A7" s="204" t="s">
        <v>25</v>
      </c>
      <c r="B7" s="205" t="s">
        <v>13</v>
      </c>
      <c r="C7" s="204" t="s">
        <v>30</v>
      </c>
      <c r="D7" s="204" t="s">
        <v>20</v>
      </c>
      <c r="F7" s="202"/>
      <c r="G7" s="202"/>
    </row>
    <row r="8" spans="1:7" ht="14.45" x14ac:dyDescent="0.3">
      <c r="A8" s="204" t="s">
        <v>16</v>
      </c>
      <c r="B8" s="204" t="s">
        <v>10</v>
      </c>
      <c r="C8" s="204" t="s">
        <v>30</v>
      </c>
      <c r="D8" s="204" t="s">
        <v>20</v>
      </c>
      <c r="F8" s="202"/>
      <c r="G8" s="202"/>
    </row>
    <row r="9" spans="1:7" ht="14.45" x14ac:dyDescent="0.3">
      <c r="A9" s="206" t="s">
        <v>27</v>
      </c>
      <c r="B9" s="206" t="s">
        <v>10</v>
      </c>
      <c r="C9" s="206" t="s">
        <v>30</v>
      </c>
      <c r="D9" s="206" t="s">
        <v>2</v>
      </c>
      <c r="F9" s="202"/>
      <c r="G9" s="202"/>
    </row>
    <row r="10" spans="1:7" ht="14.45" x14ac:dyDescent="0.3">
      <c r="A10" s="204" t="s">
        <v>28</v>
      </c>
      <c r="B10" s="204" t="s">
        <v>10</v>
      </c>
      <c r="C10" s="204" t="s">
        <v>30</v>
      </c>
      <c r="D10" s="204" t="s">
        <v>20</v>
      </c>
      <c r="F10" s="202"/>
      <c r="G10" s="202"/>
    </row>
    <row r="11" spans="1:7" ht="14.45" x14ac:dyDescent="0.3">
      <c r="A11" s="204" t="s">
        <v>743</v>
      </c>
      <c r="B11" s="204" t="s">
        <v>10</v>
      </c>
      <c r="C11" s="204" t="s">
        <v>31</v>
      </c>
      <c r="D11" s="204" t="s">
        <v>21</v>
      </c>
      <c r="F11" s="202"/>
      <c r="G11" s="202"/>
    </row>
    <row r="12" spans="1:7" ht="14.45" x14ac:dyDescent="0.3">
      <c r="A12" s="204" t="s">
        <v>741</v>
      </c>
      <c r="B12" s="204" t="s">
        <v>10</v>
      </c>
      <c r="C12" s="204" t="s">
        <v>30</v>
      </c>
      <c r="D12" s="204" t="s">
        <v>29</v>
      </c>
      <c r="F12" s="202"/>
      <c r="G12" s="202"/>
    </row>
    <row r="13" spans="1:7" ht="14.45" x14ac:dyDescent="0.3">
      <c r="A13" s="204" t="s">
        <v>26</v>
      </c>
      <c r="B13" s="204" t="s">
        <v>10</v>
      </c>
      <c r="C13" s="204" t="s">
        <v>30</v>
      </c>
      <c r="D13" s="204" t="s">
        <v>2</v>
      </c>
      <c r="F13" s="202"/>
      <c r="G13" s="202"/>
    </row>
    <row r="14" spans="1:7" ht="14.45" x14ac:dyDescent="0.3">
      <c r="A14" s="204" t="s">
        <v>742</v>
      </c>
      <c r="B14" s="204" t="s">
        <v>10</v>
      </c>
      <c r="C14" s="204" t="s">
        <v>32</v>
      </c>
      <c r="D14" s="204" t="s">
        <v>22</v>
      </c>
      <c r="F14" s="202"/>
      <c r="G14" s="202"/>
    </row>
    <row r="15" spans="1:7" ht="14.45" x14ac:dyDescent="0.3">
      <c r="A15" s="204" t="s">
        <v>18</v>
      </c>
      <c r="B15" s="204" t="s">
        <v>10</v>
      </c>
      <c r="C15" s="204" t="s">
        <v>32</v>
      </c>
      <c r="D15" s="204" t="s">
        <v>23</v>
      </c>
      <c r="F15" s="202"/>
      <c r="G15" s="202"/>
    </row>
    <row r="16" spans="1:7" ht="14.45" x14ac:dyDescent="0.3">
      <c r="A16" s="204" t="s">
        <v>17</v>
      </c>
      <c r="B16" s="204" t="s">
        <v>1775</v>
      </c>
      <c r="C16" s="204" t="s">
        <v>30</v>
      </c>
      <c r="D16" s="204" t="s">
        <v>21</v>
      </c>
      <c r="F16" s="202"/>
      <c r="G16" s="202"/>
    </row>
    <row r="17" spans="1:7" ht="14.45" x14ac:dyDescent="0.3">
      <c r="A17" s="204" t="s">
        <v>12</v>
      </c>
      <c r="B17" s="204" t="s">
        <v>1775</v>
      </c>
      <c r="C17" s="204" t="s">
        <v>30</v>
      </c>
      <c r="D17" s="204" t="s">
        <v>21</v>
      </c>
      <c r="F17" s="202"/>
      <c r="G17" s="202"/>
    </row>
    <row r="18" spans="1:7" ht="14.45" x14ac:dyDescent="0.3">
      <c r="A18" s="204" t="s">
        <v>739</v>
      </c>
      <c r="B18" s="204" t="s">
        <v>1775</v>
      </c>
      <c r="C18" s="204" t="s">
        <v>30</v>
      </c>
      <c r="D18" s="204" t="s">
        <v>21</v>
      </c>
      <c r="F18" s="202"/>
      <c r="G18" s="202"/>
    </row>
    <row r="19" spans="1:7" ht="14.45" x14ac:dyDescent="0.3">
      <c r="A19" s="204" t="s">
        <v>740</v>
      </c>
      <c r="B19" s="204" t="s">
        <v>1775</v>
      </c>
      <c r="C19" s="204" t="s">
        <v>30</v>
      </c>
      <c r="D19" s="204" t="s">
        <v>21</v>
      </c>
      <c r="F19" s="202"/>
      <c r="G19" s="202"/>
    </row>
    <row r="20" spans="1:7" ht="14.45" x14ac:dyDescent="0.3">
      <c r="A20" s="204" t="s">
        <v>1776</v>
      </c>
      <c r="B20" s="204" t="s">
        <v>1775</v>
      </c>
      <c r="C20" s="204" t="s">
        <v>30</v>
      </c>
      <c r="D20" s="204" t="s">
        <v>21</v>
      </c>
    </row>
    <row r="21" spans="1:7" ht="14.45" x14ac:dyDescent="0.3">
      <c r="A21" s="204"/>
      <c r="B21" s="204"/>
      <c r="C21" s="204"/>
      <c r="D21" s="204"/>
    </row>
    <row r="22" spans="1:7" ht="14.45" x14ac:dyDescent="0.3">
      <c r="A22" s="204"/>
      <c r="B22" s="204"/>
      <c r="C22" s="204"/>
      <c r="D22" s="204"/>
    </row>
    <row r="23" spans="1:7" thickBot="1" x14ac:dyDescent="0.35">
      <c r="A23" s="177" t="s">
        <v>1029</v>
      </c>
      <c r="B23" s="177" t="s">
        <v>1031</v>
      </c>
      <c r="C23" s="177" t="s">
        <v>1026</v>
      </c>
      <c r="D23" s="204"/>
    </row>
    <row r="24" spans="1:7" ht="14.45" x14ac:dyDescent="0.3">
      <c r="A24" s="207" t="s">
        <v>1031</v>
      </c>
      <c r="B24" s="180" t="s">
        <v>1022</v>
      </c>
      <c r="C24" s="180" t="s">
        <v>1009</v>
      </c>
      <c r="D24" s="204"/>
    </row>
    <row r="25" spans="1:7" ht="14.45" x14ac:dyDescent="0.3">
      <c r="A25" s="208" t="s">
        <v>1026</v>
      </c>
      <c r="B25" s="180" t="s">
        <v>1023</v>
      </c>
      <c r="C25" s="180" t="s">
        <v>1027</v>
      </c>
      <c r="D25" s="204"/>
    </row>
    <row r="26" spans="1:7" ht="14.45" x14ac:dyDescent="0.3">
      <c r="A26" s="208"/>
      <c r="B26" s="180" t="s">
        <v>1024</v>
      </c>
      <c r="C26" s="180" t="s">
        <v>1028</v>
      </c>
      <c r="D26" s="204"/>
    </row>
    <row r="27" spans="1:7" x14ac:dyDescent="0.25">
      <c r="A27" s="208"/>
      <c r="B27" s="180" t="s">
        <v>1019</v>
      </c>
      <c r="C27" s="180"/>
      <c r="D27" s="204"/>
    </row>
    <row r="28" spans="1:7" x14ac:dyDescent="0.25">
      <c r="A28" s="208"/>
      <c r="B28" s="180" t="s">
        <v>1025</v>
      </c>
      <c r="C28" s="180"/>
      <c r="D28" s="204"/>
    </row>
    <row r="29" spans="1:7" x14ac:dyDescent="0.25">
      <c r="A29" s="208"/>
      <c r="B29" s="180" t="s">
        <v>1015</v>
      </c>
      <c r="C29" s="180"/>
      <c r="D29" s="204"/>
    </row>
    <row r="30" spans="1:7" x14ac:dyDescent="0.25">
      <c r="A30" s="208"/>
      <c r="B30" s="180" t="s">
        <v>1020</v>
      </c>
      <c r="C30" s="180"/>
      <c r="D30" s="204"/>
    </row>
    <row r="31" spans="1:7" x14ac:dyDescent="0.25">
      <c r="A31" s="208"/>
      <c r="B31" s="180" t="s">
        <v>1016</v>
      </c>
      <c r="C31" s="180"/>
      <c r="D31" s="204"/>
    </row>
    <row r="32" spans="1:7" x14ac:dyDescent="0.25">
      <c r="A32" s="208"/>
      <c r="B32" s="180" t="s">
        <v>1017</v>
      </c>
      <c r="C32" s="180"/>
      <c r="D32" s="204"/>
    </row>
    <row r="33" spans="1:4" x14ac:dyDescent="0.25">
      <c r="A33" s="208"/>
      <c r="B33" s="180" t="s">
        <v>1021</v>
      </c>
      <c r="C33" s="180"/>
      <c r="D33" s="204"/>
    </row>
    <row r="34" spans="1:4" x14ac:dyDescent="0.25">
      <c r="A34" s="208"/>
      <c r="B34" s="180" t="s">
        <v>1018</v>
      </c>
      <c r="C34" s="180"/>
      <c r="D34" s="204"/>
    </row>
    <row r="35" spans="1:4" x14ac:dyDescent="0.25">
      <c r="A35" s="208"/>
      <c r="B35" s="180" t="s">
        <v>1030</v>
      </c>
      <c r="C35" s="180"/>
      <c r="D35" s="204"/>
    </row>
    <row r="36" spans="1:4" x14ac:dyDescent="0.25">
      <c r="A3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F31"/>
  <sheetViews>
    <sheetView zoomScale="70" zoomScaleNormal="70" workbookViewId="0">
      <selection activeCell="H33" sqref="H33"/>
    </sheetView>
  </sheetViews>
  <sheetFormatPr defaultColWidth="8.85546875" defaultRowHeight="15" x14ac:dyDescent="0.25"/>
  <cols>
    <col min="1" max="1" width="8.85546875" style="305"/>
    <col min="2" max="2" width="31" style="311" customWidth="1"/>
    <col min="3" max="3" width="111.140625" style="312" customWidth="1"/>
    <col min="4" max="16384" width="8.85546875" style="305"/>
  </cols>
  <sheetData>
    <row r="2" spans="2:3" ht="13.9" customHeight="1" x14ac:dyDescent="0.3">
      <c r="B2" s="385" t="s">
        <v>1690</v>
      </c>
      <c r="C2" s="386"/>
    </row>
    <row r="3" spans="2:3" ht="14.45" x14ac:dyDescent="0.3">
      <c r="B3" s="306" t="s">
        <v>1033</v>
      </c>
      <c r="C3" s="306" t="s">
        <v>27</v>
      </c>
    </row>
    <row r="4" spans="2:3" ht="14.45" x14ac:dyDescent="0.3">
      <c r="B4" s="306" t="s">
        <v>1691</v>
      </c>
      <c r="C4" s="306" t="str">
        <f>VLOOKUP($C$3, 'Look-up'!$A$4:$D$20, 2, FALSE)</f>
        <v>State Financing</v>
      </c>
    </row>
    <row r="5" spans="2:3" ht="14.45" x14ac:dyDescent="0.3">
      <c r="B5" s="306" t="s">
        <v>1029</v>
      </c>
      <c r="C5" s="306" t="str">
        <f>VLOOKUP($C$3, 'Look-up'!$A$4:$D$20, 3, FALSE)</f>
        <v>RES, NR</v>
      </c>
    </row>
    <row r="8" spans="2:3" ht="14.45" x14ac:dyDescent="0.3">
      <c r="B8" s="383" t="s">
        <v>1008</v>
      </c>
      <c r="C8" s="384"/>
    </row>
    <row r="9" spans="2:3" ht="14.45" x14ac:dyDescent="0.3">
      <c r="B9" s="306" t="s">
        <v>1752</v>
      </c>
      <c r="C9" s="379" t="s">
        <v>1753</v>
      </c>
    </row>
    <row r="10" spans="2:3" ht="14.45" x14ac:dyDescent="0.3">
      <c r="B10" s="306" t="s">
        <v>1754</v>
      </c>
      <c r="C10" s="307" t="s">
        <v>1755</v>
      </c>
    </row>
    <row r="12" spans="2:3" ht="13.9" customHeight="1" x14ac:dyDescent="0.3">
      <c r="B12" s="383" t="s">
        <v>1692</v>
      </c>
      <c r="C12" s="384"/>
    </row>
    <row r="13" spans="2:3" ht="14.45" x14ac:dyDescent="0.3">
      <c r="B13" s="306" t="s">
        <v>1778</v>
      </c>
      <c r="C13" s="308" t="s">
        <v>1779</v>
      </c>
    </row>
    <row r="14" spans="2:3" ht="43.15" x14ac:dyDescent="0.3">
      <c r="B14" s="306" t="s">
        <v>1780</v>
      </c>
      <c r="C14" s="308" t="s">
        <v>1781</v>
      </c>
    </row>
    <row r="17" spans="2:6" ht="14.45" x14ac:dyDescent="0.3">
      <c r="B17" s="383" t="s">
        <v>1693</v>
      </c>
      <c r="C17" s="384"/>
    </row>
    <row r="18" spans="2:6" ht="14.45" x14ac:dyDescent="0.3">
      <c r="B18" s="306" t="s">
        <v>1026</v>
      </c>
      <c r="C18" s="309">
        <v>0</v>
      </c>
    </row>
    <row r="19" spans="2:6" ht="14.45" x14ac:dyDescent="0.3">
      <c r="B19" s="306" t="s">
        <v>1688</v>
      </c>
      <c r="C19" s="309">
        <v>1</v>
      </c>
    </row>
    <row r="20" spans="2:6" ht="14.45" x14ac:dyDescent="0.3">
      <c r="F20" s="351"/>
    </row>
    <row r="22" spans="2:6" ht="14.45" x14ac:dyDescent="0.3">
      <c r="B22" s="383" t="s">
        <v>1694</v>
      </c>
      <c r="C22" s="384"/>
    </row>
    <row r="23" spans="2:6" ht="14.45" x14ac:dyDescent="0.3">
      <c r="B23" s="310" t="s">
        <v>1695</v>
      </c>
      <c r="C23" s="309" t="s">
        <v>1696</v>
      </c>
    </row>
    <row r="24" spans="2:6" ht="14.45" x14ac:dyDescent="0.3">
      <c r="B24" s="310" t="s">
        <v>1697</v>
      </c>
      <c r="C24" s="309" t="s">
        <v>1698</v>
      </c>
    </row>
    <row r="25" spans="2:6" ht="14.45" x14ac:dyDescent="0.3">
      <c r="B25" s="310" t="s">
        <v>1699</v>
      </c>
      <c r="C25" s="309" t="s">
        <v>1698</v>
      </c>
    </row>
    <row r="28" spans="2:6" ht="14.45" x14ac:dyDescent="0.3">
      <c r="B28" s="383" t="s">
        <v>1700</v>
      </c>
      <c r="C28" s="384"/>
    </row>
    <row r="29" spans="2:6" ht="69.75" customHeight="1" x14ac:dyDescent="0.3">
      <c r="B29" s="310" t="s">
        <v>1701</v>
      </c>
      <c r="C29" s="308" t="s">
        <v>1772</v>
      </c>
    </row>
    <row r="30" spans="2:6" ht="28.9" x14ac:dyDescent="0.3">
      <c r="B30" s="310" t="s">
        <v>1702</v>
      </c>
      <c r="C30" s="308" t="s">
        <v>1782</v>
      </c>
    </row>
    <row r="31" spans="2:6" ht="28.9" x14ac:dyDescent="0.3">
      <c r="B31" s="310" t="s">
        <v>1703</v>
      </c>
      <c r="C31" s="308" t="s">
        <v>1773</v>
      </c>
    </row>
  </sheetData>
  <mergeCells count="6">
    <mergeCell ref="B28:C28"/>
    <mergeCell ref="B2:C2"/>
    <mergeCell ref="B8:C8"/>
    <mergeCell ref="B12:C12"/>
    <mergeCell ref="B17:C17"/>
    <mergeCell ref="B22:C22"/>
  </mergeCells>
  <dataValidations count="1">
    <dataValidation type="list" allowBlank="1" showInputMessage="1" showErrorMessage="1" sqref="C3">
      <formula1>Programs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42"/>
  <sheetViews>
    <sheetView workbookViewId="0">
      <selection activeCell="A4" sqref="A4"/>
    </sheetView>
  </sheetViews>
  <sheetFormatPr defaultRowHeight="15" x14ac:dyDescent="0.25"/>
  <cols>
    <col min="1" max="1" width="21.42578125" style="2" customWidth="1"/>
    <col min="2" max="2" width="15.42578125" style="2" customWidth="1"/>
    <col min="3" max="7" width="8.85546875" style="2"/>
    <col min="8" max="8" width="15" style="2" bestFit="1" customWidth="1"/>
    <col min="9" max="9" width="8.85546875" style="2"/>
    <col min="10" max="10" width="24.140625" style="2" customWidth="1"/>
    <col min="11" max="11" width="14.7109375" style="2" customWidth="1"/>
    <col min="12" max="12" width="18" style="2" customWidth="1"/>
    <col min="13" max="256" width="8.85546875" style="2"/>
    <col min="257" max="257" width="21.42578125" style="2" customWidth="1"/>
    <col min="258" max="258" width="15.42578125" style="2" customWidth="1"/>
    <col min="259" max="263" width="8.85546875" style="2"/>
    <col min="264" max="264" width="15" style="2" bestFit="1" customWidth="1"/>
    <col min="265" max="512" width="8.85546875" style="2"/>
    <col min="513" max="513" width="21.42578125" style="2" customWidth="1"/>
    <col min="514" max="514" width="15.42578125" style="2" customWidth="1"/>
    <col min="515" max="519" width="8.85546875" style="2"/>
    <col min="520" max="520" width="15" style="2" bestFit="1" customWidth="1"/>
    <col min="521" max="768" width="8.85546875" style="2"/>
    <col min="769" max="769" width="21.42578125" style="2" customWidth="1"/>
    <col min="770" max="770" width="15.42578125" style="2" customWidth="1"/>
    <col min="771" max="775" width="8.85546875" style="2"/>
    <col min="776" max="776" width="15" style="2" bestFit="1" customWidth="1"/>
    <col min="777" max="1024" width="8.85546875" style="2"/>
    <col min="1025" max="1025" width="21.42578125" style="2" customWidth="1"/>
    <col min="1026" max="1026" width="15.42578125" style="2" customWidth="1"/>
    <col min="1027" max="1031" width="8.85546875" style="2"/>
    <col min="1032" max="1032" width="15" style="2" bestFit="1" customWidth="1"/>
    <col min="1033" max="1280" width="8.85546875" style="2"/>
    <col min="1281" max="1281" width="21.42578125" style="2" customWidth="1"/>
    <col min="1282" max="1282" width="15.42578125" style="2" customWidth="1"/>
    <col min="1283" max="1287" width="8.85546875" style="2"/>
    <col min="1288" max="1288" width="15" style="2" bestFit="1" customWidth="1"/>
    <col min="1289" max="1536" width="8.85546875" style="2"/>
    <col min="1537" max="1537" width="21.42578125" style="2" customWidth="1"/>
    <col min="1538" max="1538" width="15.42578125" style="2" customWidth="1"/>
    <col min="1539" max="1543" width="8.85546875" style="2"/>
    <col min="1544" max="1544" width="15" style="2" bestFit="1" customWidth="1"/>
    <col min="1545" max="1792" width="8.85546875" style="2"/>
    <col min="1793" max="1793" width="21.42578125" style="2" customWidth="1"/>
    <col min="1794" max="1794" width="15.42578125" style="2" customWidth="1"/>
    <col min="1795" max="1799" width="8.85546875" style="2"/>
    <col min="1800" max="1800" width="15" style="2" bestFit="1" customWidth="1"/>
    <col min="1801" max="2048" width="8.85546875" style="2"/>
    <col min="2049" max="2049" width="21.42578125" style="2" customWidth="1"/>
    <col min="2050" max="2050" width="15.42578125" style="2" customWidth="1"/>
    <col min="2051" max="2055" width="8.85546875" style="2"/>
    <col min="2056" max="2056" width="15" style="2" bestFit="1" customWidth="1"/>
    <col min="2057" max="2304" width="8.85546875" style="2"/>
    <col min="2305" max="2305" width="21.42578125" style="2" customWidth="1"/>
    <col min="2306" max="2306" width="15.42578125" style="2" customWidth="1"/>
    <col min="2307" max="2311" width="8.85546875" style="2"/>
    <col min="2312" max="2312" width="15" style="2" bestFit="1" customWidth="1"/>
    <col min="2313" max="2560" width="8.85546875" style="2"/>
    <col min="2561" max="2561" width="21.42578125" style="2" customWidth="1"/>
    <col min="2562" max="2562" width="15.42578125" style="2" customWidth="1"/>
    <col min="2563" max="2567" width="8.85546875" style="2"/>
    <col min="2568" max="2568" width="15" style="2" bestFit="1" customWidth="1"/>
    <col min="2569" max="2816" width="8.85546875" style="2"/>
    <col min="2817" max="2817" width="21.42578125" style="2" customWidth="1"/>
    <col min="2818" max="2818" width="15.42578125" style="2" customWidth="1"/>
    <col min="2819" max="2823" width="8.85546875" style="2"/>
    <col min="2824" max="2824" width="15" style="2" bestFit="1" customWidth="1"/>
    <col min="2825" max="3072" width="8.85546875" style="2"/>
    <col min="3073" max="3073" width="21.42578125" style="2" customWidth="1"/>
    <col min="3074" max="3074" width="15.42578125" style="2" customWidth="1"/>
    <col min="3075" max="3079" width="8.85546875" style="2"/>
    <col min="3080" max="3080" width="15" style="2" bestFit="1" customWidth="1"/>
    <col min="3081" max="3328" width="8.85546875" style="2"/>
    <col min="3329" max="3329" width="21.42578125" style="2" customWidth="1"/>
    <col min="3330" max="3330" width="15.42578125" style="2" customWidth="1"/>
    <col min="3331" max="3335" width="8.85546875" style="2"/>
    <col min="3336" max="3336" width="15" style="2" bestFit="1" customWidth="1"/>
    <col min="3337" max="3584" width="8.85546875" style="2"/>
    <col min="3585" max="3585" width="21.42578125" style="2" customWidth="1"/>
    <col min="3586" max="3586" width="15.42578125" style="2" customWidth="1"/>
    <col min="3587" max="3591" width="8.85546875" style="2"/>
    <col min="3592" max="3592" width="15" style="2" bestFit="1" customWidth="1"/>
    <col min="3593" max="3840" width="8.85546875" style="2"/>
    <col min="3841" max="3841" width="21.42578125" style="2" customWidth="1"/>
    <col min="3842" max="3842" width="15.42578125" style="2" customWidth="1"/>
    <col min="3843" max="3847" width="8.85546875" style="2"/>
    <col min="3848" max="3848" width="15" style="2" bestFit="1" customWidth="1"/>
    <col min="3849" max="4096" width="8.85546875" style="2"/>
    <col min="4097" max="4097" width="21.42578125" style="2" customWidth="1"/>
    <col min="4098" max="4098" width="15.42578125" style="2" customWidth="1"/>
    <col min="4099" max="4103" width="8.85546875" style="2"/>
    <col min="4104" max="4104" width="15" style="2" bestFit="1" customWidth="1"/>
    <col min="4105" max="4352" width="8.85546875" style="2"/>
    <col min="4353" max="4353" width="21.42578125" style="2" customWidth="1"/>
    <col min="4354" max="4354" width="15.42578125" style="2" customWidth="1"/>
    <col min="4355" max="4359" width="8.85546875" style="2"/>
    <col min="4360" max="4360" width="15" style="2" bestFit="1" customWidth="1"/>
    <col min="4361" max="4608" width="8.85546875" style="2"/>
    <col min="4609" max="4609" width="21.42578125" style="2" customWidth="1"/>
    <col min="4610" max="4610" width="15.42578125" style="2" customWidth="1"/>
    <col min="4611" max="4615" width="8.85546875" style="2"/>
    <col min="4616" max="4616" width="15" style="2" bestFit="1" customWidth="1"/>
    <col min="4617" max="4864" width="8.85546875" style="2"/>
    <col min="4865" max="4865" width="21.42578125" style="2" customWidth="1"/>
    <col min="4866" max="4866" width="15.42578125" style="2" customWidth="1"/>
    <col min="4867" max="4871" width="8.85546875" style="2"/>
    <col min="4872" max="4872" width="15" style="2" bestFit="1" customWidth="1"/>
    <col min="4873" max="5120" width="8.85546875" style="2"/>
    <col min="5121" max="5121" width="21.42578125" style="2" customWidth="1"/>
    <col min="5122" max="5122" width="15.42578125" style="2" customWidth="1"/>
    <col min="5123" max="5127" width="8.85546875" style="2"/>
    <col min="5128" max="5128" width="15" style="2" bestFit="1" customWidth="1"/>
    <col min="5129" max="5376" width="8.85546875" style="2"/>
    <col min="5377" max="5377" width="21.42578125" style="2" customWidth="1"/>
    <col min="5378" max="5378" width="15.42578125" style="2" customWidth="1"/>
    <col min="5379" max="5383" width="8.85546875" style="2"/>
    <col min="5384" max="5384" width="15" style="2" bestFit="1" customWidth="1"/>
    <col min="5385" max="5632" width="8.85546875" style="2"/>
    <col min="5633" max="5633" width="21.42578125" style="2" customWidth="1"/>
    <col min="5634" max="5634" width="15.42578125" style="2" customWidth="1"/>
    <col min="5635" max="5639" width="8.85546875" style="2"/>
    <col min="5640" max="5640" width="15" style="2" bestFit="1" customWidth="1"/>
    <col min="5641" max="5888" width="8.85546875" style="2"/>
    <col min="5889" max="5889" width="21.42578125" style="2" customWidth="1"/>
    <col min="5890" max="5890" width="15.42578125" style="2" customWidth="1"/>
    <col min="5891" max="5895" width="8.85546875" style="2"/>
    <col min="5896" max="5896" width="15" style="2" bestFit="1" customWidth="1"/>
    <col min="5897" max="6144" width="8.85546875" style="2"/>
    <col min="6145" max="6145" width="21.42578125" style="2" customWidth="1"/>
    <col min="6146" max="6146" width="15.42578125" style="2" customWidth="1"/>
    <col min="6147" max="6151" width="8.85546875" style="2"/>
    <col min="6152" max="6152" width="15" style="2" bestFit="1" customWidth="1"/>
    <col min="6153" max="6400" width="8.85546875" style="2"/>
    <col min="6401" max="6401" width="21.42578125" style="2" customWidth="1"/>
    <col min="6402" max="6402" width="15.42578125" style="2" customWidth="1"/>
    <col min="6403" max="6407" width="8.85546875" style="2"/>
    <col min="6408" max="6408" width="15" style="2" bestFit="1" customWidth="1"/>
    <col min="6409" max="6656" width="8.85546875" style="2"/>
    <col min="6657" max="6657" width="21.42578125" style="2" customWidth="1"/>
    <col min="6658" max="6658" width="15.42578125" style="2" customWidth="1"/>
    <col min="6659" max="6663" width="8.85546875" style="2"/>
    <col min="6664" max="6664" width="15" style="2" bestFit="1" customWidth="1"/>
    <col min="6665" max="6912" width="8.85546875" style="2"/>
    <col min="6913" max="6913" width="21.42578125" style="2" customWidth="1"/>
    <col min="6914" max="6914" width="15.42578125" style="2" customWidth="1"/>
    <col min="6915" max="6919" width="8.85546875" style="2"/>
    <col min="6920" max="6920" width="15" style="2" bestFit="1" customWidth="1"/>
    <col min="6921" max="7168" width="8.85546875" style="2"/>
    <col min="7169" max="7169" width="21.42578125" style="2" customWidth="1"/>
    <col min="7170" max="7170" width="15.42578125" style="2" customWidth="1"/>
    <col min="7171" max="7175" width="8.85546875" style="2"/>
    <col min="7176" max="7176" width="15" style="2" bestFit="1" customWidth="1"/>
    <col min="7177" max="7424" width="8.85546875" style="2"/>
    <col min="7425" max="7425" width="21.42578125" style="2" customWidth="1"/>
    <col min="7426" max="7426" width="15.42578125" style="2" customWidth="1"/>
    <col min="7427" max="7431" width="8.85546875" style="2"/>
    <col min="7432" max="7432" width="15" style="2" bestFit="1" customWidth="1"/>
    <col min="7433" max="7680" width="8.85546875" style="2"/>
    <col min="7681" max="7681" width="21.42578125" style="2" customWidth="1"/>
    <col min="7682" max="7682" width="15.42578125" style="2" customWidth="1"/>
    <col min="7683" max="7687" width="8.85546875" style="2"/>
    <col min="7688" max="7688" width="15" style="2" bestFit="1" customWidth="1"/>
    <col min="7689" max="7936" width="8.85546875" style="2"/>
    <col min="7937" max="7937" width="21.42578125" style="2" customWidth="1"/>
    <col min="7938" max="7938" width="15.42578125" style="2" customWidth="1"/>
    <col min="7939" max="7943" width="8.85546875" style="2"/>
    <col min="7944" max="7944" width="15" style="2" bestFit="1" customWidth="1"/>
    <col min="7945" max="8192" width="8.85546875" style="2"/>
    <col min="8193" max="8193" width="21.42578125" style="2" customWidth="1"/>
    <col min="8194" max="8194" width="15.42578125" style="2" customWidth="1"/>
    <col min="8195" max="8199" width="8.85546875" style="2"/>
    <col min="8200" max="8200" width="15" style="2" bestFit="1" customWidth="1"/>
    <col min="8201" max="8448" width="8.85546875" style="2"/>
    <col min="8449" max="8449" width="21.42578125" style="2" customWidth="1"/>
    <col min="8450" max="8450" width="15.42578125" style="2" customWidth="1"/>
    <col min="8451" max="8455" width="8.85546875" style="2"/>
    <col min="8456" max="8456" width="15" style="2" bestFit="1" customWidth="1"/>
    <col min="8457" max="8704" width="8.85546875" style="2"/>
    <col min="8705" max="8705" width="21.42578125" style="2" customWidth="1"/>
    <col min="8706" max="8706" width="15.42578125" style="2" customWidth="1"/>
    <col min="8707" max="8711" width="8.85546875" style="2"/>
    <col min="8712" max="8712" width="15" style="2" bestFit="1" customWidth="1"/>
    <col min="8713" max="8960" width="8.85546875" style="2"/>
    <col min="8961" max="8961" width="21.42578125" style="2" customWidth="1"/>
    <col min="8962" max="8962" width="15.42578125" style="2" customWidth="1"/>
    <col min="8963" max="8967" width="8.85546875" style="2"/>
    <col min="8968" max="8968" width="15" style="2" bestFit="1" customWidth="1"/>
    <col min="8969" max="9216" width="8.85546875" style="2"/>
    <col min="9217" max="9217" width="21.42578125" style="2" customWidth="1"/>
    <col min="9218" max="9218" width="15.42578125" style="2" customWidth="1"/>
    <col min="9219" max="9223" width="8.85546875" style="2"/>
    <col min="9224" max="9224" width="15" style="2" bestFit="1" customWidth="1"/>
    <col min="9225" max="9472" width="8.85546875" style="2"/>
    <col min="9473" max="9473" width="21.42578125" style="2" customWidth="1"/>
    <col min="9474" max="9474" width="15.42578125" style="2" customWidth="1"/>
    <col min="9475" max="9479" width="8.85546875" style="2"/>
    <col min="9480" max="9480" width="15" style="2" bestFit="1" customWidth="1"/>
    <col min="9481" max="9728" width="8.85546875" style="2"/>
    <col min="9729" max="9729" width="21.42578125" style="2" customWidth="1"/>
    <col min="9730" max="9730" width="15.42578125" style="2" customWidth="1"/>
    <col min="9731" max="9735" width="8.85546875" style="2"/>
    <col min="9736" max="9736" width="15" style="2" bestFit="1" customWidth="1"/>
    <col min="9737" max="9984" width="8.85546875" style="2"/>
    <col min="9985" max="9985" width="21.42578125" style="2" customWidth="1"/>
    <col min="9986" max="9986" width="15.42578125" style="2" customWidth="1"/>
    <col min="9987" max="9991" width="8.85546875" style="2"/>
    <col min="9992" max="9992" width="15" style="2" bestFit="1" customWidth="1"/>
    <col min="9993" max="10240" width="8.85546875" style="2"/>
    <col min="10241" max="10241" width="21.42578125" style="2" customWidth="1"/>
    <col min="10242" max="10242" width="15.42578125" style="2" customWidth="1"/>
    <col min="10243" max="10247" width="8.85546875" style="2"/>
    <col min="10248" max="10248" width="15" style="2" bestFit="1" customWidth="1"/>
    <col min="10249" max="10496" width="8.85546875" style="2"/>
    <col min="10497" max="10497" width="21.42578125" style="2" customWidth="1"/>
    <col min="10498" max="10498" width="15.42578125" style="2" customWidth="1"/>
    <col min="10499" max="10503" width="8.85546875" style="2"/>
    <col min="10504" max="10504" width="15" style="2" bestFit="1" customWidth="1"/>
    <col min="10505" max="10752" width="8.85546875" style="2"/>
    <col min="10753" max="10753" width="21.42578125" style="2" customWidth="1"/>
    <col min="10754" max="10754" width="15.42578125" style="2" customWidth="1"/>
    <col min="10755" max="10759" width="8.85546875" style="2"/>
    <col min="10760" max="10760" width="15" style="2" bestFit="1" customWidth="1"/>
    <col min="10761" max="11008" width="8.85546875" style="2"/>
    <col min="11009" max="11009" width="21.42578125" style="2" customWidth="1"/>
    <col min="11010" max="11010" width="15.42578125" style="2" customWidth="1"/>
    <col min="11011" max="11015" width="8.85546875" style="2"/>
    <col min="11016" max="11016" width="15" style="2" bestFit="1" customWidth="1"/>
    <col min="11017" max="11264" width="8.85546875" style="2"/>
    <col min="11265" max="11265" width="21.42578125" style="2" customWidth="1"/>
    <col min="11266" max="11266" width="15.42578125" style="2" customWidth="1"/>
    <col min="11267" max="11271" width="8.85546875" style="2"/>
    <col min="11272" max="11272" width="15" style="2" bestFit="1" customWidth="1"/>
    <col min="11273" max="11520" width="8.85546875" style="2"/>
    <col min="11521" max="11521" width="21.42578125" style="2" customWidth="1"/>
    <col min="11522" max="11522" width="15.42578125" style="2" customWidth="1"/>
    <col min="11523" max="11527" width="8.85546875" style="2"/>
    <col min="11528" max="11528" width="15" style="2" bestFit="1" customWidth="1"/>
    <col min="11529" max="11776" width="8.85546875" style="2"/>
    <col min="11777" max="11777" width="21.42578125" style="2" customWidth="1"/>
    <col min="11778" max="11778" width="15.42578125" style="2" customWidth="1"/>
    <col min="11779" max="11783" width="8.85546875" style="2"/>
    <col min="11784" max="11784" width="15" style="2" bestFit="1" customWidth="1"/>
    <col min="11785" max="12032" width="8.85546875" style="2"/>
    <col min="12033" max="12033" width="21.42578125" style="2" customWidth="1"/>
    <col min="12034" max="12034" width="15.42578125" style="2" customWidth="1"/>
    <col min="12035" max="12039" width="8.85546875" style="2"/>
    <col min="12040" max="12040" width="15" style="2" bestFit="1" customWidth="1"/>
    <col min="12041" max="12288" width="8.85546875" style="2"/>
    <col min="12289" max="12289" width="21.42578125" style="2" customWidth="1"/>
    <col min="12290" max="12290" width="15.42578125" style="2" customWidth="1"/>
    <col min="12291" max="12295" width="8.85546875" style="2"/>
    <col min="12296" max="12296" width="15" style="2" bestFit="1" customWidth="1"/>
    <col min="12297" max="12544" width="8.85546875" style="2"/>
    <col min="12545" max="12545" width="21.42578125" style="2" customWidth="1"/>
    <col min="12546" max="12546" width="15.42578125" style="2" customWidth="1"/>
    <col min="12547" max="12551" width="8.85546875" style="2"/>
    <col min="12552" max="12552" width="15" style="2" bestFit="1" customWidth="1"/>
    <col min="12553" max="12800" width="8.85546875" style="2"/>
    <col min="12801" max="12801" width="21.42578125" style="2" customWidth="1"/>
    <col min="12802" max="12802" width="15.42578125" style="2" customWidth="1"/>
    <col min="12803" max="12807" width="8.85546875" style="2"/>
    <col min="12808" max="12808" width="15" style="2" bestFit="1" customWidth="1"/>
    <col min="12809" max="13056" width="8.85546875" style="2"/>
    <col min="13057" max="13057" width="21.42578125" style="2" customWidth="1"/>
    <col min="13058" max="13058" width="15.42578125" style="2" customWidth="1"/>
    <col min="13059" max="13063" width="8.85546875" style="2"/>
    <col min="13064" max="13064" width="15" style="2" bestFit="1" customWidth="1"/>
    <col min="13065" max="13312" width="8.85546875" style="2"/>
    <col min="13313" max="13313" width="21.42578125" style="2" customWidth="1"/>
    <col min="13314" max="13314" width="15.42578125" style="2" customWidth="1"/>
    <col min="13315" max="13319" width="8.85546875" style="2"/>
    <col min="13320" max="13320" width="15" style="2" bestFit="1" customWidth="1"/>
    <col min="13321" max="13568" width="8.85546875" style="2"/>
    <col min="13569" max="13569" width="21.42578125" style="2" customWidth="1"/>
    <col min="13570" max="13570" width="15.42578125" style="2" customWidth="1"/>
    <col min="13571" max="13575" width="8.85546875" style="2"/>
    <col min="13576" max="13576" width="15" style="2" bestFit="1" customWidth="1"/>
    <col min="13577" max="13824" width="8.85546875" style="2"/>
    <col min="13825" max="13825" width="21.42578125" style="2" customWidth="1"/>
    <col min="13826" max="13826" width="15.42578125" style="2" customWidth="1"/>
    <col min="13827" max="13831" width="8.85546875" style="2"/>
    <col min="13832" max="13832" width="15" style="2" bestFit="1" customWidth="1"/>
    <col min="13833" max="14080" width="8.85546875" style="2"/>
    <col min="14081" max="14081" width="21.42578125" style="2" customWidth="1"/>
    <col min="14082" max="14082" width="15.42578125" style="2" customWidth="1"/>
    <col min="14083" max="14087" width="8.85546875" style="2"/>
    <col min="14088" max="14088" width="15" style="2" bestFit="1" customWidth="1"/>
    <col min="14089" max="14336" width="8.85546875" style="2"/>
    <col min="14337" max="14337" width="21.42578125" style="2" customWidth="1"/>
    <col min="14338" max="14338" width="15.42578125" style="2" customWidth="1"/>
    <col min="14339" max="14343" width="8.85546875" style="2"/>
    <col min="14344" max="14344" width="15" style="2" bestFit="1" customWidth="1"/>
    <col min="14345" max="14592" width="8.85546875" style="2"/>
    <col min="14593" max="14593" width="21.42578125" style="2" customWidth="1"/>
    <col min="14594" max="14594" width="15.42578125" style="2" customWidth="1"/>
    <col min="14595" max="14599" width="8.85546875" style="2"/>
    <col min="14600" max="14600" width="15" style="2" bestFit="1" customWidth="1"/>
    <col min="14601" max="14848" width="8.85546875" style="2"/>
    <col min="14849" max="14849" width="21.42578125" style="2" customWidth="1"/>
    <col min="14850" max="14850" width="15.42578125" style="2" customWidth="1"/>
    <col min="14851" max="14855" width="8.85546875" style="2"/>
    <col min="14856" max="14856" width="15" style="2" bestFit="1" customWidth="1"/>
    <col min="14857" max="15104" width="8.85546875" style="2"/>
    <col min="15105" max="15105" width="21.42578125" style="2" customWidth="1"/>
    <col min="15106" max="15106" width="15.42578125" style="2" customWidth="1"/>
    <col min="15107" max="15111" width="8.85546875" style="2"/>
    <col min="15112" max="15112" width="15" style="2" bestFit="1" customWidth="1"/>
    <col min="15113" max="15360" width="8.85546875" style="2"/>
    <col min="15361" max="15361" width="21.42578125" style="2" customWidth="1"/>
    <col min="15362" max="15362" width="15.42578125" style="2" customWidth="1"/>
    <col min="15363" max="15367" width="8.85546875" style="2"/>
    <col min="15368" max="15368" width="15" style="2" bestFit="1" customWidth="1"/>
    <col min="15369" max="15616" width="8.85546875" style="2"/>
    <col min="15617" max="15617" width="21.42578125" style="2" customWidth="1"/>
    <col min="15618" max="15618" width="15.42578125" style="2" customWidth="1"/>
    <col min="15619" max="15623" width="8.85546875" style="2"/>
    <col min="15624" max="15624" width="15" style="2" bestFit="1" customWidth="1"/>
    <col min="15625" max="15872" width="8.85546875" style="2"/>
    <col min="15873" max="15873" width="21.42578125" style="2" customWidth="1"/>
    <col min="15874" max="15874" width="15.42578125" style="2" customWidth="1"/>
    <col min="15875" max="15879" width="8.85546875" style="2"/>
    <col min="15880" max="15880" width="15" style="2" bestFit="1" customWidth="1"/>
    <col min="15881" max="16128" width="8.85546875" style="2"/>
    <col min="16129" max="16129" width="21.42578125" style="2" customWidth="1"/>
    <col min="16130" max="16130" width="15.42578125" style="2" customWidth="1"/>
    <col min="16131" max="16135" width="8.85546875" style="2"/>
    <col min="16136" max="16136" width="15" style="2" bestFit="1" customWidth="1"/>
    <col min="16137" max="16384" width="8.85546875" style="2"/>
  </cols>
  <sheetData>
    <row r="1" spans="1:12" ht="14.45" x14ac:dyDescent="0.3">
      <c r="A1" s="378" t="s">
        <v>1759</v>
      </c>
      <c r="K1" s="360" t="s">
        <v>1014</v>
      </c>
      <c r="L1" s="175"/>
    </row>
    <row r="2" spans="1:12" ht="14.45" x14ac:dyDescent="0.3">
      <c r="A2" s="367" t="s">
        <v>1757</v>
      </c>
      <c r="K2" s="359" t="s">
        <v>9</v>
      </c>
      <c r="L2" s="359" t="s">
        <v>1774</v>
      </c>
    </row>
    <row r="3" spans="1:12" ht="14.45" x14ac:dyDescent="0.3">
      <c r="A3" s="2" t="s">
        <v>1758</v>
      </c>
      <c r="K3" s="175">
        <v>1979</v>
      </c>
      <c r="L3" s="274">
        <v>7797668</v>
      </c>
    </row>
    <row r="4" spans="1:12" ht="14.45" x14ac:dyDescent="0.3">
      <c r="A4" s="368" t="s">
        <v>1760</v>
      </c>
      <c r="K4" s="175">
        <v>1980</v>
      </c>
      <c r="L4" s="274">
        <v>16751983</v>
      </c>
    </row>
    <row r="5" spans="1:12" ht="14.45" x14ac:dyDescent="0.3">
      <c r="K5" s="175">
        <v>1981</v>
      </c>
      <c r="L5" s="274">
        <v>1144755</v>
      </c>
    </row>
    <row r="6" spans="1:12" ht="14.45" x14ac:dyDescent="0.3">
      <c r="A6" s="2" t="s">
        <v>1761</v>
      </c>
      <c r="K6" s="175">
        <v>1982</v>
      </c>
      <c r="L6" s="274">
        <v>3707164</v>
      </c>
    </row>
    <row r="7" spans="1:12" ht="14.45" x14ac:dyDescent="0.3">
      <c r="A7" s="2" t="s">
        <v>1762</v>
      </c>
      <c r="K7" s="175">
        <v>1983</v>
      </c>
      <c r="L7" s="274">
        <v>248275</v>
      </c>
    </row>
    <row r="8" spans="1:12" ht="14.45" x14ac:dyDescent="0.3">
      <c r="A8" s="2" t="s">
        <v>1763</v>
      </c>
      <c r="K8" s="175">
        <v>1984</v>
      </c>
      <c r="L8" s="274">
        <v>2955570</v>
      </c>
    </row>
    <row r="9" spans="1:12" x14ac:dyDescent="0.25">
      <c r="A9" s="2" t="s">
        <v>1764</v>
      </c>
      <c r="K9" s="175">
        <v>1985</v>
      </c>
      <c r="L9" s="274">
        <v>4287123</v>
      </c>
    </row>
    <row r="10" spans="1:12" ht="14.45" x14ac:dyDescent="0.3">
      <c r="A10" s="2" t="s">
        <v>1765</v>
      </c>
      <c r="K10" s="175">
        <v>1986</v>
      </c>
      <c r="L10" s="274">
        <v>2140947</v>
      </c>
    </row>
    <row r="11" spans="1:12" ht="14.45" x14ac:dyDescent="0.3">
      <c r="K11" s="175">
        <v>1987</v>
      </c>
      <c r="L11" s="274">
        <v>0</v>
      </c>
    </row>
    <row r="12" spans="1:12" ht="14.45" x14ac:dyDescent="0.3">
      <c r="K12" s="175">
        <v>1988</v>
      </c>
      <c r="L12" s="274">
        <v>2256066</v>
      </c>
    </row>
    <row r="13" spans="1:12" ht="14.45" x14ac:dyDescent="0.3">
      <c r="A13" s="360" t="s">
        <v>1723</v>
      </c>
      <c r="K13" s="175">
        <v>1989</v>
      </c>
      <c r="L13" s="274">
        <v>1377874</v>
      </c>
    </row>
    <row r="14" spans="1:12" ht="14.45" x14ac:dyDescent="0.3">
      <c r="A14" s="360" t="s">
        <v>1724</v>
      </c>
      <c r="K14" s="175">
        <v>1990</v>
      </c>
      <c r="L14" s="274">
        <v>2915112</v>
      </c>
    </row>
    <row r="15" spans="1:12" ht="14.45" x14ac:dyDescent="0.3">
      <c r="K15" s="175">
        <v>1991</v>
      </c>
      <c r="L15" s="274">
        <v>5129570</v>
      </c>
    </row>
    <row r="16" spans="1:12" ht="14.45" x14ac:dyDescent="0.3">
      <c r="A16" s="360" t="s">
        <v>1725</v>
      </c>
      <c r="K16" s="175">
        <v>1992</v>
      </c>
      <c r="L16" s="274">
        <v>1498604</v>
      </c>
    </row>
    <row r="17" spans="1:12" ht="14.45" x14ac:dyDescent="0.3">
      <c r="A17" s="361" t="s">
        <v>1726</v>
      </c>
      <c r="B17" s="357">
        <v>28000</v>
      </c>
      <c r="C17" s="361" t="s">
        <v>1727</v>
      </c>
      <c r="K17" s="175">
        <v>1993</v>
      </c>
      <c r="L17" s="274">
        <v>5200511</v>
      </c>
    </row>
    <row r="18" spans="1:12" ht="14.45" x14ac:dyDescent="0.3">
      <c r="A18" s="361" t="s">
        <v>1728</v>
      </c>
      <c r="B18" s="357">
        <v>43303</v>
      </c>
      <c r="C18" s="361" t="s">
        <v>1727</v>
      </c>
      <c r="K18" s="175">
        <v>1994</v>
      </c>
      <c r="L18" s="274">
        <v>3322543</v>
      </c>
    </row>
    <row r="19" spans="1:12" ht="14.45" x14ac:dyDescent="0.3">
      <c r="A19" s="361" t="s">
        <v>1729</v>
      </c>
      <c r="B19" s="357">
        <v>2584</v>
      </c>
      <c r="C19" s="361" t="s">
        <v>1730</v>
      </c>
      <c r="K19" s="175">
        <v>1995</v>
      </c>
      <c r="L19" s="274">
        <v>1683273</v>
      </c>
    </row>
    <row r="20" spans="1:12" ht="14.45" x14ac:dyDescent="0.3">
      <c r="A20" s="361" t="s">
        <v>1731</v>
      </c>
      <c r="B20" s="357">
        <v>19490</v>
      </c>
      <c r="C20" s="2" t="s">
        <v>1732</v>
      </c>
      <c r="K20" s="175">
        <v>1996</v>
      </c>
      <c r="L20" s="274">
        <v>1432522</v>
      </c>
    </row>
    <row r="21" spans="1:12" ht="14.45" x14ac:dyDescent="0.3">
      <c r="A21" s="361" t="s">
        <v>1733</v>
      </c>
      <c r="B21" s="357">
        <v>18332</v>
      </c>
      <c r="C21" s="2" t="s">
        <v>1734</v>
      </c>
      <c r="K21" s="175">
        <v>1997</v>
      </c>
      <c r="L21" s="274">
        <v>2164850</v>
      </c>
    </row>
    <row r="22" spans="1:12" ht="14.45" x14ac:dyDescent="0.3">
      <c r="A22" s="2" t="s">
        <v>1735</v>
      </c>
      <c r="B22" s="357">
        <v>25200</v>
      </c>
      <c r="C22" s="2" t="s">
        <v>1736</v>
      </c>
      <c r="K22" s="175">
        <v>1998</v>
      </c>
      <c r="L22" s="274">
        <v>975000</v>
      </c>
    </row>
    <row r="23" spans="1:12" ht="14.45" x14ac:dyDescent="0.3">
      <c r="A23" s="2" t="s">
        <v>1737</v>
      </c>
      <c r="B23" s="357">
        <v>25200</v>
      </c>
      <c r="C23" s="2" t="s">
        <v>1736</v>
      </c>
      <c r="K23" s="175">
        <v>1999</v>
      </c>
      <c r="L23" s="274">
        <v>623172</v>
      </c>
    </row>
    <row r="24" spans="1:12" ht="14.45" x14ac:dyDescent="0.3">
      <c r="A24" s="2" t="s">
        <v>1735</v>
      </c>
      <c r="B24" s="362">
        <v>91</v>
      </c>
      <c r="C24" s="2" t="s">
        <v>1738</v>
      </c>
      <c r="K24" s="175">
        <v>2000</v>
      </c>
      <c r="L24" s="274">
        <v>7409774</v>
      </c>
    </row>
    <row r="25" spans="1:12" ht="14.45" x14ac:dyDescent="0.3">
      <c r="A25" s="360" t="s">
        <v>1739</v>
      </c>
      <c r="B25" s="363">
        <f>SUM(B17:B24)</f>
        <v>162200</v>
      </c>
      <c r="K25" s="175">
        <v>2001</v>
      </c>
      <c r="L25" s="274">
        <v>43817573</v>
      </c>
    </row>
    <row r="26" spans="1:12" x14ac:dyDescent="0.25">
      <c r="B26" s="364"/>
      <c r="K26" s="175">
        <v>2002</v>
      </c>
      <c r="L26" s="274">
        <v>17076686</v>
      </c>
    </row>
    <row r="27" spans="1:12" x14ac:dyDescent="0.25">
      <c r="A27" s="360" t="s">
        <v>1740</v>
      </c>
      <c r="K27" s="175">
        <v>2003</v>
      </c>
      <c r="L27" s="274">
        <v>14711273</v>
      </c>
    </row>
    <row r="28" spans="1:12" x14ac:dyDescent="0.25">
      <c r="A28" s="2" t="s">
        <v>1741</v>
      </c>
      <c r="B28" s="364">
        <v>1700</v>
      </c>
      <c r="C28" s="2" t="s">
        <v>1742</v>
      </c>
      <c r="K28" s="175">
        <v>2004</v>
      </c>
      <c r="L28" s="274">
        <v>20362682</v>
      </c>
    </row>
    <row r="29" spans="1:12" x14ac:dyDescent="0.25">
      <c r="A29" s="2" t="s">
        <v>1741</v>
      </c>
      <c r="B29" s="364">
        <v>1580</v>
      </c>
      <c r="C29" s="2" t="s">
        <v>1743</v>
      </c>
      <c r="K29" s="175">
        <v>2005</v>
      </c>
      <c r="L29" s="274">
        <v>2789106</v>
      </c>
    </row>
    <row r="30" spans="1:12" x14ac:dyDescent="0.25">
      <c r="A30" s="2" t="s">
        <v>1744</v>
      </c>
      <c r="B30" s="364">
        <v>4600</v>
      </c>
      <c r="C30" s="2" t="s">
        <v>1745</v>
      </c>
      <c r="H30" s="358"/>
      <c r="K30" s="175">
        <v>2006</v>
      </c>
      <c r="L30" s="274">
        <v>11111061</v>
      </c>
    </row>
    <row r="31" spans="1:12" x14ac:dyDescent="0.25">
      <c r="A31" s="2" t="s">
        <v>1729</v>
      </c>
      <c r="B31" s="364">
        <v>2374</v>
      </c>
      <c r="C31" s="2" t="s">
        <v>1745</v>
      </c>
      <c r="H31" s="358"/>
      <c r="K31" s="175">
        <v>2007</v>
      </c>
      <c r="L31" s="274">
        <v>14102380</v>
      </c>
    </row>
    <row r="32" spans="1:12" x14ac:dyDescent="0.25">
      <c r="A32" s="361" t="s">
        <v>1746</v>
      </c>
      <c r="B32" s="365">
        <v>9761</v>
      </c>
      <c r="C32" s="361" t="s">
        <v>1747</v>
      </c>
      <c r="H32" s="358"/>
      <c r="K32" s="175">
        <v>2008</v>
      </c>
      <c r="L32" s="274">
        <v>8137398</v>
      </c>
    </row>
    <row r="33" spans="1:12" x14ac:dyDescent="0.25">
      <c r="A33" s="361" t="s">
        <v>1748</v>
      </c>
      <c r="B33" s="366">
        <f>-3336+5000</f>
        <v>1664</v>
      </c>
      <c r="C33" s="361" t="s">
        <v>1749</v>
      </c>
      <c r="H33" s="358"/>
      <c r="K33" s="175">
        <v>2009</v>
      </c>
      <c r="L33" s="274">
        <v>6747321</v>
      </c>
    </row>
    <row r="34" spans="1:12" x14ac:dyDescent="0.25">
      <c r="A34" s="360" t="s">
        <v>1750</v>
      </c>
      <c r="B34" s="363">
        <f>SUM(B28:B33)</f>
        <v>21679</v>
      </c>
      <c r="H34" s="358"/>
      <c r="K34" s="175">
        <v>2010</v>
      </c>
      <c r="L34" s="274">
        <v>38367590</v>
      </c>
    </row>
    <row r="35" spans="1:12" x14ac:dyDescent="0.25">
      <c r="H35" s="358"/>
      <c r="K35" s="175">
        <v>2011</v>
      </c>
      <c r="L35" s="274">
        <v>10077211</v>
      </c>
    </row>
    <row r="36" spans="1:12" x14ac:dyDescent="0.25">
      <c r="A36" s="360" t="s">
        <v>1751</v>
      </c>
      <c r="B36" s="363">
        <f>+B25-B34</f>
        <v>140521</v>
      </c>
      <c r="H36" s="358"/>
      <c r="K36" s="175">
        <v>2012</v>
      </c>
      <c r="L36" s="274">
        <v>26547551</v>
      </c>
    </row>
    <row r="37" spans="1:12" x14ac:dyDescent="0.25">
      <c r="H37" s="358"/>
      <c r="K37" s="175">
        <v>2013</v>
      </c>
      <c r="L37" s="274">
        <v>16667884</v>
      </c>
    </row>
    <row r="38" spans="1:12" x14ac:dyDescent="0.25">
      <c r="H38" s="358"/>
      <c r="K38" s="175">
        <v>2014</v>
      </c>
      <c r="L38" s="274">
        <v>44672859</v>
      </c>
    </row>
    <row r="39" spans="1:12" x14ac:dyDescent="0.25">
      <c r="H39" s="358"/>
      <c r="K39" s="175">
        <v>2015</v>
      </c>
      <c r="L39" s="274">
        <v>31898743</v>
      </c>
    </row>
    <row r="40" spans="1:12" x14ac:dyDescent="0.25">
      <c r="H40" s="358"/>
      <c r="K40" s="175">
        <v>2016</v>
      </c>
      <c r="L40" s="274">
        <v>17599006</v>
      </c>
    </row>
    <row r="41" spans="1:12" x14ac:dyDescent="0.25">
      <c r="H41" s="358"/>
    </row>
    <row r="42" spans="1:12" x14ac:dyDescent="0.25">
      <c r="H42" s="358"/>
    </row>
  </sheetData>
  <hyperlinks>
    <hyperlink ref="A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topLeftCell="C1" zoomScale="55" zoomScaleNormal="55" workbookViewId="0">
      <selection activeCell="G43" sqref="G43:U43"/>
    </sheetView>
  </sheetViews>
  <sheetFormatPr defaultRowHeight="15" x14ac:dyDescent="0.25"/>
  <cols>
    <col min="2" max="2" width="18.42578125" customWidth="1"/>
    <col min="3" max="3" width="26.5703125" customWidth="1"/>
    <col min="4" max="4" width="31" customWidth="1"/>
    <col min="5" max="5" width="19.5703125" customWidth="1"/>
    <col min="6" max="6" width="22.28515625" bestFit="1" customWidth="1"/>
    <col min="7" max="11" width="13.42578125" bestFit="1" customWidth="1"/>
    <col min="12" max="21" width="14.7109375" customWidth="1"/>
    <col min="23" max="23" width="14" customWidth="1"/>
    <col min="24" max="24" width="39.140625" customWidth="1"/>
    <col min="25" max="25" width="12.28515625" customWidth="1"/>
  </cols>
  <sheetData>
    <row r="1" spans="2:28" ht="23.45" x14ac:dyDescent="0.45">
      <c r="B1" s="313" t="s">
        <v>34</v>
      </c>
      <c r="C1" s="313" t="str">
        <f>'Program Analysis'!C3</f>
        <v>ECAA Financing</v>
      </c>
      <c r="D1" s="3"/>
    </row>
    <row r="2" spans="2:28" ht="23.45" x14ac:dyDescent="0.45">
      <c r="B2" s="313" t="s">
        <v>1704</v>
      </c>
      <c r="C2" s="313" t="s">
        <v>1705</v>
      </c>
      <c r="D2" s="3"/>
    </row>
    <row r="4" spans="2:28" s="2" customFormat="1" ht="15.6" x14ac:dyDescent="0.3">
      <c r="B4" s="201"/>
      <c r="G4" s="76"/>
      <c r="H4" s="76"/>
      <c r="I4" s="76"/>
      <c r="J4" s="76"/>
      <c r="K4" s="76"/>
      <c r="L4" s="76"/>
      <c r="M4" s="76"/>
      <c r="N4" s="76"/>
      <c r="O4" s="76"/>
      <c r="P4" s="76"/>
      <c r="Q4" s="76"/>
      <c r="R4" s="76"/>
      <c r="S4" s="76"/>
      <c r="T4" s="76"/>
      <c r="U4" s="76"/>
    </row>
    <row r="5" spans="2:28" s="2" customFormat="1" thickBot="1" x14ac:dyDescent="0.35">
      <c r="G5" s="76"/>
      <c r="H5" s="76"/>
      <c r="I5" s="76"/>
      <c r="J5" s="76"/>
      <c r="K5" s="76"/>
      <c r="L5" s="76"/>
      <c r="M5" s="76"/>
      <c r="N5" s="76"/>
      <c r="O5" s="76"/>
      <c r="P5" s="76"/>
      <c r="Q5" s="76"/>
      <c r="R5" s="76"/>
      <c r="S5" s="76"/>
      <c r="T5" s="76"/>
      <c r="U5" s="76"/>
    </row>
    <row r="6" spans="2:28" ht="24" thickBot="1" x14ac:dyDescent="0.5">
      <c r="B6" s="394" t="s">
        <v>1688</v>
      </c>
      <c r="C6" s="395"/>
      <c r="D6" s="395"/>
      <c r="E6" s="395"/>
      <c r="F6" s="395"/>
      <c r="G6" s="395"/>
      <c r="H6" s="395"/>
      <c r="I6" s="395"/>
      <c r="J6" s="395"/>
      <c r="K6" s="395"/>
      <c r="L6" s="395"/>
      <c r="M6" s="395"/>
      <c r="N6" s="395"/>
      <c r="O6" s="395"/>
      <c r="P6" s="395"/>
      <c r="Q6" s="395"/>
      <c r="R6" s="395"/>
      <c r="S6" s="395"/>
      <c r="T6" s="395"/>
      <c r="U6" s="396"/>
      <c r="V6" s="3"/>
      <c r="W6" s="3"/>
    </row>
    <row r="7" spans="2:28" s="9" customFormat="1" ht="18.600000000000001" thickBot="1" x14ac:dyDescent="0.4">
      <c r="B7" s="314" t="s">
        <v>1</v>
      </c>
      <c r="C7" s="315" t="s">
        <v>19</v>
      </c>
      <c r="D7" s="315" t="s">
        <v>3</v>
      </c>
      <c r="E7" s="315" t="s">
        <v>1706</v>
      </c>
      <c r="F7" s="316" t="s">
        <v>1011</v>
      </c>
      <c r="G7" s="315">
        <v>2015</v>
      </c>
      <c r="H7" s="315">
        <v>2016</v>
      </c>
      <c r="I7" s="315">
        <v>2017</v>
      </c>
      <c r="J7" s="315">
        <v>2018</v>
      </c>
      <c r="K7" s="315">
        <v>2019</v>
      </c>
      <c r="L7" s="315">
        <v>2020</v>
      </c>
      <c r="M7" s="315">
        <v>2021</v>
      </c>
      <c r="N7" s="315">
        <v>2022</v>
      </c>
      <c r="O7" s="315">
        <v>2023</v>
      </c>
      <c r="P7" s="315">
        <v>2024</v>
      </c>
      <c r="Q7" s="315">
        <v>2025</v>
      </c>
      <c r="R7" s="315">
        <v>2026</v>
      </c>
      <c r="S7" s="315">
        <v>2027</v>
      </c>
      <c r="T7" s="315">
        <v>2028</v>
      </c>
      <c r="U7" s="317">
        <v>2029</v>
      </c>
      <c r="V7" s="190"/>
      <c r="W7" s="190"/>
      <c r="Y7"/>
      <c r="AA7" s="178"/>
      <c r="AB7" s="178"/>
    </row>
    <row r="8" spans="2:28" s="9" customFormat="1" ht="18" x14ac:dyDescent="0.35">
      <c r="B8" s="318" t="s">
        <v>1012</v>
      </c>
      <c r="C8" s="319"/>
      <c r="D8" s="319"/>
      <c r="E8" s="319"/>
      <c r="F8" s="319"/>
      <c r="G8" s="390" t="s">
        <v>1707</v>
      </c>
      <c r="H8" s="390"/>
      <c r="I8" s="390"/>
      <c r="J8" s="390"/>
      <c r="K8" s="390"/>
      <c r="L8" s="390"/>
      <c r="M8" s="390"/>
      <c r="N8" s="390"/>
      <c r="O8" s="390"/>
      <c r="P8" s="390"/>
      <c r="Q8" s="390"/>
      <c r="R8" s="390"/>
      <c r="S8" s="390"/>
      <c r="T8" s="390"/>
      <c r="U8" s="391"/>
      <c r="V8" s="190"/>
      <c r="W8" s="190"/>
      <c r="AA8" s="178"/>
      <c r="AB8" s="178"/>
    </row>
    <row r="9" spans="2:28" ht="14.45" customHeight="1" x14ac:dyDescent="0.3">
      <c r="B9" s="320" t="str">
        <f>VLOOKUP($C$1, 'Look-up'!$A$4:$D$20, 4, FALSE)</f>
        <v>CEC</v>
      </c>
      <c r="C9" s="321" t="str">
        <f>VLOOKUP($C$1, 'Look-up'!$A$4:$D$20, 2, FALSE)</f>
        <v>State Financing</v>
      </c>
      <c r="D9" s="321" t="str">
        <f>VLOOKUP($C$1, 'Look-up'!$A$4:$D$20, 1, FALSE)</f>
        <v>ECAA Financing</v>
      </c>
      <c r="E9" s="321" t="s">
        <v>1671</v>
      </c>
      <c r="F9" s="322" t="s">
        <v>0</v>
      </c>
      <c r="G9" s="321">
        <f>'Program Analysis'!$C$19*Conservative!C$66</f>
        <v>0</v>
      </c>
      <c r="H9" s="321">
        <f>'Program Analysis'!$C$19*Conservative!D$66</f>
        <v>0</v>
      </c>
      <c r="I9" s="321">
        <f>'Program Analysis'!$C$19*Conservative!E$66</f>
        <v>0</v>
      </c>
      <c r="J9" s="321">
        <f>'Program Analysis'!$C$19*Conservative!F$66</f>
        <v>0</v>
      </c>
      <c r="K9" s="321">
        <f>'Program Analysis'!$C$19*Conservative!G$66</f>
        <v>0</v>
      </c>
      <c r="L9" s="321">
        <f>'Program Analysis'!$C$19*Conservative!H$66</f>
        <v>0</v>
      </c>
      <c r="M9" s="321">
        <f>'Program Analysis'!$C$19*Conservative!I$66</f>
        <v>0</v>
      </c>
      <c r="N9" s="321">
        <f>'Program Analysis'!$C$19*Conservative!J$66</f>
        <v>0</v>
      </c>
      <c r="O9" s="321">
        <f>'Program Analysis'!$C$19*Conservative!K$66</f>
        <v>0</v>
      </c>
      <c r="P9" s="321">
        <f>'Program Analysis'!$C$19*Conservative!L$66</f>
        <v>0</v>
      </c>
      <c r="Q9" s="321">
        <f>'Program Analysis'!$C$19*Conservative!M$66</f>
        <v>0</v>
      </c>
      <c r="R9" s="321">
        <f>'Program Analysis'!$C$19*Conservative!N$66</f>
        <v>0</v>
      </c>
      <c r="S9" s="321">
        <f>'Program Analysis'!$C$19*Conservative!O$66</f>
        <v>0</v>
      </c>
      <c r="T9" s="321">
        <f>'Program Analysis'!$C$19*Conservative!P$66</f>
        <v>0</v>
      </c>
      <c r="U9" s="323">
        <f>'Program Analysis'!$C$19*Conservative!Q$66</f>
        <v>0</v>
      </c>
      <c r="V9" s="192"/>
      <c r="W9" s="3"/>
      <c r="AA9" s="6"/>
      <c r="AB9" s="6"/>
    </row>
    <row r="10" spans="2:28" ht="14.45" x14ac:dyDescent="0.3">
      <c r="B10" s="320" t="str">
        <f>B9</f>
        <v>CEC</v>
      </c>
      <c r="C10" s="321" t="str">
        <f t="shared" ref="C10:D11" si="0">C9</f>
        <v>State Financing</v>
      </c>
      <c r="D10" s="321" t="str">
        <f t="shared" si="0"/>
        <v>ECAA Financing</v>
      </c>
      <c r="E10" s="321" t="s">
        <v>1669</v>
      </c>
      <c r="F10" s="322" t="str">
        <f t="shared" ref="F10:F11" si="1">F9</f>
        <v>GWh</v>
      </c>
      <c r="G10" s="321">
        <f>'Program Analysis'!$C$19*Reference!C$66</f>
        <v>0</v>
      </c>
      <c r="H10" s="321">
        <f>'Program Analysis'!$C$19*Reference!D$66</f>
        <v>0</v>
      </c>
      <c r="I10" s="321">
        <f>'Program Analysis'!$C$19*Reference!E$66</f>
        <v>0</v>
      </c>
      <c r="J10" s="321">
        <f>'Program Analysis'!$C$19*Reference!F$66</f>
        <v>0</v>
      </c>
      <c r="K10" s="321">
        <f>'Program Analysis'!$C$19*Reference!G$66</f>
        <v>1.0361879999999999</v>
      </c>
      <c r="L10" s="321">
        <f>'Program Analysis'!$C$19*Reference!H$66</f>
        <v>2.0723759999999998</v>
      </c>
      <c r="M10" s="321">
        <f>'Program Analysis'!$C$19*Reference!I$66</f>
        <v>3.1085639999999994</v>
      </c>
      <c r="N10" s="321">
        <f>'Program Analysis'!$C$19*Reference!J$66</f>
        <v>4.1001959159999997</v>
      </c>
      <c r="O10" s="321">
        <f>'Program Analysis'!$C$19*Reference!K$66</f>
        <v>5.0918278319999999</v>
      </c>
      <c r="P10" s="321">
        <f>'Program Analysis'!$C$19*Reference!L$66</f>
        <v>6.0834597480000001</v>
      </c>
      <c r="Q10" s="321">
        <f>'Program Analysis'!$C$19*Reference!M$66</f>
        <v>7.0528136220000004</v>
      </c>
      <c r="R10" s="321">
        <f>'Program Analysis'!$C$19*Reference!N$66</f>
        <v>8.0221674959999998</v>
      </c>
      <c r="S10" s="321">
        <f>'Program Analysis'!$C$19*Reference!O$66</f>
        <v>8.9500738500000008</v>
      </c>
      <c r="T10" s="321">
        <f>'Program Analysis'!$C$19*Reference!P$66</f>
        <v>9.866841183</v>
      </c>
      <c r="U10" s="323">
        <f>'Program Analysis'!$C$19*Reference!Q$66</f>
        <v>10.742160995999999</v>
      </c>
      <c r="V10" s="3"/>
      <c r="W10" s="3"/>
    </row>
    <row r="11" spans="2:28" ht="14.45" x14ac:dyDescent="0.3">
      <c r="B11" s="320" t="str">
        <f t="shared" ref="B11" si="2">B10</f>
        <v>CEC</v>
      </c>
      <c r="C11" s="321" t="str">
        <f t="shared" si="0"/>
        <v>State Financing</v>
      </c>
      <c r="D11" s="321" t="str">
        <f t="shared" si="0"/>
        <v>ECAA Financing</v>
      </c>
      <c r="E11" s="321" t="s">
        <v>1708</v>
      </c>
      <c r="F11" s="322" t="str">
        <f t="shared" si="1"/>
        <v>GWh</v>
      </c>
      <c r="G11" s="321">
        <f>'Program Analysis'!$C$19*Aggressive!C$66</f>
        <v>0</v>
      </c>
      <c r="H11" s="321">
        <f>'Program Analysis'!$C$19*Aggressive!D$66</f>
        <v>0</v>
      </c>
      <c r="I11" s="321">
        <f>'Program Analysis'!$C$19*Aggressive!E$66</f>
        <v>0</v>
      </c>
      <c r="J11" s="321">
        <f>'Program Analysis'!$C$19*Aggressive!F$66</f>
        <v>0</v>
      </c>
      <c r="K11" s="321">
        <f>'Program Analysis'!$C$19*Aggressive!G$66</f>
        <v>3.1085640000000003</v>
      </c>
      <c r="L11" s="321">
        <f>'Program Analysis'!$C$19*Aggressive!H$66</f>
        <v>6.2171280000000007</v>
      </c>
      <c r="M11" s="321">
        <f>'Program Analysis'!$C$19*Aggressive!I$66</f>
        <v>9.3256920000000001</v>
      </c>
      <c r="N11" s="321">
        <f>'Program Analysis'!$C$19*Aggressive!J$66</f>
        <v>12.300587748000002</v>
      </c>
      <c r="O11" s="321">
        <f>'Program Analysis'!$C$19*Aggressive!K$66</f>
        <v>15.275483496000003</v>
      </c>
      <c r="P11" s="321">
        <f>'Program Analysis'!$C$19*Aggressive!L$66</f>
        <v>18.250379244000005</v>
      </c>
      <c r="Q11" s="321">
        <f>'Program Analysis'!$C$19*Aggressive!M$66</f>
        <v>21.158440866000003</v>
      </c>
      <c r="R11" s="321">
        <f>'Program Analysis'!$C$19*Aggressive!N$66</f>
        <v>24.066502488000001</v>
      </c>
      <c r="S11" s="321">
        <f>'Program Analysis'!$C$19*Aggressive!O$66</f>
        <v>26.850221550000004</v>
      </c>
      <c r="T11" s="321">
        <f>'Program Analysis'!$C$19*Aggressive!P$66</f>
        <v>29.600523549000005</v>
      </c>
      <c r="U11" s="323">
        <f>'Program Analysis'!$C$19*Aggressive!Q$66</f>
        <v>32.226482988000008</v>
      </c>
      <c r="V11" s="3"/>
      <c r="W11" s="3"/>
    </row>
    <row r="12" spans="2:28" ht="14.45" x14ac:dyDescent="0.3">
      <c r="B12" s="320"/>
      <c r="C12" s="321"/>
      <c r="D12" s="321"/>
      <c r="E12" s="321"/>
      <c r="F12" s="322"/>
      <c r="G12" s="321"/>
      <c r="H12" s="321"/>
      <c r="I12" s="321"/>
      <c r="J12" s="321"/>
      <c r="K12" s="321"/>
      <c r="L12" s="321"/>
      <c r="M12" s="321"/>
      <c r="N12" s="321"/>
      <c r="O12" s="321"/>
      <c r="P12" s="321"/>
      <c r="Q12" s="321"/>
      <c r="R12" s="321"/>
      <c r="S12" s="321"/>
      <c r="T12" s="321"/>
      <c r="U12" s="323"/>
      <c r="V12" s="3"/>
      <c r="W12" s="3"/>
    </row>
    <row r="13" spans="2:28" s="9" customFormat="1" ht="18" x14ac:dyDescent="0.35">
      <c r="B13" s="324" t="s">
        <v>1013</v>
      </c>
      <c r="C13" s="325"/>
      <c r="D13" s="325"/>
      <c r="E13" s="325"/>
      <c r="F13" s="326"/>
      <c r="G13" s="392" t="s">
        <v>1709</v>
      </c>
      <c r="H13" s="392"/>
      <c r="I13" s="392"/>
      <c r="J13" s="392"/>
      <c r="K13" s="392"/>
      <c r="L13" s="392"/>
      <c r="M13" s="392"/>
      <c r="N13" s="392"/>
      <c r="O13" s="392"/>
      <c r="P13" s="392"/>
      <c r="Q13" s="392"/>
      <c r="R13" s="392"/>
      <c r="S13" s="392"/>
      <c r="T13" s="392"/>
      <c r="U13" s="393"/>
      <c r="V13" s="190"/>
      <c r="W13" s="190"/>
      <c r="AA13" s="178"/>
      <c r="AB13" s="178"/>
    </row>
    <row r="14" spans="2:28" ht="14.45" customHeight="1" x14ac:dyDescent="0.3">
      <c r="B14" s="320" t="str">
        <f>B9</f>
        <v>CEC</v>
      </c>
      <c r="C14" s="321" t="str">
        <f t="shared" ref="C14:E14" si="3">C9</f>
        <v>State Financing</v>
      </c>
      <c r="D14" s="321" t="str">
        <f t="shared" si="3"/>
        <v>ECAA Financing</v>
      </c>
      <c r="E14" s="321" t="str">
        <f t="shared" si="3"/>
        <v>Conservative</v>
      </c>
      <c r="F14" s="322" t="s">
        <v>4</v>
      </c>
      <c r="G14" s="321">
        <f>'Program Analysis'!$C$19*Conservative!C$91</f>
        <v>0</v>
      </c>
      <c r="H14" s="321">
        <f>'Program Analysis'!$C$19*Conservative!D$91</f>
        <v>0</v>
      </c>
      <c r="I14" s="321">
        <f>'Program Analysis'!$C$19*Conservative!E$91</f>
        <v>0</v>
      </c>
      <c r="J14" s="321">
        <f>'Program Analysis'!$C$19*Conservative!F$91</f>
        <v>0</v>
      </c>
      <c r="K14" s="321">
        <f>'Program Analysis'!$C$19*Conservative!G$91</f>
        <v>0</v>
      </c>
      <c r="L14" s="321">
        <f>'Program Analysis'!$C$19*Conservative!H$91</f>
        <v>0</v>
      </c>
      <c r="M14" s="321">
        <f>'Program Analysis'!$C$19*Conservative!I$91</f>
        <v>0</v>
      </c>
      <c r="N14" s="321">
        <f>'Program Analysis'!$C$19*Conservative!J$91</f>
        <v>0</v>
      </c>
      <c r="O14" s="321">
        <f>'Program Analysis'!$C$19*Conservative!K$91</f>
        <v>0</v>
      </c>
      <c r="P14" s="321">
        <f>'Program Analysis'!$C$19*Conservative!L$91</f>
        <v>0</v>
      </c>
      <c r="Q14" s="321">
        <f>'Program Analysis'!$C$19*Conservative!M$91</f>
        <v>0</v>
      </c>
      <c r="R14" s="321">
        <f>'Program Analysis'!$C$19*Conservative!N$91</f>
        <v>0</v>
      </c>
      <c r="S14" s="321">
        <f>'Program Analysis'!$C$19*Conservative!O$91</f>
        <v>0</v>
      </c>
      <c r="T14" s="321">
        <f>'Program Analysis'!$C$19*Conservative!P$91</f>
        <v>0</v>
      </c>
      <c r="U14" s="323">
        <f>'Program Analysis'!$C$19*Conservative!Q$91</f>
        <v>0</v>
      </c>
      <c r="V14" s="192"/>
      <c r="W14" s="3"/>
      <c r="AA14" s="6"/>
      <c r="AB14" s="6"/>
    </row>
    <row r="15" spans="2:28" ht="14.45" x14ac:dyDescent="0.3">
      <c r="B15" s="327" t="str">
        <f t="shared" ref="B15:E16" si="4">B10</f>
        <v>CEC</v>
      </c>
      <c r="C15" s="321" t="str">
        <f t="shared" si="4"/>
        <v>State Financing</v>
      </c>
      <c r="D15" s="321" t="str">
        <f t="shared" si="4"/>
        <v>ECAA Financing</v>
      </c>
      <c r="E15" s="321" t="str">
        <f t="shared" si="4"/>
        <v>Reference</v>
      </c>
      <c r="F15" s="322" t="str">
        <f t="shared" ref="F15:F16" si="5">F14</f>
        <v>MM Therms</v>
      </c>
      <c r="G15" s="321">
        <f>'Program Analysis'!$C$19*Reference!C$91</f>
        <v>0</v>
      </c>
      <c r="H15" s="321">
        <f>'Program Analysis'!$C$19*Reference!D$91</f>
        <v>0</v>
      </c>
      <c r="I15" s="321">
        <f>'Program Analysis'!$C$19*Reference!E$91</f>
        <v>0</v>
      </c>
      <c r="J15" s="321">
        <f>'Program Analysis'!$C$19*Reference!F$91</f>
        <v>0</v>
      </c>
      <c r="K15" s="321">
        <f>'Program Analysis'!$C$19*Reference!G$91</f>
        <v>5.7732168000000006E-3</v>
      </c>
      <c r="L15" s="321">
        <f>'Program Analysis'!$C$19*Reference!H$91</f>
        <v>1.1546433600000001E-2</v>
      </c>
      <c r="M15" s="321">
        <f>'Program Analysis'!$C$19*Reference!I$91</f>
        <v>1.7319650400000001E-2</v>
      </c>
      <c r="N15" s="321">
        <f>'Program Analysis'!$C$19*Reference!J$91</f>
        <v>2.2844618877600004E-2</v>
      </c>
      <c r="O15" s="321">
        <f>'Program Analysis'!$C$19*Reference!K$91</f>
        <v>2.8369587355200003E-2</v>
      </c>
      <c r="P15" s="321">
        <f>'Program Analysis'!$C$19*Reference!L$91</f>
        <v>3.3894555832800002E-2</v>
      </c>
      <c r="Q15" s="321">
        <f>'Program Analysis'!$C$19*Reference!M$91</f>
        <v>3.9295400149200001E-2</v>
      </c>
      <c r="R15" s="321">
        <f>'Program Analysis'!$C$19*Reference!N$91</f>
        <v>4.4696244465599999E-2</v>
      </c>
      <c r="S15" s="321">
        <f>'Program Analysis'!$C$19*Reference!O$91</f>
        <v>4.9866160110000002E-2</v>
      </c>
      <c r="T15" s="321">
        <f>'Program Analysis'!$C$19*Reference!P$91</f>
        <v>5.4974013673800004E-2</v>
      </c>
      <c r="U15" s="323">
        <f>'Program Analysis'!$C$19*Reference!Q$91</f>
        <v>5.9850938565600004E-2</v>
      </c>
      <c r="V15" s="3"/>
      <c r="W15" s="3"/>
    </row>
    <row r="16" spans="2:28" thickBot="1" x14ac:dyDescent="0.35">
      <c r="B16" s="328" t="str">
        <f t="shared" si="4"/>
        <v>CEC</v>
      </c>
      <c r="C16" s="329" t="str">
        <f t="shared" si="4"/>
        <v>State Financing</v>
      </c>
      <c r="D16" s="329" t="str">
        <f t="shared" si="4"/>
        <v>ECAA Financing</v>
      </c>
      <c r="E16" s="329" t="str">
        <f t="shared" si="4"/>
        <v>Aggressive</v>
      </c>
      <c r="F16" s="330" t="str">
        <f t="shared" si="5"/>
        <v>MM Therms</v>
      </c>
      <c r="G16" s="329">
        <f>'Program Analysis'!$C$19*Aggressive!C$91</f>
        <v>0</v>
      </c>
      <c r="H16" s="329">
        <f>'Program Analysis'!$C$19*Aggressive!D$91</f>
        <v>0</v>
      </c>
      <c r="I16" s="329">
        <f>'Program Analysis'!$C$19*Aggressive!E$91</f>
        <v>0</v>
      </c>
      <c r="J16" s="329">
        <f>'Program Analysis'!$C$19*Aggressive!F$91</f>
        <v>0</v>
      </c>
      <c r="K16" s="329">
        <f>'Program Analysis'!$C$19*Aggressive!G$91</f>
        <v>1.7319650400000004E-2</v>
      </c>
      <c r="L16" s="329">
        <f>'Program Analysis'!$C$19*Aggressive!H$91</f>
        <v>3.4639300800000009E-2</v>
      </c>
      <c r="M16" s="329">
        <f>'Program Analysis'!$C$19*Aggressive!I$91</f>
        <v>5.1958951200000013E-2</v>
      </c>
      <c r="N16" s="329">
        <f>'Program Analysis'!$C$19*Aggressive!J$91</f>
        <v>6.8533856632800011E-2</v>
      </c>
      <c r="O16" s="329">
        <f>'Program Analysis'!$C$19*Aggressive!K$91</f>
        <v>8.5108762065600002E-2</v>
      </c>
      <c r="P16" s="329">
        <f>'Program Analysis'!$C$19*Aggressive!L$91</f>
        <v>0.10168366749839999</v>
      </c>
      <c r="Q16" s="329">
        <f>'Program Analysis'!$C$19*Aggressive!M$91</f>
        <v>0.11788620044760001</v>
      </c>
      <c r="R16" s="329">
        <f>'Program Analysis'!$C$19*Aggressive!N$91</f>
        <v>0.13408873339680003</v>
      </c>
      <c r="S16" s="329">
        <f>'Program Analysis'!$C$19*Aggressive!O$91</f>
        <v>0.14959848033000001</v>
      </c>
      <c r="T16" s="329">
        <f>'Program Analysis'!$C$19*Aggressive!P$91</f>
        <v>0.16492204102140001</v>
      </c>
      <c r="U16" s="331">
        <f>'Program Analysis'!$C$19*Aggressive!Q$91</f>
        <v>0.17955281569680001</v>
      </c>
      <c r="V16" s="3"/>
      <c r="W16" s="3"/>
    </row>
    <row r="17" spans="2:28" ht="14.45" x14ac:dyDescent="0.3">
      <c r="B17" s="332"/>
      <c r="C17" s="332"/>
      <c r="D17" s="332"/>
      <c r="E17" s="332"/>
      <c r="F17" s="332"/>
      <c r="G17" s="332"/>
      <c r="H17" s="332"/>
      <c r="I17" s="332"/>
      <c r="J17" s="332"/>
      <c r="K17" s="332"/>
      <c r="L17" s="332"/>
      <c r="M17" s="332"/>
      <c r="N17" s="332"/>
      <c r="O17" s="332"/>
      <c r="P17" s="332"/>
      <c r="Q17" s="332"/>
      <c r="R17" s="332"/>
      <c r="S17" s="332"/>
      <c r="T17" s="332"/>
      <c r="U17" s="332"/>
      <c r="V17" s="3"/>
      <c r="W17" s="3"/>
    </row>
    <row r="18" spans="2:28" ht="14.45" x14ac:dyDescent="0.3">
      <c r="B18" s="332"/>
      <c r="C18" s="332"/>
      <c r="D18" s="332"/>
      <c r="E18" s="332"/>
      <c r="F18" s="332"/>
      <c r="G18" s="332"/>
      <c r="H18" s="332"/>
      <c r="I18" s="332"/>
      <c r="J18" s="332"/>
      <c r="K18" s="332"/>
      <c r="L18" s="332"/>
      <c r="M18" s="332"/>
      <c r="N18" s="332"/>
      <c r="O18" s="332"/>
      <c r="P18" s="332"/>
      <c r="Q18" s="332"/>
      <c r="R18" s="332"/>
      <c r="S18" s="332"/>
      <c r="T18" s="332"/>
      <c r="U18" s="332"/>
      <c r="V18" s="3"/>
      <c r="W18" s="3"/>
    </row>
    <row r="19" spans="2:28" thickBot="1" x14ac:dyDescent="0.35">
      <c r="B19" s="332"/>
      <c r="C19" s="332"/>
      <c r="D19" s="332"/>
      <c r="E19" s="332"/>
      <c r="F19" s="332"/>
      <c r="G19" s="332"/>
      <c r="H19" s="332"/>
      <c r="I19" s="332"/>
      <c r="J19" s="332"/>
      <c r="K19" s="332"/>
      <c r="L19" s="332"/>
      <c r="M19" s="332"/>
      <c r="N19" s="332"/>
      <c r="O19" s="332"/>
      <c r="P19" s="332"/>
      <c r="Q19" s="332"/>
      <c r="R19" s="332"/>
      <c r="S19" s="332"/>
      <c r="T19" s="332"/>
      <c r="U19" s="332"/>
      <c r="V19" s="3"/>
      <c r="W19" s="3"/>
    </row>
    <row r="20" spans="2:28" ht="24" thickBot="1" x14ac:dyDescent="0.5">
      <c r="B20" s="397" t="s">
        <v>1710</v>
      </c>
      <c r="C20" s="398"/>
      <c r="D20" s="398"/>
      <c r="E20" s="398"/>
      <c r="F20" s="398"/>
      <c r="G20" s="398"/>
      <c r="H20" s="398"/>
      <c r="I20" s="398"/>
      <c r="J20" s="398"/>
      <c r="K20" s="398"/>
      <c r="L20" s="398"/>
      <c r="M20" s="398"/>
      <c r="N20" s="398"/>
      <c r="O20" s="398"/>
      <c r="P20" s="398"/>
      <c r="Q20" s="398"/>
      <c r="R20" s="398"/>
      <c r="S20" s="398"/>
      <c r="T20" s="398"/>
      <c r="U20" s="399"/>
      <c r="V20" s="3"/>
      <c r="W20" s="3"/>
    </row>
    <row r="21" spans="2:28" s="9" customFormat="1" ht="18.600000000000001" thickBot="1" x14ac:dyDescent="0.4">
      <c r="B21" s="333" t="s">
        <v>1</v>
      </c>
      <c r="C21" s="334" t="s">
        <v>19</v>
      </c>
      <c r="D21" s="334" t="s">
        <v>3</v>
      </c>
      <c r="E21" s="334" t="s">
        <v>1706</v>
      </c>
      <c r="F21" s="335" t="s">
        <v>1011</v>
      </c>
      <c r="G21" s="336">
        <v>2015</v>
      </c>
      <c r="H21" s="336">
        <v>2016</v>
      </c>
      <c r="I21" s="336">
        <v>2017</v>
      </c>
      <c r="J21" s="336">
        <v>2018</v>
      </c>
      <c r="K21" s="336">
        <v>2019</v>
      </c>
      <c r="L21" s="336">
        <v>2020</v>
      </c>
      <c r="M21" s="336">
        <v>2021</v>
      </c>
      <c r="N21" s="336">
        <v>2022</v>
      </c>
      <c r="O21" s="336">
        <v>2023</v>
      </c>
      <c r="P21" s="336">
        <v>2024</v>
      </c>
      <c r="Q21" s="336">
        <v>2025</v>
      </c>
      <c r="R21" s="336">
        <v>2026</v>
      </c>
      <c r="S21" s="336">
        <v>2027</v>
      </c>
      <c r="T21" s="336">
        <v>2028</v>
      </c>
      <c r="U21" s="337">
        <v>2029</v>
      </c>
      <c r="V21" s="190"/>
      <c r="W21" s="190"/>
      <c r="Y21"/>
      <c r="AA21" s="178"/>
      <c r="AB21" s="178"/>
    </row>
    <row r="22" spans="2:28" s="9" customFormat="1" ht="18" x14ac:dyDescent="0.35">
      <c r="B22" s="318" t="s">
        <v>1012</v>
      </c>
      <c r="C22" s="319"/>
      <c r="D22" s="319"/>
      <c r="E22" s="319"/>
      <c r="F22" s="319"/>
      <c r="G22" s="390" t="s">
        <v>1707</v>
      </c>
      <c r="H22" s="390"/>
      <c r="I22" s="390"/>
      <c r="J22" s="390"/>
      <c r="K22" s="390"/>
      <c r="L22" s="390"/>
      <c r="M22" s="390"/>
      <c r="N22" s="390"/>
      <c r="O22" s="390"/>
      <c r="P22" s="390"/>
      <c r="Q22" s="390"/>
      <c r="R22" s="390"/>
      <c r="S22" s="390"/>
      <c r="T22" s="390"/>
      <c r="U22" s="391"/>
      <c r="V22" s="190"/>
      <c r="W22" s="190"/>
      <c r="AA22" s="178"/>
      <c r="AB22" s="178"/>
    </row>
    <row r="23" spans="2:28" ht="14.45" customHeight="1" x14ac:dyDescent="0.3">
      <c r="B23" s="320" t="str">
        <f>VLOOKUP($C$1, 'Look-up'!$A$4:$D$20, 4, FALSE)</f>
        <v>CEC</v>
      </c>
      <c r="C23" s="321" t="str">
        <f>VLOOKUP($C$1, 'Look-up'!$A$4:$D$20, 2, FALSE)</f>
        <v>State Financing</v>
      </c>
      <c r="D23" s="321" t="str">
        <f>VLOOKUP($C$1, 'Look-up'!$A$4:$D$20, 1, FALSE)</f>
        <v>ECAA Financing</v>
      </c>
      <c r="E23" s="321" t="s">
        <v>1671</v>
      </c>
      <c r="F23" s="322" t="s">
        <v>0</v>
      </c>
      <c r="G23" s="321">
        <f>'Program Analysis'!$C$18*Conservative!C$66</f>
        <v>0</v>
      </c>
      <c r="H23" s="321">
        <f>'Program Analysis'!$C$18*Conservative!D$66</f>
        <v>0</v>
      </c>
      <c r="I23" s="321">
        <f>'Program Analysis'!$C$18*Conservative!E$66</f>
        <v>0</v>
      </c>
      <c r="J23" s="321">
        <f>'Program Analysis'!$C$18*Conservative!F$66</f>
        <v>0</v>
      </c>
      <c r="K23" s="321">
        <f>'Program Analysis'!$C$18*Conservative!G$66</f>
        <v>0</v>
      </c>
      <c r="L23" s="321">
        <f>'Program Analysis'!$C$18*Conservative!H$66</f>
        <v>0</v>
      </c>
      <c r="M23" s="321">
        <f>'Program Analysis'!$C$18*Conservative!I$66</f>
        <v>0</v>
      </c>
      <c r="N23" s="321">
        <f>'Program Analysis'!$C$18*Conservative!J$66</f>
        <v>0</v>
      </c>
      <c r="O23" s="321">
        <f>'Program Analysis'!$C$18*Conservative!K$66</f>
        <v>0</v>
      </c>
      <c r="P23" s="321">
        <f>'Program Analysis'!$C$18*Conservative!L$66</f>
        <v>0</v>
      </c>
      <c r="Q23" s="321">
        <f>'Program Analysis'!$C$18*Conservative!M$66</f>
        <v>0</v>
      </c>
      <c r="R23" s="321">
        <f>'Program Analysis'!$C$18*Conservative!N$66</f>
        <v>0</v>
      </c>
      <c r="S23" s="321">
        <f>'Program Analysis'!$C$18*Conservative!O$66</f>
        <v>0</v>
      </c>
      <c r="T23" s="321">
        <f>'Program Analysis'!$C$18*Conservative!P$66</f>
        <v>0</v>
      </c>
      <c r="U23" s="323">
        <f>'Program Analysis'!$C$18*Conservative!Q$66</f>
        <v>0</v>
      </c>
      <c r="V23" s="192"/>
      <c r="W23" s="3"/>
      <c r="AA23" s="6"/>
      <c r="AB23" s="6"/>
    </row>
    <row r="24" spans="2:28" ht="14.45" x14ac:dyDescent="0.3">
      <c r="B24" s="320" t="str">
        <f>B23</f>
        <v>CEC</v>
      </c>
      <c r="C24" s="321" t="str">
        <f t="shared" ref="C24:D25" si="6">C23</f>
        <v>State Financing</v>
      </c>
      <c r="D24" s="321" t="str">
        <f t="shared" si="6"/>
        <v>ECAA Financing</v>
      </c>
      <c r="E24" s="321" t="s">
        <v>1669</v>
      </c>
      <c r="F24" s="322" t="str">
        <f t="shared" ref="F24:F25" si="7">F23</f>
        <v>GWh</v>
      </c>
      <c r="G24" s="321">
        <f>'Program Analysis'!$C$18*Reference!C$66</f>
        <v>0</v>
      </c>
      <c r="H24" s="321">
        <f>'Program Analysis'!$C$18*Reference!D$66</f>
        <v>0</v>
      </c>
      <c r="I24" s="321">
        <f>'Program Analysis'!$C$18*Reference!E$66</f>
        <v>0</v>
      </c>
      <c r="J24" s="321">
        <f>'Program Analysis'!$C$18*Reference!F$66</f>
        <v>0</v>
      </c>
      <c r="K24" s="321">
        <f>'Program Analysis'!$C$18*Reference!G$66</f>
        <v>0</v>
      </c>
      <c r="L24" s="321">
        <f>'Program Analysis'!$C$18*Reference!H$66</f>
        <v>0</v>
      </c>
      <c r="M24" s="321">
        <f>'Program Analysis'!$C$18*Reference!I$66</f>
        <v>0</v>
      </c>
      <c r="N24" s="321">
        <f>'Program Analysis'!$C$18*Reference!J$66</f>
        <v>0</v>
      </c>
      <c r="O24" s="321">
        <f>'Program Analysis'!$C$18*Reference!K$66</f>
        <v>0</v>
      </c>
      <c r="P24" s="321">
        <f>'Program Analysis'!$C$18*Reference!L$66</f>
        <v>0</v>
      </c>
      <c r="Q24" s="321">
        <f>'Program Analysis'!$C$18*Reference!M$66</f>
        <v>0</v>
      </c>
      <c r="R24" s="321">
        <f>'Program Analysis'!$C$18*Reference!N$66</f>
        <v>0</v>
      </c>
      <c r="S24" s="321">
        <f>'Program Analysis'!$C$18*Reference!O$66</f>
        <v>0</v>
      </c>
      <c r="T24" s="321">
        <f>'Program Analysis'!$C$18*Reference!P$66</f>
        <v>0</v>
      </c>
      <c r="U24" s="323">
        <f>'Program Analysis'!$C$18*Reference!Q$66</f>
        <v>0</v>
      </c>
      <c r="V24" s="3"/>
      <c r="W24" s="3"/>
    </row>
    <row r="25" spans="2:28" ht="14.45" x14ac:dyDescent="0.3">
      <c r="B25" s="320" t="str">
        <f t="shared" ref="B25" si="8">B24</f>
        <v>CEC</v>
      </c>
      <c r="C25" s="321" t="str">
        <f t="shared" si="6"/>
        <v>State Financing</v>
      </c>
      <c r="D25" s="321" t="str">
        <f t="shared" si="6"/>
        <v>ECAA Financing</v>
      </c>
      <c r="E25" s="321" t="s">
        <v>1708</v>
      </c>
      <c r="F25" s="322" t="str">
        <f t="shared" si="7"/>
        <v>GWh</v>
      </c>
      <c r="G25" s="321">
        <f>'Program Analysis'!$C$18*Aggressive!C$66</f>
        <v>0</v>
      </c>
      <c r="H25" s="321">
        <f>'Program Analysis'!$C$18*Aggressive!D$66</f>
        <v>0</v>
      </c>
      <c r="I25" s="321">
        <f>'Program Analysis'!$C$18*Aggressive!E$66</f>
        <v>0</v>
      </c>
      <c r="J25" s="321">
        <f>'Program Analysis'!$C$18*Aggressive!F$66</f>
        <v>0</v>
      </c>
      <c r="K25" s="321">
        <f>'Program Analysis'!$C$18*Aggressive!G$66</f>
        <v>0</v>
      </c>
      <c r="L25" s="321">
        <f>'Program Analysis'!$C$18*Aggressive!H$66</f>
        <v>0</v>
      </c>
      <c r="M25" s="321">
        <f>'Program Analysis'!$C$18*Aggressive!I$66</f>
        <v>0</v>
      </c>
      <c r="N25" s="321">
        <f>'Program Analysis'!$C$18*Aggressive!J$66</f>
        <v>0</v>
      </c>
      <c r="O25" s="321">
        <f>'Program Analysis'!$C$18*Aggressive!K$66</f>
        <v>0</v>
      </c>
      <c r="P25" s="321">
        <f>'Program Analysis'!$C$18*Aggressive!L$66</f>
        <v>0</v>
      </c>
      <c r="Q25" s="321">
        <f>'Program Analysis'!$C$18*Aggressive!M$66</f>
        <v>0</v>
      </c>
      <c r="R25" s="321">
        <f>'Program Analysis'!$C$18*Aggressive!N$66</f>
        <v>0</v>
      </c>
      <c r="S25" s="321">
        <f>'Program Analysis'!$C$18*Aggressive!O$66</f>
        <v>0</v>
      </c>
      <c r="T25" s="321">
        <f>'Program Analysis'!$C$18*Aggressive!P$66</f>
        <v>0</v>
      </c>
      <c r="U25" s="323">
        <f>'Program Analysis'!$C$18*Aggressive!Q$66</f>
        <v>0</v>
      </c>
      <c r="V25" s="3"/>
      <c r="W25" s="3"/>
    </row>
    <row r="26" spans="2:28" ht="14.45" x14ac:dyDescent="0.3">
      <c r="B26" s="320"/>
      <c r="C26" s="321"/>
      <c r="D26" s="321"/>
      <c r="E26" s="321"/>
      <c r="F26" s="322"/>
      <c r="G26" s="321"/>
      <c r="H26" s="321"/>
      <c r="I26" s="321"/>
      <c r="J26" s="321"/>
      <c r="K26" s="321"/>
      <c r="L26" s="321"/>
      <c r="M26" s="321"/>
      <c r="N26" s="321"/>
      <c r="O26" s="321"/>
      <c r="P26" s="321"/>
      <c r="Q26" s="321"/>
      <c r="R26" s="321"/>
      <c r="S26" s="321"/>
      <c r="T26" s="321"/>
      <c r="U26" s="323"/>
      <c r="V26" s="3"/>
      <c r="W26" s="3"/>
    </row>
    <row r="27" spans="2:28" s="9" customFormat="1" ht="18" x14ac:dyDescent="0.35">
      <c r="B27" s="324" t="s">
        <v>1013</v>
      </c>
      <c r="C27" s="325"/>
      <c r="D27" s="325"/>
      <c r="E27" s="325"/>
      <c r="F27" s="326"/>
      <c r="G27" s="392" t="s">
        <v>1709</v>
      </c>
      <c r="H27" s="392"/>
      <c r="I27" s="392"/>
      <c r="J27" s="392"/>
      <c r="K27" s="392"/>
      <c r="L27" s="392"/>
      <c r="M27" s="392"/>
      <c r="N27" s="392"/>
      <c r="O27" s="392"/>
      <c r="P27" s="392"/>
      <c r="Q27" s="392"/>
      <c r="R27" s="392"/>
      <c r="S27" s="392"/>
      <c r="T27" s="392"/>
      <c r="U27" s="393"/>
      <c r="V27" s="190"/>
      <c r="W27" s="190"/>
      <c r="AA27" s="178"/>
      <c r="AB27" s="178"/>
    </row>
    <row r="28" spans="2:28" ht="14.45" customHeight="1" x14ac:dyDescent="0.3">
      <c r="B28" s="320" t="str">
        <f>B23</f>
        <v>CEC</v>
      </c>
      <c r="C28" s="321" t="str">
        <f t="shared" ref="C28:E28" si="9">C23</f>
        <v>State Financing</v>
      </c>
      <c r="D28" s="321" t="str">
        <f t="shared" si="9"/>
        <v>ECAA Financing</v>
      </c>
      <c r="E28" s="321" t="str">
        <f t="shared" si="9"/>
        <v>Conservative</v>
      </c>
      <c r="F28" s="322" t="s">
        <v>4</v>
      </c>
      <c r="G28" s="321">
        <f>'Program Analysis'!$C$18*Conservative!C$91</f>
        <v>0</v>
      </c>
      <c r="H28" s="321">
        <f>'Program Analysis'!$C$18*Conservative!D$91</f>
        <v>0</v>
      </c>
      <c r="I28" s="321">
        <f>'Program Analysis'!$C$18*Conservative!E$91</f>
        <v>0</v>
      </c>
      <c r="J28" s="321">
        <f>'Program Analysis'!$C$18*Conservative!F$91</f>
        <v>0</v>
      </c>
      <c r="K28" s="321">
        <f>'Program Analysis'!$C$18*Conservative!G$91</f>
        <v>0</v>
      </c>
      <c r="L28" s="321">
        <f>'Program Analysis'!$C$18*Conservative!H$91</f>
        <v>0</v>
      </c>
      <c r="M28" s="321">
        <f>'Program Analysis'!$C$18*Conservative!I$91</f>
        <v>0</v>
      </c>
      <c r="N28" s="321">
        <f>'Program Analysis'!$C$18*Conservative!J$91</f>
        <v>0</v>
      </c>
      <c r="O28" s="321">
        <f>'Program Analysis'!$C$18*Conservative!K$91</f>
        <v>0</v>
      </c>
      <c r="P28" s="321">
        <f>'Program Analysis'!$C$18*Conservative!L$91</f>
        <v>0</v>
      </c>
      <c r="Q28" s="321">
        <f>'Program Analysis'!$C$18*Conservative!M$91</f>
        <v>0</v>
      </c>
      <c r="R28" s="321">
        <f>'Program Analysis'!$C$18*Conservative!N$91</f>
        <v>0</v>
      </c>
      <c r="S28" s="321">
        <f>'Program Analysis'!$C$18*Conservative!O$91</f>
        <v>0</v>
      </c>
      <c r="T28" s="321">
        <f>'Program Analysis'!$C$18*Conservative!P$91</f>
        <v>0</v>
      </c>
      <c r="U28" s="323">
        <f>'Program Analysis'!$C$18*Conservative!Q$91</f>
        <v>0</v>
      </c>
      <c r="V28" s="192"/>
      <c r="W28" s="3"/>
      <c r="AA28" s="6"/>
      <c r="AB28" s="6"/>
    </row>
    <row r="29" spans="2:28" ht="14.45" x14ac:dyDescent="0.3">
      <c r="B29" s="320" t="str">
        <f t="shared" ref="B29:E30" si="10">B24</f>
        <v>CEC</v>
      </c>
      <c r="C29" s="321" t="str">
        <f t="shared" si="10"/>
        <v>State Financing</v>
      </c>
      <c r="D29" s="321" t="str">
        <f t="shared" si="10"/>
        <v>ECAA Financing</v>
      </c>
      <c r="E29" s="321" t="str">
        <f t="shared" si="10"/>
        <v>Reference</v>
      </c>
      <c r="F29" s="322" t="str">
        <f t="shared" ref="F29:F30" si="11">F28</f>
        <v>MM Therms</v>
      </c>
      <c r="G29" s="321">
        <f>'Program Analysis'!$C$18*Reference!C$91</f>
        <v>0</v>
      </c>
      <c r="H29" s="321">
        <f>'Program Analysis'!$C$18*Reference!D$91</f>
        <v>0</v>
      </c>
      <c r="I29" s="321">
        <f>'Program Analysis'!$C$18*Reference!E$91</f>
        <v>0</v>
      </c>
      <c r="J29" s="321">
        <f>'Program Analysis'!$C$18*Reference!F$91</f>
        <v>0</v>
      </c>
      <c r="K29" s="321">
        <f>'Program Analysis'!$C$18*Reference!G$91</f>
        <v>0</v>
      </c>
      <c r="L29" s="321">
        <f>'Program Analysis'!$C$18*Reference!H$91</f>
        <v>0</v>
      </c>
      <c r="M29" s="321">
        <f>'Program Analysis'!$C$18*Reference!I$91</f>
        <v>0</v>
      </c>
      <c r="N29" s="321">
        <f>'Program Analysis'!$C$18*Reference!J$91</f>
        <v>0</v>
      </c>
      <c r="O29" s="321">
        <f>'Program Analysis'!$C$18*Reference!K$91</f>
        <v>0</v>
      </c>
      <c r="P29" s="321">
        <f>'Program Analysis'!$C$18*Reference!L$91</f>
        <v>0</v>
      </c>
      <c r="Q29" s="321">
        <f>'Program Analysis'!$C$18*Reference!M$91</f>
        <v>0</v>
      </c>
      <c r="R29" s="321">
        <f>'Program Analysis'!$C$18*Reference!N$91</f>
        <v>0</v>
      </c>
      <c r="S29" s="321">
        <f>'Program Analysis'!$C$18*Reference!O$91</f>
        <v>0</v>
      </c>
      <c r="T29" s="321">
        <f>'Program Analysis'!$C$18*Reference!P$91</f>
        <v>0</v>
      </c>
      <c r="U29" s="323">
        <f>'Program Analysis'!$C$18*Reference!Q$91</f>
        <v>0</v>
      </c>
      <c r="V29" s="3"/>
      <c r="W29" s="3"/>
    </row>
    <row r="30" spans="2:28" thickBot="1" x14ac:dyDescent="0.35">
      <c r="B30" s="338" t="str">
        <f t="shared" si="10"/>
        <v>CEC</v>
      </c>
      <c r="C30" s="329" t="str">
        <f t="shared" si="10"/>
        <v>State Financing</v>
      </c>
      <c r="D30" s="329" t="str">
        <f t="shared" si="10"/>
        <v>ECAA Financing</v>
      </c>
      <c r="E30" s="329" t="str">
        <f t="shared" si="10"/>
        <v>Aggressive</v>
      </c>
      <c r="F30" s="330" t="str">
        <f t="shared" si="11"/>
        <v>MM Therms</v>
      </c>
      <c r="G30" s="329">
        <f>'Program Analysis'!$C$18*Aggressive!C$91</f>
        <v>0</v>
      </c>
      <c r="H30" s="329">
        <f>'Program Analysis'!$C$18*Aggressive!D$91</f>
        <v>0</v>
      </c>
      <c r="I30" s="329">
        <f>'Program Analysis'!$C$18*Aggressive!E$91</f>
        <v>0</v>
      </c>
      <c r="J30" s="329">
        <f>'Program Analysis'!$C$18*Aggressive!F$91</f>
        <v>0</v>
      </c>
      <c r="K30" s="329">
        <f>'Program Analysis'!$C$18*Aggressive!G$91</f>
        <v>0</v>
      </c>
      <c r="L30" s="329">
        <f>'Program Analysis'!$C$18*Aggressive!H$91</f>
        <v>0</v>
      </c>
      <c r="M30" s="329">
        <f>'Program Analysis'!$C$18*Aggressive!I$91</f>
        <v>0</v>
      </c>
      <c r="N30" s="329">
        <f>'Program Analysis'!$C$18*Aggressive!J$91</f>
        <v>0</v>
      </c>
      <c r="O30" s="329">
        <f>'Program Analysis'!$C$18*Aggressive!K$91</f>
        <v>0</v>
      </c>
      <c r="P30" s="329">
        <f>'Program Analysis'!$C$18*Aggressive!L$91</f>
        <v>0</v>
      </c>
      <c r="Q30" s="329">
        <f>'Program Analysis'!$C$18*Aggressive!M$91</f>
        <v>0</v>
      </c>
      <c r="R30" s="329">
        <f>'Program Analysis'!$C$18*Aggressive!N$91</f>
        <v>0</v>
      </c>
      <c r="S30" s="329">
        <f>'Program Analysis'!$C$18*Aggressive!O$91</f>
        <v>0</v>
      </c>
      <c r="T30" s="329">
        <f>'Program Analysis'!$C$18*Aggressive!P$91</f>
        <v>0</v>
      </c>
      <c r="U30" s="331">
        <f>'Program Analysis'!$C$18*Aggressive!Q$91</f>
        <v>0</v>
      </c>
      <c r="V30" s="3"/>
      <c r="W30" s="3"/>
    </row>
    <row r="31" spans="2:28" ht="14.45" x14ac:dyDescent="0.3">
      <c r="B31" s="332"/>
      <c r="C31" s="332"/>
      <c r="D31" s="332"/>
      <c r="E31" s="332"/>
      <c r="F31" s="332"/>
      <c r="G31" s="332"/>
      <c r="H31" s="332"/>
      <c r="I31" s="332"/>
      <c r="J31" s="332"/>
      <c r="K31" s="332"/>
      <c r="L31" s="332"/>
      <c r="M31" s="332"/>
      <c r="N31" s="332"/>
      <c r="O31" s="332"/>
      <c r="P31" s="332"/>
      <c r="Q31" s="332"/>
      <c r="R31" s="332"/>
      <c r="S31" s="332"/>
      <c r="T31" s="332"/>
      <c r="U31" s="332"/>
      <c r="V31" s="3"/>
      <c r="W31" s="3"/>
    </row>
    <row r="32" spans="2:28" ht="14.45" x14ac:dyDescent="0.3">
      <c r="B32" s="332"/>
      <c r="C32" s="332"/>
      <c r="D32" s="332"/>
      <c r="E32" s="332"/>
      <c r="F32" s="332"/>
      <c r="G32" s="332"/>
      <c r="H32" s="332"/>
      <c r="I32" s="332"/>
      <c r="J32" s="332"/>
      <c r="K32" s="332"/>
      <c r="L32" s="332"/>
      <c r="M32" s="332"/>
      <c r="N32" s="332"/>
      <c r="O32" s="332"/>
      <c r="P32" s="332"/>
      <c r="Q32" s="332"/>
      <c r="R32" s="332"/>
      <c r="S32" s="332"/>
      <c r="T32" s="332"/>
      <c r="U32" s="332"/>
      <c r="V32" s="3"/>
      <c r="W32" s="3"/>
    </row>
    <row r="33" spans="2:28" thickBot="1" x14ac:dyDescent="0.35">
      <c r="B33" s="332"/>
      <c r="C33" s="332"/>
      <c r="D33" s="332"/>
      <c r="E33" s="332"/>
      <c r="F33" s="332"/>
      <c r="G33" s="332"/>
      <c r="H33" s="332"/>
      <c r="I33" s="332"/>
      <c r="J33" s="332"/>
      <c r="K33" s="332"/>
      <c r="L33" s="332"/>
      <c r="M33" s="332"/>
      <c r="N33" s="332"/>
      <c r="O33" s="332"/>
      <c r="P33" s="332"/>
      <c r="Q33" s="332"/>
      <c r="R33" s="332"/>
      <c r="S33" s="332"/>
      <c r="T33" s="332"/>
      <c r="U33" s="332"/>
      <c r="V33" s="3"/>
      <c r="W33" s="3"/>
    </row>
    <row r="34" spans="2:28" ht="24" thickBot="1" x14ac:dyDescent="0.5">
      <c r="B34" s="387" t="s">
        <v>1711</v>
      </c>
      <c r="C34" s="388"/>
      <c r="D34" s="388"/>
      <c r="E34" s="388"/>
      <c r="F34" s="388"/>
      <c r="G34" s="388"/>
      <c r="H34" s="388"/>
      <c r="I34" s="388"/>
      <c r="J34" s="388"/>
      <c r="K34" s="388"/>
      <c r="L34" s="388"/>
      <c r="M34" s="388"/>
      <c r="N34" s="388"/>
      <c r="O34" s="388"/>
      <c r="P34" s="388"/>
      <c r="Q34" s="388"/>
      <c r="R34" s="388"/>
      <c r="S34" s="388"/>
      <c r="T34" s="388"/>
      <c r="U34" s="389"/>
      <c r="V34" s="3"/>
      <c r="W34" s="3"/>
    </row>
    <row r="35" spans="2:28" s="9" customFormat="1" ht="18.600000000000001" thickBot="1" x14ac:dyDescent="0.4">
      <c r="B35" s="339" t="s">
        <v>1</v>
      </c>
      <c r="C35" s="340" t="s">
        <v>19</v>
      </c>
      <c r="D35" s="340" t="s">
        <v>3</v>
      </c>
      <c r="E35" s="340" t="s">
        <v>1706</v>
      </c>
      <c r="F35" s="341" t="s">
        <v>1011</v>
      </c>
      <c r="G35" s="342">
        <v>2015</v>
      </c>
      <c r="H35" s="342">
        <v>2016</v>
      </c>
      <c r="I35" s="342">
        <v>2017</v>
      </c>
      <c r="J35" s="342">
        <v>2018</v>
      </c>
      <c r="K35" s="342">
        <v>2019</v>
      </c>
      <c r="L35" s="342">
        <v>2020</v>
      </c>
      <c r="M35" s="342">
        <v>2021</v>
      </c>
      <c r="N35" s="342">
        <v>2022</v>
      </c>
      <c r="O35" s="342">
        <v>2023</v>
      </c>
      <c r="P35" s="342">
        <v>2024</v>
      </c>
      <c r="Q35" s="342">
        <v>2025</v>
      </c>
      <c r="R35" s="342">
        <v>2026</v>
      </c>
      <c r="S35" s="342">
        <v>2027</v>
      </c>
      <c r="T35" s="342">
        <v>2028</v>
      </c>
      <c r="U35" s="343">
        <v>2029</v>
      </c>
      <c r="V35" s="190"/>
      <c r="W35" s="190"/>
      <c r="Y35"/>
      <c r="AA35" s="178"/>
      <c r="AB35" s="178"/>
    </row>
    <row r="36" spans="2:28" s="9" customFormat="1" ht="18" x14ac:dyDescent="0.35">
      <c r="B36" s="318" t="s">
        <v>1012</v>
      </c>
      <c r="C36" s="319"/>
      <c r="D36" s="319"/>
      <c r="E36" s="319"/>
      <c r="F36" s="319"/>
      <c r="G36" s="390" t="s">
        <v>1707</v>
      </c>
      <c r="H36" s="390"/>
      <c r="I36" s="390"/>
      <c r="J36" s="390"/>
      <c r="K36" s="390"/>
      <c r="L36" s="390"/>
      <c r="M36" s="390"/>
      <c r="N36" s="390"/>
      <c r="O36" s="390"/>
      <c r="P36" s="390"/>
      <c r="Q36" s="390"/>
      <c r="R36" s="390"/>
      <c r="S36" s="390"/>
      <c r="T36" s="390"/>
      <c r="U36" s="391"/>
      <c r="V36" s="190"/>
      <c r="W36" s="190"/>
      <c r="AA36" s="178"/>
      <c r="AB36" s="178"/>
    </row>
    <row r="37" spans="2:28" ht="14.45" customHeight="1" x14ac:dyDescent="0.3">
      <c r="B37" s="320" t="str">
        <f>VLOOKUP($C$1, 'Look-up'!$A$4:$D$20, 4, FALSE)</f>
        <v>CEC</v>
      </c>
      <c r="C37" s="321" t="str">
        <f>VLOOKUP($C$1, 'Look-up'!$A$4:$D$20, 2, FALSE)</f>
        <v>State Financing</v>
      </c>
      <c r="D37" s="321" t="str">
        <f>VLOOKUP($C$1, 'Look-up'!$A$4:$D$20, 1, FALSE)</f>
        <v>ECAA Financing</v>
      </c>
      <c r="E37" s="321" t="s">
        <v>1671</v>
      </c>
      <c r="F37" s="322" t="s">
        <v>0</v>
      </c>
      <c r="G37" s="321">
        <f>SUM(G9,G23)</f>
        <v>0</v>
      </c>
      <c r="H37" s="321">
        <f t="shared" ref="H37:U38" si="12">SUM(H9,H23)</f>
        <v>0</v>
      </c>
      <c r="I37" s="321">
        <f t="shared" si="12"/>
        <v>0</v>
      </c>
      <c r="J37" s="321">
        <f t="shared" si="12"/>
        <v>0</v>
      </c>
      <c r="K37" s="321">
        <f t="shared" si="12"/>
        <v>0</v>
      </c>
      <c r="L37" s="321">
        <f t="shared" si="12"/>
        <v>0</v>
      </c>
      <c r="M37" s="321">
        <f t="shared" si="12"/>
        <v>0</v>
      </c>
      <c r="N37" s="321">
        <f t="shared" si="12"/>
        <v>0</v>
      </c>
      <c r="O37" s="321">
        <f t="shared" si="12"/>
        <v>0</v>
      </c>
      <c r="P37" s="321">
        <f t="shared" si="12"/>
        <v>0</v>
      </c>
      <c r="Q37" s="321">
        <f t="shared" si="12"/>
        <v>0</v>
      </c>
      <c r="R37" s="321">
        <f t="shared" si="12"/>
        <v>0</v>
      </c>
      <c r="S37" s="321">
        <f t="shared" si="12"/>
        <v>0</v>
      </c>
      <c r="T37" s="321">
        <f t="shared" si="12"/>
        <v>0</v>
      </c>
      <c r="U37" s="323">
        <f t="shared" si="12"/>
        <v>0</v>
      </c>
      <c r="V37" s="192"/>
      <c r="W37" s="3"/>
      <c r="AA37" s="6"/>
      <c r="AB37" s="6"/>
    </row>
    <row r="38" spans="2:28" ht="14.45" x14ac:dyDescent="0.3">
      <c r="B38" s="320" t="str">
        <f>B37</f>
        <v>CEC</v>
      </c>
      <c r="C38" s="321" t="str">
        <f t="shared" ref="C38:D39" si="13">C37</f>
        <v>State Financing</v>
      </c>
      <c r="D38" s="321" t="str">
        <f t="shared" si="13"/>
        <v>ECAA Financing</v>
      </c>
      <c r="E38" s="321" t="s">
        <v>1669</v>
      </c>
      <c r="F38" s="322" t="str">
        <f t="shared" ref="F38:F39" si="14">F37</f>
        <v>GWh</v>
      </c>
      <c r="G38" s="321">
        <f>SUM(G10,G24)</f>
        <v>0</v>
      </c>
      <c r="H38" s="321">
        <f t="shared" si="12"/>
        <v>0</v>
      </c>
      <c r="I38" s="321">
        <f t="shared" si="12"/>
        <v>0</v>
      </c>
      <c r="J38" s="321">
        <f t="shared" si="12"/>
        <v>0</v>
      </c>
      <c r="K38" s="321">
        <f t="shared" si="12"/>
        <v>1.0361879999999999</v>
      </c>
      <c r="L38" s="321">
        <f t="shared" si="12"/>
        <v>2.0723759999999998</v>
      </c>
      <c r="M38" s="321">
        <f t="shared" si="12"/>
        <v>3.1085639999999994</v>
      </c>
      <c r="N38" s="321">
        <f t="shared" si="12"/>
        <v>4.1001959159999997</v>
      </c>
      <c r="O38" s="321">
        <f t="shared" si="12"/>
        <v>5.0918278319999999</v>
      </c>
      <c r="P38" s="321">
        <f t="shared" si="12"/>
        <v>6.0834597480000001</v>
      </c>
      <c r="Q38" s="321">
        <f t="shared" si="12"/>
        <v>7.0528136220000004</v>
      </c>
      <c r="R38" s="321">
        <f t="shared" si="12"/>
        <v>8.0221674959999998</v>
      </c>
      <c r="S38" s="321">
        <f t="shared" si="12"/>
        <v>8.9500738500000008</v>
      </c>
      <c r="T38" s="321">
        <f t="shared" si="12"/>
        <v>9.866841183</v>
      </c>
      <c r="U38" s="323">
        <f t="shared" si="12"/>
        <v>10.742160995999999</v>
      </c>
      <c r="V38" s="321"/>
      <c r="W38" s="3"/>
    </row>
    <row r="39" spans="2:28" ht="14.45" x14ac:dyDescent="0.3">
      <c r="B39" s="320" t="str">
        <f t="shared" ref="B39" si="15">B38</f>
        <v>CEC</v>
      </c>
      <c r="C39" s="321" t="str">
        <f t="shared" si="13"/>
        <v>State Financing</v>
      </c>
      <c r="D39" s="321" t="str">
        <f t="shared" si="13"/>
        <v>ECAA Financing</v>
      </c>
      <c r="E39" s="321" t="s">
        <v>1708</v>
      </c>
      <c r="F39" s="322" t="str">
        <f t="shared" si="14"/>
        <v>GWh</v>
      </c>
      <c r="G39" s="321">
        <f t="shared" ref="G39:U39" si="16">SUM(G11,G25)</f>
        <v>0</v>
      </c>
      <c r="H39" s="321">
        <f t="shared" si="16"/>
        <v>0</v>
      </c>
      <c r="I39" s="321">
        <f t="shared" si="16"/>
        <v>0</v>
      </c>
      <c r="J39" s="321">
        <f t="shared" si="16"/>
        <v>0</v>
      </c>
      <c r="K39" s="321">
        <f t="shared" si="16"/>
        <v>3.1085640000000003</v>
      </c>
      <c r="L39" s="321">
        <f t="shared" si="16"/>
        <v>6.2171280000000007</v>
      </c>
      <c r="M39" s="321">
        <f t="shared" si="16"/>
        <v>9.3256920000000001</v>
      </c>
      <c r="N39" s="321">
        <f t="shared" si="16"/>
        <v>12.300587748000002</v>
      </c>
      <c r="O39" s="321">
        <f t="shared" si="16"/>
        <v>15.275483496000003</v>
      </c>
      <c r="P39" s="321">
        <f t="shared" si="16"/>
        <v>18.250379244000005</v>
      </c>
      <c r="Q39" s="321">
        <f t="shared" si="16"/>
        <v>21.158440866000003</v>
      </c>
      <c r="R39" s="321">
        <f t="shared" si="16"/>
        <v>24.066502488000001</v>
      </c>
      <c r="S39" s="321">
        <f t="shared" si="16"/>
        <v>26.850221550000004</v>
      </c>
      <c r="T39" s="321">
        <f t="shared" si="16"/>
        <v>29.600523549000005</v>
      </c>
      <c r="U39" s="323">
        <f t="shared" si="16"/>
        <v>32.226482988000008</v>
      </c>
      <c r="V39" s="3"/>
      <c r="W39" s="3"/>
    </row>
    <row r="40" spans="2:28" ht="14.45" x14ac:dyDescent="0.3">
      <c r="B40" s="320"/>
      <c r="C40" s="321"/>
      <c r="D40" s="321"/>
      <c r="E40" s="321"/>
      <c r="F40" s="322"/>
      <c r="G40" s="321"/>
      <c r="H40" s="321"/>
      <c r="I40" s="321"/>
      <c r="J40" s="321"/>
      <c r="K40" s="321"/>
      <c r="L40" s="321"/>
      <c r="M40" s="321"/>
      <c r="N40" s="321"/>
      <c r="O40" s="321"/>
      <c r="P40" s="321"/>
      <c r="Q40" s="321"/>
      <c r="R40" s="321"/>
      <c r="S40" s="321"/>
      <c r="T40" s="321"/>
      <c r="U40" s="323"/>
      <c r="V40" s="3"/>
      <c r="W40" s="3"/>
    </row>
    <row r="41" spans="2:28" s="9" customFormat="1" ht="18" x14ac:dyDescent="0.35">
      <c r="B41" s="324" t="s">
        <v>1013</v>
      </c>
      <c r="C41" s="325"/>
      <c r="D41" s="325"/>
      <c r="E41" s="325"/>
      <c r="F41" s="326"/>
      <c r="G41" s="392" t="s">
        <v>1709</v>
      </c>
      <c r="H41" s="392"/>
      <c r="I41" s="392"/>
      <c r="J41" s="392"/>
      <c r="K41" s="392"/>
      <c r="L41" s="392"/>
      <c r="M41" s="392"/>
      <c r="N41" s="392"/>
      <c r="O41" s="392"/>
      <c r="P41" s="392"/>
      <c r="Q41" s="392"/>
      <c r="R41" s="392"/>
      <c r="S41" s="392"/>
      <c r="T41" s="392"/>
      <c r="U41" s="393"/>
      <c r="V41" s="190"/>
      <c r="W41" s="190"/>
      <c r="AA41" s="178"/>
      <c r="AB41" s="178"/>
    </row>
    <row r="42" spans="2:28" ht="14.45" customHeight="1" x14ac:dyDescent="0.3">
      <c r="B42" s="320" t="str">
        <f>B37</f>
        <v>CEC</v>
      </c>
      <c r="C42" s="321" t="str">
        <f t="shared" ref="C42:E42" si="17">C37</f>
        <v>State Financing</v>
      </c>
      <c r="D42" s="321" t="str">
        <f t="shared" si="17"/>
        <v>ECAA Financing</v>
      </c>
      <c r="E42" s="321" t="str">
        <f t="shared" si="17"/>
        <v>Conservative</v>
      </c>
      <c r="F42" s="322" t="s">
        <v>4</v>
      </c>
      <c r="G42" s="321">
        <f>SUM(G14,G28)</f>
        <v>0</v>
      </c>
      <c r="H42" s="321">
        <f t="shared" ref="H42:U42" si="18">SUM(H14,H28)</f>
        <v>0</v>
      </c>
      <c r="I42" s="321">
        <f t="shared" si="18"/>
        <v>0</v>
      </c>
      <c r="J42" s="321">
        <f t="shared" si="18"/>
        <v>0</v>
      </c>
      <c r="K42" s="321">
        <f t="shared" si="18"/>
        <v>0</v>
      </c>
      <c r="L42" s="321">
        <f t="shared" si="18"/>
        <v>0</v>
      </c>
      <c r="M42" s="321">
        <f t="shared" si="18"/>
        <v>0</v>
      </c>
      <c r="N42" s="321">
        <f t="shared" si="18"/>
        <v>0</v>
      </c>
      <c r="O42" s="321">
        <f t="shared" si="18"/>
        <v>0</v>
      </c>
      <c r="P42" s="321">
        <f t="shared" si="18"/>
        <v>0</v>
      </c>
      <c r="Q42" s="321">
        <f t="shared" si="18"/>
        <v>0</v>
      </c>
      <c r="R42" s="321">
        <f t="shared" si="18"/>
        <v>0</v>
      </c>
      <c r="S42" s="321">
        <f t="shared" si="18"/>
        <v>0</v>
      </c>
      <c r="T42" s="321">
        <f t="shared" si="18"/>
        <v>0</v>
      </c>
      <c r="U42" s="323">
        <f t="shared" si="18"/>
        <v>0</v>
      </c>
      <c r="V42" s="192"/>
      <c r="W42" s="3"/>
      <c r="AA42" s="6"/>
      <c r="AB42" s="6"/>
    </row>
    <row r="43" spans="2:28" ht="14.45" x14ac:dyDescent="0.3">
      <c r="B43" s="320" t="str">
        <f t="shared" ref="B43:E44" si="19">B38</f>
        <v>CEC</v>
      </c>
      <c r="C43" s="321" t="str">
        <f t="shared" si="19"/>
        <v>State Financing</v>
      </c>
      <c r="D43" s="321" t="str">
        <f t="shared" si="19"/>
        <v>ECAA Financing</v>
      </c>
      <c r="E43" s="321" t="str">
        <f t="shared" si="19"/>
        <v>Reference</v>
      </c>
      <c r="F43" s="322" t="str">
        <f t="shared" ref="F43:F44" si="20">F42</f>
        <v>MM Therms</v>
      </c>
      <c r="G43" s="321">
        <f t="shared" ref="G43:U44" si="21">SUM(G15,G29)</f>
        <v>0</v>
      </c>
      <c r="H43" s="321">
        <f t="shared" si="21"/>
        <v>0</v>
      </c>
      <c r="I43" s="321">
        <f t="shared" si="21"/>
        <v>0</v>
      </c>
      <c r="J43" s="321">
        <f t="shared" si="21"/>
        <v>0</v>
      </c>
      <c r="K43" s="321">
        <f t="shared" si="21"/>
        <v>5.7732168000000006E-3</v>
      </c>
      <c r="L43" s="321">
        <f t="shared" si="21"/>
        <v>1.1546433600000001E-2</v>
      </c>
      <c r="M43" s="321">
        <f t="shared" si="21"/>
        <v>1.7319650400000001E-2</v>
      </c>
      <c r="N43" s="321">
        <f t="shared" si="21"/>
        <v>2.2844618877600004E-2</v>
      </c>
      <c r="O43" s="321">
        <f t="shared" si="21"/>
        <v>2.8369587355200003E-2</v>
      </c>
      <c r="P43" s="321">
        <f t="shared" si="21"/>
        <v>3.3894555832800002E-2</v>
      </c>
      <c r="Q43" s="321">
        <f t="shared" si="21"/>
        <v>3.9295400149200001E-2</v>
      </c>
      <c r="R43" s="321">
        <f t="shared" si="21"/>
        <v>4.4696244465599999E-2</v>
      </c>
      <c r="S43" s="321">
        <f t="shared" si="21"/>
        <v>4.9866160110000002E-2</v>
      </c>
      <c r="T43" s="321">
        <f t="shared" si="21"/>
        <v>5.4974013673800004E-2</v>
      </c>
      <c r="U43" s="323">
        <f t="shared" si="21"/>
        <v>5.9850938565600004E-2</v>
      </c>
      <c r="V43" s="3"/>
      <c r="W43" s="3"/>
    </row>
    <row r="44" spans="2:28" ht="15.75" thickBot="1" x14ac:dyDescent="0.3">
      <c r="B44" s="338" t="str">
        <f t="shared" si="19"/>
        <v>CEC</v>
      </c>
      <c r="C44" s="329" t="str">
        <f t="shared" si="19"/>
        <v>State Financing</v>
      </c>
      <c r="D44" s="329" t="str">
        <f t="shared" si="19"/>
        <v>ECAA Financing</v>
      </c>
      <c r="E44" s="329" t="str">
        <f t="shared" si="19"/>
        <v>Aggressive</v>
      </c>
      <c r="F44" s="330" t="str">
        <f t="shared" si="20"/>
        <v>MM Therms</v>
      </c>
      <c r="G44" s="329">
        <f t="shared" si="21"/>
        <v>0</v>
      </c>
      <c r="H44" s="329">
        <f t="shared" si="21"/>
        <v>0</v>
      </c>
      <c r="I44" s="329">
        <f t="shared" si="21"/>
        <v>0</v>
      </c>
      <c r="J44" s="329">
        <f t="shared" si="21"/>
        <v>0</v>
      </c>
      <c r="K44" s="329">
        <f t="shared" si="21"/>
        <v>1.7319650400000004E-2</v>
      </c>
      <c r="L44" s="329">
        <f t="shared" si="21"/>
        <v>3.4639300800000009E-2</v>
      </c>
      <c r="M44" s="329">
        <f t="shared" si="21"/>
        <v>5.1958951200000013E-2</v>
      </c>
      <c r="N44" s="329">
        <f t="shared" si="21"/>
        <v>6.8533856632800011E-2</v>
      </c>
      <c r="O44" s="329">
        <f t="shared" si="21"/>
        <v>8.5108762065600002E-2</v>
      </c>
      <c r="P44" s="329">
        <f t="shared" si="21"/>
        <v>0.10168366749839999</v>
      </c>
      <c r="Q44" s="329">
        <f t="shared" si="21"/>
        <v>0.11788620044760001</v>
      </c>
      <c r="R44" s="329">
        <f t="shared" si="21"/>
        <v>0.13408873339680003</v>
      </c>
      <c r="S44" s="329">
        <f t="shared" si="21"/>
        <v>0.14959848033000001</v>
      </c>
      <c r="T44" s="329">
        <f t="shared" si="21"/>
        <v>0.16492204102140001</v>
      </c>
      <c r="U44" s="331">
        <f t="shared" si="21"/>
        <v>0.17955281569680001</v>
      </c>
      <c r="V44" s="3"/>
      <c r="W44" s="3"/>
    </row>
    <row r="45" spans="2:28" x14ac:dyDescent="0.25">
      <c r="B45" s="3"/>
      <c r="C45" s="3"/>
      <c r="D45" s="3"/>
      <c r="E45" s="3"/>
      <c r="F45" s="3"/>
      <c r="G45" s="3"/>
      <c r="H45" s="3"/>
      <c r="I45" s="3"/>
      <c r="J45" s="3"/>
      <c r="K45" s="3"/>
      <c r="L45" s="3"/>
      <c r="M45" s="3"/>
      <c r="N45" s="3"/>
      <c r="O45" s="3"/>
      <c r="P45" s="3"/>
      <c r="Q45" s="3"/>
      <c r="R45" s="3"/>
      <c r="S45" s="3"/>
      <c r="T45" s="3"/>
      <c r="U45" s="3"/>
      <c r="V45" s="3"/>
      <c r="W45" s="3"/>
    </row>
    <row r="46" spans="2:28" x14ac:dyDescent="0.25">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7" orientation="landscape" r:id="rId1"/>
  <headerFooter>
    <oddFooter>&amp;L&amp;Z&amp;F&amp;A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U23" sqref="U23"/>
    </sheetView>
  </sheetViews>
  <sheetFormatPr defaultRowHeight="15" x14ac:dyDescent="0.25"/>
  <cols>
    <col min="2" max="2" width="29.7109375" customWidth="1"/>
    <col min="3" max="3" width="16.7109375" bestFit="1" customWidth="1"/>
    <col min="16" max="17" width="11.7109375" customWidth="1"/>
  </cols>
  <sheetData>
    <row r="1" spans="1:29" ht="23.45" x14ac:dyDescent="0.45">
      <c r="B1" s="313" t="s">
        <v>34</v>
      </c>
      <c r="C1" s="313" t="str">
        <f>'Program Analysis'!C3</f>
        <v>ECAA Financing</v>
      </c>
      <c r="D1" s="3"/>
    </row>
    <row r="2" spans="1:29" ht="23.45" x14ac:dyDescent="0.45">
      <c r="B2" s="313" t="s">
        <v>1704</v>
      </c>
      <c r="C2" s="313" t="s">
        <v>1669</v>
      </c>
      <c r="D2" s="3"/>
    </row>
    <row r="4" spans="1:29" thickBot="1" x14ac:dyDescent="0.35"/>
    <row r="5" spans="1:29" ht="18" x14ac:dyDescent="0.35">
      <c r="A5" s="1" t="s">
        <v>1712</v>
      </c>
      <c r="B5" s="200" t="s">
        <v>1713</v>
      </c>
      <c r="C5" s="181"/>
      <c r="D5" s="181"/>
      <c r="E5" s="182"/>
      <c r="F5" s="182"/>
      <c r="G5" s="182"/>
      <c r="H5" s="183"/>
      <c r="I5" s="183"/>
      <c r="J5" s="183"/>
      <c r="K5" s="183"/>
      <c r="L5" s="183"/>
      <c r="M5" s="183"/>
      <c r="N5" s="183"/>
      <c r="O5" s="183"/>
      <c r="P5" s="183"/>
      <c r="Q5" s="183"/>
      <c r="R5" s="184"/>
      <c r="S5" s="3"/>
      <c r="T5" s="290"/>
      <c r="U5" t="s">
        <v>1649</v>
      </c>
      <c r="V5" s="3"/>
      <c r="W5" s="3"/>
      <c r="X5" s="3"/>
      <c r="Y5" s="3"/>
      <c r="Z5" s="3"/>
    </row>
    <row r="6" spans="1:29" ht="14.45" x14ac:dyDescent="0.3">
      <c r="B6" s="187" t="s">
        <v>1714</v>
      </c>
      <c r="C6" s="344" t="s">
        <v>1715</v>
      </c>
      <c r="D6" s="185"/>
      <c r="E6" s="175"/>
      <c r="F6" s="175"/>
      <c r="G6" s="175"/>
      <c r="H6" s="3"/>
      <c r="I6" s="3"/>
      <c r="J6" s="3"/>
      <c r="K6" s="3"/>
      <c r="L6" s="3"/>
      <c r="M6" s="3"/>
      <c r="N6" s="3"/>
      <c r="O6" s="3"/>
      <c r="P6" s="3"/>
      <c r="Q6" s="3"/>
      <c r="R6" s="186"/>
      <c r="S6" s="3"/>
      <c r="T6" s="292"/>
      <c r="U6" t="s">
        <v>1650</v>
      </c>
      <c r="V6" s="3"/>
      <c r="W6" s="3"/>
      <c r="X6" s="3"/>
      <c r="Y6" s="3"/>
      <c r="Z6" s="3"/>
    </row>
    <row r="7" spans="1:29" ht="14.45" x14ac:dyDescent="0.3">
      <c r="B7" s="197"/>
      <c r="C7" s="175"/>
      <c r="D7" s="185"/>
      <c r="E7" s="175"/>
      <c r="F7" s="175"/>
      <c r="G7" s="175"/>
      <c r="H7" s="3"/>
      <c r="I7" s="3"/>
      <c r="J7" s="3"/>
      <c r="K7" s="3"/>
      <c r="L7" s="3"/>
      <c r="M7" s="3"/>
      <c r="N7" s="3"/>
      <c r="O7" s="3"/>
      <c r="P7" s="3"/>
      <c r="Q7" s="3"/>
      <c r="R7" s="186"/>
      <c r="S7" s="3"/>
      <c r="T7" s="286"/>
      <c r="U7" t="s">
        <v>1651</v>
      </c>
      <c r="V7" s="3"/>
      <c r="W7" s="3"/>
      <c r="X7" s="3"/>
      <c r="Y7" s="3"/>
      <c r="Z7" s="3"/>
    </row>
    <row r="8" spans="1:29" s="9" customFormat="1" ht="18" x14ac:dyDescent="0.35">
      <c r="B8" s="345"/>
      <c r="C8" s="188">
        <v>2015</v>
      </c>
      <c r="D8" s="188">
        <v>2016</v>
      </c>
      <c r="E8" s="188">
        <v>2017</v>
      </c>
      <c r="F8" s="188">
        <v>2018</v>
      </c>
      <c r="G8" s="188">
        <v>2019</v>
      </c>
      <c r="H8" s="188">
        <v>2020</v>
      </c>
      <c r="I8" s="188">
        <v>2021</v>
      </c>
      <c r="J8" s="188">
        <v>2022</v>
      </c>
      <c r="K8" s="188">
        <v>2023</v>
      </c>
      <c r="L8" s="188">
        <v>2024</v>
      </c>
      <c r="M8" s="188">
        <v>2025</v>
      </c>
      <c r="N8" s="188">
        <v>2026</v>
      </c>
      <c r="O8" s="189">
        <v>2027</v>
      </c>
      <c r="P8" s="189">
        <v>2028</v>
      </c>
      <c r="Q8" s="189">
        <v>2029</v>
      </c>
      <c r="R8" s="191"/>
      <c r="S8" s="190"/>
      <c r="T8" s="190"/>
      <c r="U8" s="190"/>
      <c r="V8" s="190"/>
      <c r="W8" s="190"/>
      <c r="X8" s="190"/>
      <c r="Y8" s="190"/>
      <c r="Z8" s="190"/>
      <c r="AB8" s="178"/>
      <c r="AC8" s="178"/>
    </row>
    <row r="9" spans="1:29" ht="14.45" customHeight="1" x14ac:dyDescent="0.3">
      <c r="B9" s="346" t="s">
        <v>0</v>
      </c>
      <c r="C9" s="347">
        <f>'Raw Measure Data'!W43/1000000</f>
        <v>6.5322209999999998</v>
      </c>
      <c r="D9" s="347">
        <f>'Raw Measure Data'!X43/1000000</f>
        <v>6.9573219999999996</v>
      </c>
      <c r="E9" s="347">
        <f>'Raw Measure Data'!Y43/1000000</f>
        <v>10.793625</v>
      </c>
      <c r="F9" s="347">
        <f>'Raw Measure Data'!Z43/1000000</f>
        <v>10.793625</v>
      </c>
      <c r="G9" s="347">
        <f>'Raw Measure Data'!AA43/1000000</f>
        <v>10.793625</v>
      </c>
      <c r="H9" s="347">
        <f>'Raw Measure Data'!AB43/1000000</f>
        <v>10.793625</v>
      </c>
      <c r="I9" s="347">
        <f>'Raw Measure Data'!AC43/1000000</f>
        <v>10.793625</v>
      </c>
      <c r="J9" s="347">
        <f>'Raw Measure Data'!AD43/1000000</f>
        <v>10.793625</v>
      </c>
      <c r="K9" s="347">
        <f>'Raw Measure Data'!AE43/1000000</f>
        <v>10.793625</v>
      </c>
      <c r="L9" s="347">
        <f>'Raw Measure Data'!AF43/1000000</f>
        <v>10.793625</v>
      </c>
      <c r="M9" s="347">
        <f>'Raw Measure Data'!AG43/1000000</f>
        <v>10.793625</v>
      </c>
      <c r="N9" s="347">
        <f>'Raw Measure Data'!AH43/1000000</f>
        <v>10.793625</v>
      </c>
      <c r="O9" s="347">
        <f>'Raw Measure Data'!AI43/1000000</f>
        <v>10.793625</v>
      </c>
      <c r="P9" s="347">
        <f>'Raw Measure Data'!AJ43/1000000</f>
        <v>10.793625</v>
      </c>
      <c r="Q9" s="347">
        <f>'Raw Measure Data'!AK43/1000000</f>
        <v>10.793625</v>
      </c>
      <c r="R9" s="186"/>
      <c r="S9" s="3"/>
      <c r="T9" s="3"/>
      <c r="U9" s="3"/>
      <c r="V9" s="3"/>
      <c r="W9" s="196"/>
      <c r="X9" s="3"/>
      <c r="Y9" s="3"/>
      <c r="Z9" s="3"/>
      <c r="AB9" s="6"/>
      <c r="AC9" s="6"/>
    </row>
    <row r="10" spans="1:29" thickBot="1" x14ac:dyDescent="0.35">
      <c r="B10" s="348" t="s">
        <v>4</v>
      </c>
      <c r="C10" s="349">
        <f>'Raw Measure Data'!W45/1000000</f>
        <v>1.2045E-2</v>
      </c>
      <c r="D10" s="349">
        <f>'Raw Measure Data'!X45/1000000</f>
        <v>0</v>
      </c>
      <c r="E10" s="349">
        <f>'Raw Measure Data'!Y45/1000000</f>
        <v>6.0137675000000002E-2</v>
      </c>
      <c r="F10" s="349">
        <f>'Raw Measure Data'!Z45/1000000</f>
        <v>6.0137675000000002E-2</v>
      </c>
      <c r="G10" s="349">
        <f>'Raw Measure Data'!AA45/1000000</f>
        <v>6.0137675000000002E-2</v>
      </c>
      <c r="H10" s="349">
        <f>'Raw Measure Data'!AB45/1000000</f>
        <v>6.0137675000000002E-2</v>
      </c>
      <c r="I10" s="349">
        <f>'Raw Measure Data'!AC45/1000000</f>
        <v>6.0137675000000002E-2</v>
      </c>
      <c r="J10" s="349">
        <f>'Raw Measure Data'!AD45/1000000</f>
        <v>6.0137675000000002E-2</v>
      </c>
      <c r="K10" s="349">
        <f>'Raw Measure Data'!AE45/1000000</f>
        <v>6.0137675000000002E-2</v>
      </c>
      <c r="L10" s="349">
        <f>'Raw Measure Data'!AF45/1000000</f>
        <v>6.0137675000000002E-2</v>
      </c>
      <c r="M10" s="349">
        <f>'Raw Measure Data'!AG45/1000000</f>
        <v>6.0137675000000002E-2</v>
      </c>
      <c r="N10" s="349">
        <f>'Raw Measure Data'!AH45/1000000</f>
        <v>6.0137675000000002E-2</v>
      </c>
      <c r="O10" s="349">
        <f>'Raw Measure Data'!AI45/1000000</f>
        <v>6.0137675000000002E-2</v>
      </c>
      <c r="P10" s="349">
        <f>'Raw Measure Data'!AJ45/1000000</f>
        <v>6.0137675000000002E-2</v>
      </c>
      <c r="Q10" s="349">
        <f>'Raw Measure Data'!AK45/1000000</f>
        <v>6.0137675000000002E-2</v>
      </c>
      <c r="R10" s="195"/>
      <c r="S10" s="3"/>
      <c r="T10" s="3"/>
      <c r="U10" s="3"/>
      <c r="V10" s="3"/>
      <c r="W10" s="196"/>
      <c r="X10" s="3"/>
      <c r="Y10" s="3"/>
      <c r="Z10" s="3"/>
    </row>
    <row r="11" spans="1:29" ht="14.45" x14ac:dyDescent="0.3">
      <c r="B11" s="8"/>
      <c r="C11" s="8"/>
      <c r="D11" s="8"/>
      <c r="E11" s="8"/>
      <c r="F11" s="198"/>
      <c r="G11" s="198"/>
      <c r="H11" s="199"/>
      <c r="I11" s="199"/>
      <c r="J11" s="199"/>
      <c r="K11" s="199"/>
      <c r="L11" s="199"/>
      <c r="M11" s="199"/>
      <c r="N11" s="199"/>
      <c r="O11" s="199"/>
      <c r="P11" s="199"/>
      <c r="Q11" s="199"/>
      <c r="R11" s="199"/>
      <c r="S11" s="199"/>
      <c r="T11" s="199"/>
      <c r="U11" s="199"/>
      <c r="V11" s="199"/>
      <c r="W11" s="196"/>
      <c r="X11" s="3"/>
      <c r="Y11" s="3"/>
      <c r="Z11" s="3"/>
    </row>
    <row r="12" spans="1:29"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1716</v>
      </c>
      <c r="B13" s="200" t="s">
        <v>1721</v>
      </c>
      <c r="C13" s="183"/>
      <c r="D13" s="183"/>
      <c r="E13" s="183"/>
      <c r="F13" s="183"/>
      <c r="G13" s="183"/>
      <c r="H13" s="183"/>
      <c r="I13" s="183"/>
      <c r="J13" s="183"/>
      <c r="K13" s="183"/>
      <c r="L13" s="183"/>
      <c r="M13" s="183"/>
      <c r="N13" s="183"/>
      <c r="O13" s="183"/>
      <c r="P13" s="183"/>
      <c r="Q13" s="183"/>
      <c r="R13" s="184"/>
      <c r="S13" s="3"/>
      <c r="T13" s="3"/>
      <c r="U13" s="3"/>
      <c r="V13" s="3"/>
      <c r="W13" s="3"/>
      <c r="X13" s="3"/>
      <c r="Y13" s="3"/>
      <c r="Z13" s="3"/>
    </row>
    <row r="14" spans="1:29" ht="14.45" x14ac:dyDescent="0.3">
      <c r="B14" s="187" t="s">
        <v>1635</v>
      </c>
      <c r="C14" s="350">
        <v>0.04</v>
      </c>
      <c r="D14" s="351" t="s">
        <v>1719</v>
      </c>
      <c r="E14" s="3"/>
      <c r="F14" s="3"/>
      <c r="G14" s="3"/>
      <c r="H14" s="3"/>
      <c r="I14" s="3"/>
      <c r="J14" s="3"/>
      <c r="K14" s="3"/>
      <c r="L14" s="3"/>
      <c r="M14" s="3"/>
      <c r="N14" s="3"/>
      <c r="O14" s="3"/>
      <c r="P14" s="3"/>
      <c r="Q14" s="3"/>
      <c r="R14" s="186"/>
      <c r="S14" s="3"/>
      <c r="T14" s="3"/>
      <c r="U14" s="3"/>
      <c r="V14" s="3"/>
      <c r="W14" s="3"/>
      <c r="X14" s="3"/>
      <c r="Y14" s="3"/>
      <c r="Z14" s="3"/>
    </row>
    <row r="15" spans="1:29" ht="14.45" x14ac:dyDescent="0.3">
      <c r="B15" s="187"/>
      <c r="C15" s="344"/>
      <c r="D15" s="351"/>
      <c r="E15" s="3"/>
      <c r="F15" s="3"/>
      <c r="G15" s="3"/>
      <c r="H15" s="3"/>
      <c r="I15" s="3"/>
      <c r="J15" s="3"/>
      <c r="K15" s="3"/>
      <c r="L15" s="3"/>
      <c r="M15" s="3"/>
      <c r="N15" s="3"/>
      <c r="O15" s="3"/>
      <c r="P15" s="3"/>
      <c r="Q15" s="3"/>
      <c r="R15" s="186"/>
      <c r="S15" s="3"/>
      <c r="T15" s="3"/>
      <c r="U15" s="3"/>
      <c r="V15" s="3"/>
      <c r="W15" s="3"/>
      <c r="X15" s="3"/>
      <c r="Y15" s="3"/>
      <c r="Z15" s="3"/>
    </row>
    <row r="16" spans="1:29" s="9" customFormat="1" ht="18" x14ac:dyDescent="0.35">
      <c r="B16" s="345"/>
      <c r="C16" s="188">
        <v>2015</v>
      </c>
      <c r="D16" s="188">
        <v>2016</v>
      </c>
      <c r="E16" s="188">
        <v>2017</v>
      </c>
      <c r="F16" s="188">
        <v>2018</v>
      </c>
      <c r="G16" s="188">
        <v>2019</v>
      </c>
      <c r="H16" s="188">
        <v>2020</v>
      </c>
      <c r="I16" s="188">
        <v>2021</v>
      </c>
      <c r="J16" s="188">
        <v>2022</v>
      </c>
      <c r="K16" s="188">
        <v>2023</v>
      </c>
      <c r="L16" s="188">
        <v>2024</v>
      </c>
      <c r="M16" s="188">
        <v>2025</v>
      </c>
      <c r="N16" s="188">
        <v>2026</v>
      </c>
      <c r="O16" s="189">
        <v>2027</v>
      </c>
      <c r="P16" s="189">
        <v>2028</v>
      </c>
      <c r="Q16" s="189">
        <v>2029</v>
      </c>
      <c r="R16" s="191"/>
      <c r="S16" s="190"/>
      <c r="T16" s="190"/>
      <c r="U16" s="190"/>
      <c r="V16" s="190"/>
      <c r="W16" s="190"/>
      <c r="X16" s="190"/>
      <c r="Y16" s="190"/>
      <c r="Z16" s="190"/>
      <c r="AB16" s="178"/>
      <c r="AC16" s="178"/>
    </row>
    <row r="17" spans="1:29" ht="14.45" customHeight="1" x14ac:dyDescent="0.3">
      <c r="B17" s="346" t="s">
        <v>0</v>
      </c>
      <c r="C17" s="347">
        <f>C9*(1-$C$14)</f>
        <v>6.2709321599999992</v>
      </c>
      <c r="D17" s="347">
        <f t="shared" ref="D17:Q17" si="0">D9*(1-$C$14)</f>
        <v>6.6790291199999992</v>
      </c>
      <c r="E17" s="347">
        <f t="shared" si="0"/>
        <v>10.361879999999999</v>
      </c>
      <c r="F17" s="347">
        <f t="shared" si="0"/>
        <v>10.361879999999999</v>
      </c>
      <c r="G17" s="347">
        <f t="shared" si="0"/>
        <v>10.361879999999999</v>
      </c>
      <c r="H17" s="347">
        <f t="shared" si="0"/>
        <v>10.361879999999999</v>
      </c>
      <c r="I17" s="347">
        <f t="shared" si="0"/>
        <v>10.361879999999999</v>
      </c>
      <c r="J17" s="347">
        <f t="shared" si="0"/>
        <v>10.361879999999999</v>
      </c>
      <c r="K17" s="347">
        <f t="shared" si="0"/>
        <v>10.361879999999999</v>
      </c>
      <c r="L17" s="347">
        <f t="shared" si="0"/>
        <v>10.361879999999999</v>
      </c>
      <c r="M17" s="347">
        <f t="shared" si="0"/>
        <v>10.361879999999999</v>
      </c>
      <c r="N17" s="347">
        <f t="shared" si="0"/>
        <v>10.361879999999999</v>
      </c>
      <c r="O17" s="347">
        <f t="shared" si="0"/>
        <v>10.361879999999999</v>
      </c>
      <c r="P17" s="347">
        <f t="shared" si="0"/>
        <v>10.361879999999999</v>
      </c>
      <c r="Q17" s="347">
        <f t="shared" si="0"/>
        <v>10.361879999999999</v>
      </c>
      <c r="R17" s="186"/>
      <c r="S17" s="3"/>
      <c r="T17" s="3"/>
      <c r="U17" s="3"/>
      <c r="V17" s="3"/>
      <c r="W17" s="192"/>
      <c r="X17" s="3"/>
      <c r="Y17" s="3"/>
      <c r="Z17" s="3"/>
      <c r="AB17" s="6"/>
      <c r="AC17" s="6"/>
    </row>
    <row r="18" spans="1:29" ht="14.45" customHeight="1" thickBot="1" x14ac:dyDescent="0.35">
      <c r="B18" s="348" t="s">
        <v>4</v>
      </c>
      <c r="C18" s="349">
        <f t="shared" ref="C18:Q18" si="1">C10*(1-$C$14)</f>
        <v>1.1563199999999999E-2</v>
      </c>
      <c r="D18" s="349">
        <f t="shared" si="1"/>
        <v>0</v>
      </c>
      <c r="E18" s="349">
        <f t="shared" si="1"/>
        <v>5.7732168E-2</v>
      </c>
      <c r="F18" s="349">
        <f t="shared" si="1"/>
        <v>5.7732168E-2</v>
      </c>
      <c r="G18" s="349">
        <f t="shared" si="1"/>
        <v>5.7732168E-2</v>
      </c>
      <c r="H18" s="349">
        <f t="shared" si="1"/>
        <v>5.7732168E-2</v>
      </c>
      <c r="I18" s="349">
        <f t="shared" si="1"/>
        <v>5.7732168E-2</v>
      </c>
      <c r="J18" s="349">
        <f t="shared" si="1"/>
        <v>5.7732168E-2</v>
      </c>
      <c r="K18" s="349">
        <f t="shared" si="1"/>
        <v>5.7732168E-2</v>
      </c>
      <c r="L18" s="349">
        <f t="shared" si="1"/>
        <v>5.7732168E-2</v>
      </c>
      <c r="M18" s="349">
        <f t="shared" si="1"/>
        <v>5.7732168E-2</v>
      </c>
      <c r="N18" s="349">
        <f t="shared" si="1"/>
        <v>5.7732168E-2</v>
      </c>
      <c r="O18" s="349">
        <f t="shared" si="1"/>
        <v>5.7732168E-2</v>
      </c>
      <c r="P18" s="349">
        <f t="shared" si="1"/>
        <v>5.7732168E-2</v>
      </c>
      <c r="Q18" s="349">
        <f t="shared" si="1"/>
        <v>5.7732168E-2</v>
      </c>
      <c r="R18" s="195"/>
      <c r="S18" s="3"/>
      <c r="T18" s="3"/>
      <c r="U18" s="3"/>
      <c r="V18" s="3"/>
      <c r="W18" s="192"/>
      <c r="X18" s="3"/>
      <c r="Y18" s="3"/>
      <c r="Z18" s="3"/>
      <c r="AB18" s="6"/>
      <c r="AC18" s="6"/>
    </row>
    <row r="19" spans="1:29" ht="14.45"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1718</v>
      </c>
      <c r="B21" s="200" t="s">
        <v>1756</v>
      </c>
      <c r="C21" s="183"/>
      <c r="D21" s="183"/>
      <c r="E21" s="369" t="s">
        <v>1766</v>
      </c>
      <c r="F21" s="183"/>
      <c r="G21" s="183"/>
      <c r="H21" s="183"/>
      <c r="I21" s="183"/>
      <c r="J21" s="183"/>
      <c r="K21" s="183"/>
      <c r="L21" s="183"/>
      <c r="M21" s="183"/>
      <c r="N21" s="183"/>
      <c r="O21" s="183"/>
      <c r="P21" s="183"/>
      <c r="Q21" s="183"/>
      <c r="R21" s="184"/>
      <c r="S21" s="3"/>
      <c r="T21" s="3"/>
      <c r="U21" s="3"/>
      <c r="V21" s="3"/>
      <c r="W21" s="3"/>
      <c r="X21" s="3"/>
      <c r="Y21" s="3"/>
      <c r="Z21" s="3"/>
    </row>
    <row r="22" spans="1:29" ht="14.45" x14ac:dyDescent="0.3">
      <c r="B22" s="187" t="s">
        <v>1635</v>
      </c>
      <c r="C22" s="350">
        <v>0.1</v>
      </c>
      <c r="D22" s="351"/>
      <c r="E22" s="7" t="s">
        <v>1767</v>
      </c>
      <c r="F22" s="3"/>
      <c r="G22" s="3"/>
      <c r="H22" s="3"/>
      <c r="I22" s="3"/>
      <c r="J22" s="3"/>
      <c r="K22" s="3"/>
      <c r="L22" s="3"/>
      <c r="M22" s="3"/>
      <c r="N22" s="3"/>
      <c r="O22" s="3"/>
      <c r="P22" s="3"/>
      <c r="Q22" s="3"/>
      <c r="R22" s="186"/>
      <c r="S22" s="3"/>
      <c r="T22" s="3"/>
      <c r="U22" s="3"/>
      <c r="V22" s="3"/>
      <c r="W22" s="3"/>
      <c r="X22" s="3"/>
      <c r="Y22" s="3"/>
      <c r="Z22" s="3"/>
    </row>
    <row r="23" spans="1:29" ht="14.45" x14ac:dyDescent="0.3">
      <c r="B23" s="187"/>
      <c r="C23" s="344"/>
      <c r="D23" s="351"/>
      <c r="E23" s="351" t="s">
        <v>1768</v>
      </c>
      <c r="F23" s="3"/>
      <c r="G23" s="3"/>
      <c r="H23" s="3"/>
      <c r="I23" s="3"/>
      <c r="J23" s="3"/>
      <c r="K23" s="3"/>
      <c r="L23" s="3"/>
      <c r="M23" s="3"/>
      <c r="N23" s="3"/>
      <c r="O23" s="3"/>
      <c r="P23" s="3"/>
      <c r="Q23" s="3"/>
      <c r="R23" s="186"/>
      <c r="S23" s="3"/>
      <c r="T23" s="3"/>
      <c r="U23" s="3"/>
      <c r="V23" s="3"/>
      <c r="W23" s="3"/>
      <c r="X23" s="3"/>
      <c r="Y23" s="3"/>
      <c r="Z23" s="3"/>
    </row>
    <row r="24" spans="1:29" s="9" customFormat="1" ht="18" x14ac:dyDescent="0.35">
      <c r="B24" s="345"/>
      <c r="C24" s="188">
        <v>2015</v>
      </c>
      <c r="D24" s="188">
        <v>2016</v>
      </c>
      <c r="E24" s="188">
        <v>2017</v>
      </c>
      <c r="F24" s="188">
        <v>2018</v>
      </c>
      <c r="G24" s="188">
        <v>2019</v>
      </c>
      <c r="H24" s="188">
        <v>2020</v>
      </c>
      <c r="I24" s="188">
        <v>2021</v>
      </c>
      <c r="J24" s="188">
        <v>2022</v>
      </c>
      <c r="K24" s="188">
        <v>2023</v>
      </c>
      <c r="L24" s="188">
        <v>2024</v>
      </c>
      <c r="M24" s="188">
        <v>2025</v>
      </c>
      <c r="N24" s="188">
        <v>2026</v>
      </c>
      <c r="O24" s="189">
        <v>2027</v>
      </c>
      <c r="P24" s="189">
        <v>2028</v>
      </c>
      <c r="Q24" s="189">
        <v>2029</v>
      </c>
      <c r="R24" s="191"/>
      <c r="S24" s="190"/>
      <c r="T24" s="190"/>
      <c r="U24" s="190"/>
      <c r="V24" s="190"/>
      <c r="W24" s="190"/>
      <c r="X24" s="190"/>
      <c r="Y24" s="190"/>
      <c r="Z24" s="190"/>
      <c r="AB24" s="178"/>
      <c r="AC24" s="178"/>
    </row>
    <row r="25" spans="1:29" ht="14.45" customHeight="1" x14ac:dyDescent="0.3">
      <c r="B25" s="346" t="s">
        <v>0</v>
      </c>
      <c r="C25" s="347">
        <v>0</v>
      </c>
      <c r="D25" s="347">
        <v>0</v>
      </c>
      <c r="E25" s="347">
        <v>0</v>
      </c>
      <c r="F25" s="347">
        <v>0</v>
      </c>
      <c r="G25" s="347">
        <f t="shared" ref="G25:Q25" si="2">G17*$C$22</f>
        <v>1.0361879999999999</v>
      </c>
      <c r="H25" s="347">
        <f t="shared" si="2"/>
        <v>1.0361879999999999</v>
      </c>
      <c r="I25" s="347">
        <f t="shared" si="2"/>
        <v>1.0361879999999999</v>
      </c>
      <c r="J25" s="347">
        <f t="shared" si="2"/>
        <v>1.0361879999999999</v>
      </c>
      <c r="K25" s="347">
        <f t="shared" si="2"/>
        <v>1.0361879999999999</v>
      </c>
      <c r="L25" s="347">
        <f t="shared" si="2"/>
        <v>1.0361879999999999</v>
      </c>
      <c r="M25" s="347">
        <f t="shared" si="2"/>
        <v>1.0361879999999999</v>
      </c>
      <c r="N25" s="347">
        <f t="shared" si="2"/>
        <v>1.0361879999999999</v>
      </c>
      <c r="O25" s="347">
        <f t="shared" si="2"/>
        <v>1.0361879999999999</v>
      </c>
      <c r="P25" s="347">
        <f t="shared" si="2"/>
        <v>1.0361879999999999</v>
      </c>
      <c r="Q25" s="347">
        <f t="shared" si="2"/>
        <v>1.0361879999999999</v>
      </c>
      <c r="R25" s="186"/>
      <c r="S25" s="3"/>
      <c r="T25" s="3"/>
      <c r="U25" s="3"/>
      <c r="V25" s="3"/>
      <c r="W25" s="192"/>
      <c r="X25" s="3"/>
      <c r="Y25" s="3"/>
      <c r="Z25" s="3"/>
      <c r="AB25" s="6"/>
      <c r="AC25" s="6"/>
    </row>
    <row r="26" spans="1:29" ht="14.45" customHeight="1" thickBot="1" x14ac:dyDescent="0.35">
      <c r="B26" s="348" t="s">
        <v>4</v>
      </c>
      <c r="C26" s="349">
        <v>0</v>
      </c>
      <c r="D26" s="349">
        <v>0</v>
      </c>
      <c r="E26" s="349">
        <v>0</v>
      </c>
      <c r="F26" s="349">
        <v>0</v>
      </c>
      <c r="G26" s="349">
        <f t="shared" ref="G26:Q26" si="3">G18*$C$22</f>
        <v>5.7732168000000006E-3</v>
      </c>
      <c r="H26" s="349">
        <f t="shared" si="3"/>
        <v>5.7732168000000006E-3</v>
      </c>
      <c r="I26" s="349">
        <f t="shared" si="3"/>
        <v>5.7732168000000006E-3</v>
      </c>
      <c r="J26" s="349">
        <f t="shared" si="3"/>
        <v>5.7732168000000006E-3</v>
      </c>
      <c r="K26" s="349">
        <f t="shared" si="3"/>
        <v>5.7732168000000006E-3</v>
      </c>
      <c r="L26" s="349">
        <f t="shared" si="3"/>
        <v>5.7732168000000006E-3</v>
      </c>
      <c r="M26" s="349">
        <f t="shared" si="3"/>
        <v>5.7732168000000006E-3</v>
      </c>
      <c r="N26" s="349">
        <f t="shared" si="3"/>
        <v>5.7732168000000006E-3</v>
      </c>
      <c r="O26" s="349">
        <f t="shared" si="3"/>
        <v>5.7732168000000006E-3</v>
      </c>
      <c r="P26" s="349">
        <f t="shared" si="3"/>
        <v>5.7732168000000006E-3</v>
      </c>
      <c r="Q26" s="349">
        <f t="shared" si="3"/>
        <v>5.7732168000000006E-3</v>
      </c>
      <c r="R26" s="195"/>
      <c r="S26" s="3"/>
      <c r="T26" s="3"/>
      <c r="U26" s="3"/>
      <c r="V26" s="3"/>
      <c r="W26" s="192"/>
      <c r="X26" s="3"/>
      <c r="Y26" s="3"/>
      <c r="Z26" s="3"/>
      <c r="AB26" s="6"/>
      <c r="AC26" s="6"/>
    </row>
    <row r="27" spans="1:29" ht="14.45"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1720</v>
      </c>
      <c r="B29" s="200" t="s">
        <v>1636</v>
      </c>
      <c r="C29" s="183"/>
      <c r="D29" s="183"/>
      <c r="E29" s="183"/>
      <c r="F29" s="183"/>
      <c r="G29" s="183"/>
      <c r="H29" s="183"/>
      <c r="I29" s="183"/>
      <c r="J29" s="183"/>
      <c r="K29" s="183"/>
      <c r="L29" s="183"/>
      <c r="M29" s="183"/>
      <c r="N29" s="183"/>
      <c r="O29" s="183"/>
      <c r="P29" s="183"/>
      <c r="Q29" s="183"/>
      <c r="R29" s="184"/>
      <c r="S29" s="3"/>
      <c r="T29" s="3"/>
      <c r="U29" s="3"/>
      <c r="V29" s="3"/>
      <c r="W29" s="3"/>
      <c r="X29" s="3"/>
      <c r="Y29" s="3"/>
      <c r="Z29" s="3"/>
    </row>
    <row r="30" spans="1:29" ht="14.45" x14ac:dyDescent="0.3">
      <c r="B30" s="187"/>
      <c r="C30" s="3"/>
      <c r="D30" s="3"/>
      <c r="E30" s="3"/>
      <c r="F30" s="3"/>
      <c r="G30" s="3"/>
      <c r="H30" s="3"/>
      <c r="I30" s="3"/>
      <c r="J30" s="3"/>
      <c r="K30" s="3"/>
      <c r="L30" s="3"/>
      <c r="M30" s="3"/>
      <c r="N30" s="3"/>
      <c r="O30" s="3"/>
      <c r="P30" s="3"/>
      <c r="Q30" s="3"/>
      <c r="R30" s="186"/>
    </row>
    <row r="31" spans="1:29" ht="14.45" x14ac:dyDescent="0.3">
      <c r="B31" s="352" t="s">
        <v>738</v>
      </c>
      <c r="C31" s="287" t="s">
        <v>1637</v>
      </c>
      <c r="D31" s="287" t="s">
        <v>1638</v>
      </c>
      <c r="E31" s="3"/>
      <c r="F31" s="3"/>
      <c r="G31" s="3"/>
      <c r="H31" s="3"/>
      <c r="I31" s="3"/>
      <c r="J31" s="3"/>
      <c r="K31" s="3"/>
      <c r="L31" s="3"/>
      <c r="M31" s="3"/>
      <c r="N31" s="3"/>
      <c r="O31" s="3"/>
      <c r="P31" s="3"/>
      <c r="Q31" s="3"/>
      <c r="R31" s="186"/>
    </row>
    <row r="32" spans="1:29" x14ac:dyDescent="0.25">
      <c r="B32" s="352" t="s">
        <v>1639</v>
      </c>
      <c r="C32" s="288">
        <v>0.215</v>
      </c>
      <c r="D32" s="289">
        <v>15</v>
      </c>
      <c r="E32" s="3"/>
      <c r="F32" s="400" t="s">
        <v>1640</v>
      </c>
      <c r="G32" s="400"/>
      <c r="H32" s="400"/>
      <c r="I32" s="400"/>
      <c r="J32" s="400"/>
      <c r="K32" s="400"/>
      <c r="L32" s="400"/>
      <c r="M32" s="400"/>
      <c r="N32" s="400"/>
      <c r="O32" s="400"/>
      <c r="P32" s="3"/>
      <c r="Q32" s="3"/>
      <c r="R32" s="186"/>
    </row>
    <row r="33" spans="2:18" x14ac:dyDescent="0.25">
      <c r="B33" s="352" t="s">
        <v>1641</v>
      </c>
      <c r="C33" s="288">
        <v>3.2000000000000001E-2</v>
      </c>
      <c r="D33" s="289">
        <v>8</v>
      </c>
      <c r="E33" s="3"/>
      <c r="F33" s="400"/>
      <c r="G33" s="400"/>
      <c r="H33" s="400"/>
      <c r="I33" s="400"/>
      <c r="J33" s="400"/>
      <c r="K33" s="400"/>
      <c r="L33" s="400"/>
      <c r="M33" s="400"/>
      <c r="N33" s="400"/>
      <c r="O33" s="400"/>
      <c r="P33" s="3"/>
      <c r="Q33" s="3"/>
      <c r="R33" s="186"/>
    </row>
    <row r="34" spans="2:18" x14ac:dyDescent="0.25">
      <c r="B34" s="352" t="s">
        <v>1642</v>
      </c>
      <c r="C34" s="288">
        <v>8.5999999999999993E-2</v>
      </c>
      <c r="D34" s="289">
        <v>3</v>
      </c>
      <c r="E34" s="3"/>
      <c r="F34" s="400"/>
      <c r="G34" s="400"/>
      <c r="H34" s="400"/>
      <c r="I34" s="400"/>
      <c r="J34" s="400"/>
      <c r="K34" s="400"/>
      <c r="L34" s="400"/>
      <c r="M34" s="400"/>
      <c r="N34" s="400"/>
      <c r="O34" s="400"/>
      <c r="P34" s="3"/>
      <c r="Q34" s="3"/>
      <c r="R34" s="186"/>
    </row>
    <row r="35" spans="2:18" x14ac:dyDescent="0.25">
      <c r="B35" s="352" t="s">
        <v>1643</v>
      </c>
      <c r="C35" s="288">
        <v>0.53900000000000003</v>
      </c>
      <c r="D35" s="289">
        <v>15</v>
      </c>
      <c r="E35" s="3"/>
      <c r="F35" s="400"/>
      <c r="G35" s="400"/>
      <c r="H35" s="400"/>
      <c r="I35" s="400"/>
      <c r="J35" s="400"/>
      <c r="K35" s="400"/>
      <c r="L35" s="400"/>
      <c r="M35" s="400"/>
      <c r="N35" s="400"/>
      <c r="O35" s="400"/>
      <c r="P35" s="3"/>
      <c r="Q35" s="3"/>
      <c r="R35" s="186"/>
    </row>
    <row r="36" spans="2:18" x14ac:dyDescent="0.25">
      <c r="B36" s="352" t="s">
        <v>1644</v>
      </c>
      <c r="C36" s="288">
        <v>4.8000000000000001E-2</v>
      </c>
      <c r="D36" s="289">
        <v>8</v>
      </c>
      <c r="E36" s="3"/>
      <c r="F36" s="400"/>
      <c r="G36" s="400"/>
      <c r="H36" s="400"/>
      <c r="I36" s="400"/>
      <c r="J36" s="400"/>
      <c r="K36" s="400"/>
      <c r="L36" s="400"/>
      <c r="M36" s="400"/>
      <c r="N36" s="400"/>
      <c r="O36" s="400"/>
      <c r="P36" s="3"/>
      <c r="Q36" s="3"/>
      <c r="R36" s="186"/>
    </row>
    <row r="37" spans="2:18" x14ac:dyDescent="0.25">
      <c r="B37" s="352" t="s">
        <v>1645</v>
      </c>
      <c r="C37" s="288">
        <v>0.08</v>
      </c>
      <c r="D37" s="289">
        <v>10</v>
      </c>
      <c r="E37" s="3"/>
      <c r="F37" s="400"/>
      <c r="G37" s="400"/>
      <c r="H37" s="400"/>
      <c r="I37" s="400"/>
      <c r="J37" s="400"/>
      <c r="K37" s="400"/>
      <c r="L37" s="400"/>
      <c r="M37" s="400"/>
      <c r="N37" s="400"/>
      <c r="O37" s="400"/>
      <c r="P37" s="3"/>
      <c r="Q37" s="3"/>
      <c r="R37" s="186"/>
    </row>
    <row r="38" spans="2:18" x14ac:dyDescent="0.25">
      <c r="B38" s="352" t="s">
        <v>1646</v>
      </c>
      <c r="C38" s="287"/>
      <c r="D38" s="287"/>
      <c r="E38" s="3"/>
      <c r="F38" s="400"/>
      <c r="G38" s="400"/>
      <c r="H38" s="400"/>
      <c r="I38" s="400"/>
      <c r="J38" s="400"/>
      <c r="K38" s="400"/>
      <c r="L38" s="400"/>
      <c r="M38" s="400"/>
      <c r="N38" s="400"/>
      <c r="O38" s="400"/>
      <c r="P38" s="3"/>
      <c r="Q38" s="3"/>
      <c r="R38" s="186"/>
    </row>
    <row r="39" spans="2:18" ht="15.75" thickBot="1" x14ac:dyDescent="0.3">
      <c r="B39" s="193"/>
      <c r="C39" s="194"/>
      <c r="D39" s="194"/>
      <c r="E39" s="194"/>
      <c r="F39" s="194"/>
      <c r="G39" s="194"/>
      <c r="H39" s="194"/>
      <c r="I39" s="194"/>
      <c r="J39" s="194"/>
      <c r="K39" s="194"/>
      <c r="L39" s="194"/>
      <c r="M39" s="194"/>
      <c r="N39" s="194"/>
      <c r="O39" s="194"/>
      <c r="P39" s="194"/>
      <c r="Q39" s="194"/>
      <c r="R39" s="195"/>
    </row>
    <row r="40" spans="2:18" x14ac:dyDescent="0.25">
      <c r="B40" s="3"/>
      <c r="C40" s="3"/>
      <c r="D40" s="3"/>
      <c r="E40" s="3"/>
      <c r="F40" s="3"/>
      <c r="G40" s="3"/>
      <c r="H40" s="3"/>
      <c r="I40" s="3"/>
      <c r="J40" s="3"/>
      <c r="K40" s="3"/>
      <c r="L40" s="3"/>
      <c r="M40" s="3"/>
      <c r="N40" s="3"/>
      <c r="O40" s="3"/>
      <c r="P40" s="3"/>
      <c r="Q40" s="3"/>
      <c r="R40" s="3"/>
    </row>
    <row r="41" spans="2:18" ht="15.75" thickBot="1" x14ac:dyDescent="0.3">
      <c r="B41" s="3"/>
      <c r="C41" s="3"/>
      <c r="D41" s="3"/>
      <c r="E41" s="3"/>
      <c r="F41" s="3"/>
      <c r="G41" s="3"/>
      <c r="H41" s="3"/>
      <c r="I41" s="3"/>
      <c r="J41" s="3"/>
      <c r="K41" s="3"/>
      <c r="L41" s="3"/>
      <c r="M41" s="3"/>
      <c r="N41" s="3"/>
      <c r="O41" s="3"/>
      <c r="P41" s="3"/>
      <c r="Q41" s="3"/>
      <c r="R41" s="3"/>
    </row>
    <row r="42" spans="2:18" ht="18.75" x14ac:dyDescent="0.3">
      <c r="B42" s="200" t="s">
        <v>1647</v>
      </c>
      <c r="C42" s="183"/>
      <c r="D42" s="183"/>
      <c r="E42" s="183"/>
      <c r="F42" s="183"/>
      <c r="G42" s="183"/>
      <c r="H42" s="183"/>
      <c r="I42" s="183"/>
      <c r="J42" s="183"/>
      <c r="K42" s="183"/>
      <c r="L42" s="183"/>
      <c r="M42" s="183"/>
      <c r="N42" s="183"/>
      <c r="O42" s="183"/>
      <c r="P42" s="183"/>
      <c r="Q42" s="183"/>
      <c r="R42" s="184"/>
    </row>
    <row r="43" spans="2:18" ht="18.75" x14ac:dyDescent="0.3">
      <c r="B43" s="353"/>
      <c r="C43" s="3" t="s">
        <v>1648</v>
      </c>
      <c r="D43" s="3"/>
      <c r="E43" s="3"/>
      <c r="F43" s="3"/>
      <c r="G43" s="3"/>
      <c r="H43" s="3"/>
      <c r="I43" s="3"/>
      <c r="J43" s="3"/>
      <c r="K43" s="3"/>
      <c r="L43" s="3"/>
      <c r="M43" s="3"/>
      <c r="N43" s="3"/>
      <c r="O43" s="3"/>
      <c r="P43" s="3"/>
      <c r="Q43" s="3"/>
      <c r="R43" s="186"/>
    </row>
    <row r="44" spans="2:18" x14ac:dyDescent="0.25">
      <c r="B44" s="187"/>
      <c r="C44" s="287">
        <f t="shared" ref="C44:Q44" si="4">C48</f>
        <v>2015</v>
      </c>
      <c r="D44" s="287">
        <f t="shared" si="4"/>
        <v>2016</v>
      </c>
      <c r="E44" s="287">
        <f t="shared" si="4"/>
        <v>2017</v>
      </c>
      <c r="F44" s="287">
        <f t="shared" si="4"/>
        <v>2018</v>
      </c>
      <c r="G44" s="287">
        <f t="shared" si="4"/>
        <v>2019</v>
      </c>
      <c r="H44" s="287">
        <f t="shared" si="4"/>
        <v>2020</v>
      </c>
      <c r="I44" s="287">
        <f t="shared" si="4"/>
        <v>2021</v>
      </c>
      <c r="J44" s="287">
        <f t="shared" si="4"/>
        <v>2022</v>
      </c>
      <c r="K44" s="287">
        <f t="shared" si="4"/>
        <v>2023</v>
      </c>
      <c r="L44" s="287">
        <f t="shared" si="4"/>
        <v>2024</v>
      </c>
      <c r="M44" s="287">
        <f t="shared" si="4"/>
        <v>2025</v>
      </c>
      <c r="N44" s="287">
        <f t="shared" si="4"/>
        <v>2026</v>
      </c>
      <c r="O44" s="287">
        <f t="shared" si="4"/>
        <v>2027</v>
      </c>
      <c r="P44" s="287">
        <f t="shared" si="4"/>
        <v>2028</v>
      </c>
      <c r="Q44" s="287">
        <f t="shared" si="4"/>
        <v>2029</v>
      </c>
      <c r="R44" s="186"/>
    </row>
    <row r="45" spans="2:18" x14ac:dyDescent="0.25">
      <c r="B45" s="187"/>
      <c r="C45" s="291">
        <f>C25</f>
        <v>0</v>
      </c>
      <c r="D45" s="291">
        <f t="shared" ref="D45:Q45" si="5">D25</f>
        <v>0</v>
      </c>
      <c r="E45" s="291">
        <f t="shared" si="5"/>
        <v>0</v>
      </c>
      <c r="F45" s="291">
        <f t="shared" si="5"/>
        <v>0</v>
      </c>
      <c r="G45" s="291">
        <f t="shared" si="5"/>
        <v>1.0361879999999999</v>
      </c>
      <c r="H45" s="291">
        <f t="shared" si="5"/>
        <v>1.0361879999999999</v>
      </c>
      <c r="I45" s="291">
        <f t="shared" si="5"/>
        <v>1.0361879999999999</v>
      </c>
      <c r="J45" s="291">
        <f t="shared" si="5"/>
        <v>1.0361879999999999</v>
      </c>
      <c r="K45" s="291">
        <f t="shared" si="5"/>
        <v>1.0361879999999999</v>
      </c>
      <c r="L45" s="291">
        <f t="shared" si="5"/>
        <v>1.0361879999999999</v>
      </c>
      <c r="M45" s="291">
        <f t="shared" si="5"/>
        <v>1.0361879999999999</v>
      </c>
      <c r="N45" s="291">
        <f t="shared" si="5"/>
        <v>1.0361879999999999</v>
      </c>
      <c r="O45" s="291">
        <f t="shared" si="5"/>
        <v>1.0361879999999999</v>
      </c>
      <c r="P45" s="291">
        <f t="shared" si="5"/>
        <v>1.0361879999999999</v>
      </c>
      <c r="Q45" s="291">
        <f t="shared" si="5"/>
        <v>1.0361879999999999</v>
      </c>
      <c r="R45" s="186"/>
    </row>
    <row r="46" spans="2:18" x14ac:dyDescent="0.25">
      <c r="B46" s="187"/>
      <c r="C46" s="3"/>
      <c r="D46" s="3"/>
      <c r="E46" s="3"/>
      <c r="F46" s="3"/>
      <c r="G46" s="3"/>
      <c r="H46" s="3"/>
      <c r="I46" s="3"/>
      <c r="J46" s="3"/>
      <c r="K46" s="3"/>
      <c r="L46" s="3"/>
      <c r="M46" s="3"/>
      <c r="N46" s="3"/>
      <c r="O46" s="3"/>
      <c r="P46" s="3"/>
      <c r="Q46" s="3"/>
      <c r="R46" s="186"/>
    </row>
    <row r="47" spans="2:18" x14ac:dyDescent="0.25">
      <c r="B47" s="187"/>
      <c r="C47" s="3"/>
      <c r="D47" s="3"/>
      <c r="E47" s="3"/>
      <c r="F47" s="3"/>
      <c r="G47" s="3"/>
      <c r="H47" s="3"/>
      <c r="I47" s="3"/>
      <c r="J47" s="3"/>
      <c r="K47" s="3"/>
      <c r="L47" s="3"/>
      <c r="M47" s="3"/>
      <c r="N47" s="3"/>
      <c r="O47" s="3"/>
      <c r="P47" s="3"/>
      <c r="Q47" s="3"/>
      <c r="R47" s="186"/>
    </row>
    <row r="48" spans="2:18" x14ac:dyDescent="0.25">
      <c r="B48" s="352" t="s">
        <v>9</v>
      </c>
      <c r="C48" s="287">
        <v>2015</v>
      </c>
      <c r="D48" s="287">
        <f t="shared" ref="D48:Q48" si="6">C48+1</f>
        <v>2016</v>
      </c>
      <c r="E48" s="287">
        <f t="shared" si="6"/>
        <v>2017</v>
      </c>
      <c r="F48" s="287">
        <f t="shared" si="6"/>
        <v>2018</v>
      </c>
      <c r="G48" s="287">
        <f t="shared" si="6"/>
        <v>2019</v>
      </c>
      <c r="H48" s="287">
        <f t="shared" si="6"/>
        <v>2020</v>
      </c>
      <c r="I48" s="287">
        <f t="shared" si="6"/>
        <v>2021</v>
      </c>
      <c r="J48" s="287">
        <f t="shared" si="6"/>
        <v>2022</v>
      </c>
      <c r="K48" s="287">
        <f t="shared" si="6"/>
        <v>2023</v>
      </c>
      <c r="L48" s="287">
        <f t="shared" si="6"/>
        <v>2024</v>
      </c>
      <c r="M48" s="287">
        <f t="shared" si="6"/>
        <v>2025</v>
      </c>
      <c r="N48" s="287">
        <f t="shared" si="6"/>
        <v>2026</v>
      </c>
      <c r="O48" s="287">
        <f t="shared" si="6"/>
        <v>2027</v>
      </c>
      <c r="P48" s="287">
        <f t="shared" si="6"/>
        <v>2028</v>
      </c>
      <c r="Q48" s="287">
        <f t="shared" si="6"/>
        <v>2029</v>
      </c>
      <c r="R48" s="186"/>
    </row>
    <row r="49" spans="2:18" x14ac:dyDescent="0.25">
      <c r="B49" s="352">
        <v>2015</v>
      </c>
      <c r="C49" s="293">
        <f t="shared" ref="C49:Q49" si="7">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0</v>
      </c>
      <c r="D49" s="293">
        <f t="shared" si="7"/>
        <v>0</v>
      </c>
      <c r="E49" s="293">
        <f t="shared" si="7"/>
        <v>0</v>
      </c>
      <c r="F49" s="293">
        <f t="shared" si="7"/>
        <v>0</v>
      </c>
      <c r="G49" s="293">
        <f t="shared" si="7"/>
        <v>0</v>
      </c>
      <c r="H49" s="293">
        <f t="shared" si="7"/>
        <v>0</v>
      </c>
      <c r="I49" s="293">
        <f t="shared" si="7"/>
        <v>0</v>
      </c>
      <c r="J49" s="293">
        <f t="shared" si="7"/>
        <v>0</v>
      </c>
      <c r="K49" s="293">
        <f t="shared" si="7"/>
        <v>0</v>
      </c>
      <c r="L49" s="293">
        <f t="shared" si="7"/>
        <v>0</v>
      </c>
      <c r="M49" s="293">
        <f t="shared" si="7"/>
        <v>0</v>
      </c>
      <c r="N49" s="293">
        <f t="shared" si="7"/>
        <v>0</v>
      </c>
      <c r="O49" s="293">
        <f t="shared" si="7"/>
        <v>0</v>
      </c>
      <c r="P49" s="293">
        <f t="shared" si="7"/>
        <v>0</v>
      </c>
      <c r="Q49" s="293">
        <f t="shared" si="7"/>
        <v>0</v>
      </c>
      <c r="R49" s="186"/>
    </row>
    <row r="50" spans="2:18" x14ac:dyDescent="0.25">
      <c r="B50" s="352">
        <f t="shared" ref="B50:B64" si="8">B49+1</f>
        <v>2016</v>
      </c>
      <c r="C50" s="293"/>
      <c r="D50" s="293">
        <f t="shared" ref="D50:Q50" si="9">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0</v>
      </c>
      <c r="E50" s="293">
        <f t="shared" si="9"/>
        <v>0</v>
      </c>
      <c r="F50" s="293">
        <f t="shared" si="9"/>
        <v>0</v>
      </c>
      <c r="G50" s="293">
        <f t="shared" si="9"/>
        <v>0</v>
      </c>
      <c r="H50" s="293">
        <f t="shared" si="9"/>
        <v>0</v>
      </c>
      <c r="I50" s="293">
        <f t="shared" si="9"/>
        <v>0</v>
      </c>
      <c r="J50" s="293">
        <f t="shared" si="9"/>
        <v>0</v>
      </c>
      <c r="K50" s="293">
        <f t="shared" si="9"/>
        <v>0</v>
      </c>
      <c r="L50" s="293">
        <f t="shared" si="9"/>
        <v>0</v>
      </c>
      <c r="M50" s="293">
        <f t="shared" si="9"/>
        <v>0</v>
      </c>
      <c r="N50" s="293">
        <f t="shared" si="9"/>
        <v>0</v>
      </c>
      <c r="O50" s="293">
        <f t="shared" si="9"/>
        <v>0</v>
      </c>
      <c r="P50" s="293">
        <f t="shared" si="9"/>
        <v>0</v>
      </c>
      <c r="Q50" s="293">
        <f t="shared" si="9"/>
        <v>0</v>
      </c>
      <c r="R50" s="186"/>
    </row>
    <row r="51" spans="2:18" x14ac:dyDescent="0.25">
      <c r="B51" s="352">
        <f t="shared" si="8"/>
        <v>2017</v>
      </c>
      <c r="C51" s="293"/>
      <c r="D51" s="293"/>
      <c r="E51" s="293">
        <f t="shared" ref="E51:Q51" si="10">HLOOKUP($B51,$C$44:$Q$45,2,FALSE)*$C$32*(1-IF(ROUNDDOWN((E$44-$B51)/$D$32,0)&lt;1,0,IF(ROUNDDOWN((E$44-$B51)/$D$32,0)&lt;2,0.5,IF(ROUNDDOWN((E$44-$B51)/$D$32,0)&lt;3,0.75,IF(ROUNDDOWN((E$44-$B51)/$D$32,0)&lt;4,0.875,0.9375)))))+HLOOKUP($B51,$C$44:$Q$45,2,FALSE)*$C$33*(1-IF(ROUNDDOWN((E$44-$B51)/$D$33,0)&lt;1,0,IF(ROUNDDOWN((E$44-$B51)/$D$33,0)&lt;2,0.5,IF(ROUNDDOWN((E$44-$B51)/$D$33,0)&lt;3,0.75,IF(ROUNDDOWN((E$44-$B51)/$D$33,0)&lt;4,0.875,0.9375)))))+HLOOKUP($B51,$C$44:$Q$45,2,FALSE)*$C$34*(1-IF(ROUNDDOWN((E$44-$B51)/$D$34,0)&lt;1,0,IF(ROUNDDOWN((E$44-$B51)/$D$34,0)&lt;2,0.5,IF(ROUNDDOWN((E$44-$B51)/$D$34,0)&lt;3,0.75,IF(ROUNDDOWN((E$44-$B51)/$D$34,0)&lt;4,0.875,0.9375)))))+HLOOKUP($B51,$C$44:$Q$45,2,FALSE)*$C$35*(1-IF(ROUNDDOWN((E$44-$B51)/$D$35,0)&lt;1,0,IF(ROUNDDOWN((E$44-$B51)/$D$35,0)&lt;2,0.5,IF(ROUNDDOWN((E$44-$B51)/$D$35,0)&lt;3,0.75,IF(ROUNDDOWN((E$44-$B51)/$D$35,0)&lt;4,0.875,0.9375)))))+HLOOKUP($B51,$C$44:$Q$45,2,FALSE)*$C$36*(1-IF(ROUNDDOWN((E$44-$B51)/$D$36,0)&lt;1,0,IF(ROUNDDOWN((E$44-$B51)/$D$36,0)&lt;2,0.5,IF(ROUNDDOWN((E$44-$B51)/$D$36,0)&lt;3,0.75,IF(ROUNDDOWN((E$44-$B51)/$D$36,0)&lt;4,0.875,0.9375)))))+HLOOKUP($B51,$C$44:$Q$45,2,FALSE)*$C$37*(1-IF(ROUNDDOWN((E$44-$B51)/$D$37,0)&lt;1,0,IF(ROUNDDOWN((E$44-$B51)/$D$37,0)&lt;2,0.5,IF(ROUNDDOWN((E$44-$B51)/$D$37,0)&lt;3,0.75,IF(ROUNDDOWN((E$44-$B51)/$D$37,0)&lt;4,0.875,0.9375)))))</f>
        <v>0</v>
      </c>
      <c r="F51" s="293">
        <f t="shared" si="10"/>
        <v>0</v>
      </c>
      <c r="G51" s="293">
        <f t="shared" si="10"/>
        <v>0</v>
      </c>
      <c r="H51" s="293">
        <f t="shared" si="10"/>
        <v>0</v>
      </c>
      <c r="I51" s="293">
        <f t="shared" si="10"/>
        <v>0</v>
      </c>
      <c r="J51" s="293">
        <f t="shared" si="10"/>
        <v>0</v>
      </c>
      <c r="K51" s="293">
        <f t="shared" si="10"/>
        <v>0</v>
      </c>
      <c r="L51" s="293">
        <f t="shared" si="10"/>
        <v>0</v>
      </c>
      <c r="M51" s="293">
        <f t="shared" si="10"/>
        <v>0</v>
      </c>
      <c r="N51" s="293">
        <f t="shared" si="10"/>
        <v>0</v>
      </c>
      <c r="O51" s="293">
        <f t="shared" si="10"/>
        <v>0</v>
      </c>
      <c r="P51" s="293">
        <f t="shared" si="10"/>
        <v>0</v>
      </c>
      <c r="Q51" s="293">
        <f t="shared" si="10"/>
        <v>0</v>
      </c>
      <c r="R51" s="186"/>
    </row>
    <row r="52" spans="2:18" x14ac:dyDescent="0.25">
      <c r="B52" s="352">
        <f t="shared" si="8"/>
        <v>2018</v>
      </c>
      <c r="C52" s="293"/>
      <c r="D52" s="293"/>
      <c r="E52" s="293"/>
      <c r="F52" s="293">
        <f t="shared" ref="F52:Q52" si="11">HLOOKUP($B52,$C$44:$Q$45,2,FALSE)*$C$32*(1-IF(ROUNDDOWN((F$44-$B52)/$D$32,0)&lt;1,0,IF(ROUNDDOWN((F$44-$B52)/$D$32,0)&lt;2,0.5,IF(ROUNDDOWN((F$44-$B52)/$D$32,0)&lt;3,0.75,IF(ROUNDDOWN((F$44-$B52)/$D$32,0)&lt;4,0.875,0.9375)))))+HLOOKUP($B52,$C$44:$Q$45,2,FALSE)*$C$33*(1-IF(ROUNDDOWN((F$44-$B52)/$D$33,0)&lt;1,0,IF(ROUNDDOWN((F$44-$B52)/$D$33,0)&lt;2,0.5,IF(ROUNDDOWN((F$44-$B52)/$D$33,0)&lt;3,0.75,IF(ROUNDDOWN((F$44-$B52)/$D$33,0)&lt;4,0.875,0.9375)))))+HLOOKUP($B52,$C$44:$Q$45,2,FALSE)*$C$34*(1-IF(ROUNDDOWN((F$44-$B52)/$D$34,0)&lt;1,0,IF(ROUNDDOWN((F$44-$B52)/$D$34,0)&lt;2,0.5,IF(ROUNDDOWN((F$44-$B52)/$D$34,0)&lt;3,0.75,IF(ROUNDDOWN((F$44-$B52)/$D$34,0)&lt;4,0.875,0.9375)))))+HLOOKUP($B52,$C$44:$Q$45,2,FALSE)*$C$35*(1-IF(ROUNDDOWN((F$44-$B52)/$D$35,0)&lt;1,0,IF(ROUNDDOWN((F$44-$B52)/$D$35,0)&lt;2,0.5,IF(ROUNDDOWN((F$44-$B52)/$D$35,0)&lt;3,0.75,IF(ROUNDDOWN((F$44-$B52)/$D$35,0)&lt;4,0.875,0.9375)))))+HLOOKUP($B52,$C$44:$Q$45,2,FALSE)*$C$36*(1-IF(ROUNDDOWN((F$44-$B52)/$D$36,0)&lt;1,0,IF(ROUNDDOWN((F$44-$B52)/$D$36,0)&lt;2,0.5,IF(ROUNDDOWN((F$44-$B52)/$D$36,0)&lt;3,0.75,IF(ROUNDDOWN((F$44-$B52)/$D$36,0)&lt;4,0.875,0.9375)))))+HLOOKUP($B52,$C$44:$Q$45,2,FALSE)*$C$37*(1-IF(ROUNDDOWN((F$44-$B52)/$D$37,0)&lt;1,0,IF(ROUNDDOWN((F$44-$B52)/$D$37,0)&lt;2,0.5,IF(ROUNDDOWN((F$44-$B52)/$D$37,0)&lt;3,0.75,IF(ROUNDDOWN((F$44-$B52)/$D$37,0)&lt;4,0.875,0.9375)))))</f>
        <v>0</v>
      </c>
      <c r="G52" s="293">
        <f t="shared" si="11"/>
        <v>0</v>
      </c>
      <c r="H52" s="293">
        <f t="shared" si="11"/>
        <v>0</v>
      </c>
      <c r="I52" s="293">
        <f t="shared" si="11"/>
        <v>0</v>
      </c>
      <c r="J52" s="293">
        <f t="shared" si="11"/>
        <v>0</v>
      </c>
      <c r="K52" s="293">
        <f t="shared" si="11"/>
        <v>0</v>
      </c>
      <c r="L52" s="293">
        <f t="shared" si="11"/>
        <v>0</v>
      </c>
      <c r="M52" s="293">
        <f t="shared" si="11"/>
        <v>0</v>
      </c>
      <c r="N52" s="293">
        <f t="shared" si="11"/>
        <v>0</v>
      </c>
      <c r="O52" s="293">
        <f t="shared" si="11"/>
        <v>0</v>
      </c>
      <c r="P52" s="293">
        <f t="shared" si="11"/>
        <v>0</v>
      </c>
      <c r="Q52" s="293">
        <f t="shared" si="11"/>
        <v>0</v>
      </c>
      <c r="R52" s="186"/>
    </row>
    <row r="53" spans="2:18" x14ac:dyDescent="0.25">
      <c r="B53" s="352">
        <f t="shared" si="8"/>
        <v>2019</v>
      </c>
      <c r="C53" s="293"/>
      <c r="D53" s="293"/>
      <c r="E53" s="293"/>
      <c r="F53" s="293"/>
      <c r="G53" s="293">
        <f t="shared" ref="G53:Q53" si="12">HLOOKUP($B53,$C$44:$Q$45,2,FALSE)*$C$32*(1-IF(ROUNDDOWN((G$44-$B53)/$D$32,0)&lt;1,0,IF(ROUNDDOWN((G$44-$B53)/$D$32,0)&lt;2,0.5,IF(ROUNDDOWN((G$44-$B53)/$D$32,0)&lt;3,0.75,IF(ROUNDDOWN((G$44-$B53)/$D$32,0)&lt;4,0.875,0.9375)))))+HLOOKUP($B53,$C$44:$Q$45,2,FALSE)*$C$33*(1-IF(ROUNDDOWN((G$44-$B53)/$D$33,0)&lt;1,0,IF(ROUNDDOWN((G$44-$B53)/$D$33,0)&lt;2,0.5,IF(ROUNDDOWN((G$44-$B53)/$D$33,0)&lt;3,0.75,IF(ROUNDDOWN((G$44-$B53)/$D$33,0)&lt;4,0.875,0.9375)))))+HLOOKUP($B53,$C$44:$Q$45,2,FALSE)*$C$34*(1-IF(ROUNDDOWN((G$44-$B53)/$D$34,0)&lt;1,0,IF(ROUNDDOWN((G$44-$B53)/$D$34,0)&lt;2,0.5,IF(ROUNDDOWN((G$44-$B53)/$D$34,0)&lt;3,0.75,IF(ROUNDDOWN((G$44-$B53)/$D$34,0)&lt;4,0.875,0.9375)))))+HLOOKUP($B53,$C$44:$Q$45,2,FALSE)*$C$35*(1-IF(ROUNDDOWN((G$44-$B53)/$D$35,0)&lt;1,0,IF(ROUNDDOWN((G$44-$B53)/$D$35,0)&lt;2,0.5,IF(ROUNDDOWN((G$44-$B53)/$D$35,0)&lt;3,0.75,IF(ROUNDDOWN((G$44-$B53)/$D$35,0)&lt;4,0.875,0.9375)))))+HLOOKUP($B53,$C$44:$Q$45,2,FALSE)*$C$36*(1-IF(ROUNDDOWN((G$44-$B53)/$D$36,0)&lt;1,0,IF(ROUNDDOWN((G$44-$B53)/$D$36,0)&lt;2,0.5,IF(ROUNDDOWN((G$44-$B53)/$D$36,0)&lt;3,0.75,IF(ROUNDDOWN((G$44-$B53)/$D$36,0)&lt;4,0.875,0.9375)))))+HLOOKUP($B53,$C$44:$Q$45,2,FALSE)*$C$37*(1-IF(ROUNDDOWN((G$44-$B53)/$D$37,0)&lt;1,0,IF(ROUNDDOWN((G$44-$B53)/$D$37,0)&lt;2,0.5,IF(ROUNDDOWN((G$44-$B53)/$D$37,0)&lt;3,0.75,IF(ROUNDDOWN((G$44-$B53)/$D$37,0)&lt;4,0.875,0.9375)))))</f>
        <v>1.0361879999999999</v>
      </c>
      <c r="H53" s="293">
        <f t="shared" si="12"/>
        <v>1.0361879999999999</v>
      </c>
      <c r="I53" s="293">
        <f t="shared" si="12"/>
        <v>1.0361879999999999</v>
      </c>
      <c r="J53" s="293">
        <f t="shared" si="12"/>
        <v>0.991631916</v>
      </c>
      <c r="K53" s="293">
        <f t="shared" si="12"/>
        <v>0.991631916</v>
      </c>
      <c r="L53" s="293">
        <f t="shared" si="12"/>
        <v>0.991631916</v>
      </c>
      <c r="M53" s="293">
        <f t="shared" si="12"/>
        <v>0.96935387400000006</v>
      </c>
      <c r="N53" s="293">
        <f t="shared" si="12"/>
        <v>0.96935387400000006</v>
      </c>
      <c r="O53" s="293">
        <f t="shared" si="12"/>
        <v>0.92790635399999988</v>
      </c>
      <c r="P53" s="293">
        <f t="shared" si="12"/>
        <v>0.91676733299999991</v>
      </c>
      <c r="Q53" s="293">
        <f t="shared" si="12"/>
        <v>0.87531981299999984</v>
      </c>
      <c r="R53" s="186"/>
    </row>
    <row r="54" spans="2:18" x14ac:dyDescent="0.25">
      <c r="B54" s="352">
        <f t="shared" si="8"/>
        <v>2020</v>
      </c>
      <c r="C54" s="293"/>
      <c r="D54" s="293"/>
      <c r="E54" s="293"/>
      <c r="F54" s="293"/>
      <c r="G54" s="293"/>
      <c r="H54" s="293">
        <f t="shared" ref="H54:Q54" si="13">HLOOKUP($B54,$C$44:$Q$45,2,FALSE)*$C$32*(1-IF(ROUNDDOWN((H$44-$B54)/$D$32,0)&lt;1,0,IF(ROUNDDOWN((H$44-$B54)/$D$32,0)&lt;2,0.5,IF(ROUNDDOWN((H$44-$B54)/$D$32,0)&lt;3,0.75,IF(ROUNDDOWN((H$44-$B54)/$D$32,0)&lt;4,0.875,0.9375)))))+HLOOKUP($B54,$C$44:$Q$45,2,FALSE)*$C$33*(1-IF(ROUNDDOWN((H$44-$B54)/$D$33,0)&lt;1,0,IF(ROUNDDOWN((H$44-$B54)/$D$33,0)&lt;2,0.5,IF(ROUNDDOWN((H$44-$B54)/$D$33,0)&lt;3,0.75,IF(ROUNDDOWN((H$44-$B54)/$D$33,0)&lt;4,0.875,0.9375)))))+HLOOKUP($B54,$C$44:$Q$45,2,FALSE)*$C$34*(1-IF(ROUNDDOWN((H$44-$B54)/$D$34,0)&lt;1,0,IF(ROUNDDOWN((H$44-$B54)/$D$34,0)&lt;2,0.5,IF(ROUNDDOWN((H$44-$B54)/$D$34,0)&lt;3,0.75,IF(ROUNDDOWN((H$44-$B54)/$D$34,0)&lt;4,0.875,0.9375)))))+HLOOKUP($B54,$C$44:$Q$45,2,FALSE)*$C$35*(1-IF(ROUNDDOWN((H$44-$B54)/$D$35,0)&lt;1,0,IF(ROUNDDOWN((H$44-$B54)/$D$35,0)&lt;2,0.5,IF(ROUNDDOWN((H$44-$B54)/$D$35,0)&lt;3,0.75,IF(ROUNDDOWN((H$44-$B54)/$D$35,0)&lt;4,0.875,0.9375)))))+HLOOKUP($B54,$C$44:$Q$45,2,FALSE)*$C$36*(1-IF(ROUNDDOWN((H$44-$B54)/$D$36,0)&lt;1,0,IF(ROUNDDOWN((H$44-$B54)/$D$36,0)&lt;2,0.5,IF(ROUNDDOWN((H$44-$B54)/$D$36,0)&lt;3,0.75,IF(ROUNDDOWN((H$44-$B54)/$D$36,0)&lt;4,0.875,0.9375)))))+HLOOKUP($B54,$C$44:$Q$45,2,FALSE)*$C$37*(1-IF(ROUNDDOWN((H$44-$B54)/$D$37,0)&lt;1,0,IF(ROUNDDOWN((H$44-$B54)/$D$37,0)&lt;2,0.5,IF(ROUNDDOWN((H$44-$B54)/$D$37,0)&lt;3,0.75,IF(ROUNDDOWN((H$44-$B54)/$D$37,0)&lt;4,0.875,0.9375)))))</f>
        <v>1.0361879999999999</v>
      </c>
      <c r="I54" s="293">
        <f t="shared" si="13"/>
        <v>1.0361879999999999</v>
      </c>
      <c r="J54" s="293">
        <f t="shared" si="13"/>
        <v>1.0361879999999999</v>
      </c>
      <c r="K54" s="293">
        <f t="shared" si="13"/>
        <v>0.991631916</v>
      </c>
      <c r="L54" s="293">
        <f t="shared" si="13"/>
        <v>0.991631916</v>
      </c>
      <c r="M54" s="293">
        <f t="shared" si="13"/>
        <v>0.991631916</v>
      </c>
      <c r="N54" s="293">
        <f t="shared" si="13"/>
        <v>0.96935387400000006</v>
      </c>
      <c r="O54" s="293">
        <f t="shared" si="13"/>
        <v>0.96935387400000006</v>
      </c>
      <c r="P54" s="293">
        <f t="shared" si="13"/>
        <v>0.92790635399999988</v>
      </c>
      <c r="Q54" s="293">
        <f t="shared" si="13"/>
        <v>0.91676733299999991</v>
      </c>
      <c r="R54" s="186"/>
    </row>
    <row r="55" spans="2:18" x14ac:dyDescent="0.25">
      <c r="B55" s="352">
        <f t="shared" si="8"/>
        <v>2021</v>
      </c>
      <c r="C55" s="293"/>
      <c r="D55" s="293"/>
      <c r="E55" s="293"/>
      <c r="F55" s="293"/>
      <c r="G55" s="293"/>
      <c r="H55" s="293"/>
      <c r="I55" s="293">
        <f t="shared" ref="I55:Q55" si="14">HLOOKUP($B55,$C$44:$Q$45,2,FALSE)*$C$32*(1-IF(ROUNDDOWN((I$44-$B55)/$D$32,0)&lt;1,0,IF(ROUNDDOWN((I$44-$B55)/$D$32,0)&lt;2,0.5,IF(ROUNDDOWN((I$44-$B55)/$D$32,0)&lt;3,0.75,IF(ROUNDDOWN((I$44-$B55)/$D$32,0)&lt;4,0.875,0.9375)))))+HLOOKUP($B55,$C$44:$Q$45,2,FALSE)*$C$33*(1-IF(ROUNDDOWN((I$44-$B55)/$D$33,0)&lt;1,0,IF(ROUNDDOWN((I$44-$B55)/$D$33,0)&lt;2,0.5,IF(ROUNDDOWN((I$44-$B55)/$D$33,0)&lt;3,0.75,IF(ROUNDDOWN((I$44-$B55)/$D$33,0)&lt;4,0.875,0.9375)))))+HLOOKUP($B55,$C$44:$Q$45,2,FALSE)*$C$34*(1-IF(ROUNDDOWN((I$44-$B55)/$D$34,0)&lt;1,0,IF(ROUNDDOWN((I$44-$B55)/$D$34,0)&lt;2,0.5,IF(ROUNDDOWN((I$44-$B55)/$D$34,0)&lt;3,0.75,IF(ROUNDDOWN((I$44-$B55)/$D$34,0)&lt;4,0.875,0.9375)))))+HLOOKUP($B55,$C$44:$Q$45,2,FALSE)*$C$35*(1-IF(ROUNDDOWN((I$44-$B55)/$D$35,0)&lt;1,0,IF(ROUNDDOWN((I$44-$B55)/$D$35,0)&lt;2,0.5,IF(ROUNDDOWN((I$44-$B55)/$D$35,0)&lt;3,0.75,IF(ROUNDDOWN((I$44-$B55)/$D$35,0)&lt;4,0.875,0.9375)))))+HLOOKUP($B55,$C$44:$Q$45,2,FALSE)*$C$36*(1-IF(ROUNDDOWN((I$44-$B55)/$D$36,0)&lt;1,0,IF(ROUNDDOWN((I$44-$B55)/$D$36,0)&lt;2,0.5,IF(ROUNDDOWN((I$44-$B55)/$D$36,0)&lt;3,0.75,IF(ROUNDDOWN((I$44-$B55)/$D$36,0)&lt;4,0.875,0.9375)))))+HLOOKUP($B55,$C$44:$Q$45,2,FALSE)*$C$37*(1-IF(ROUNDDOWN((I$44-$B55)/$D$37,0)&lt;1,0,IF(ROUNDDOWN((I$44-$B55)/$D$37,0)&lt;2,0.5,IF(ROUNDDOWN((I$44-$B55)/$D$37,0)&lt;3,0.75,IF(ROUNDDOWN((I$44-$B55)/$D$37,0)&lt;4,0.875,0.9375)))))</f>
        <v>1.0361879999999999</v>
      </c>
      <c r="J55" s="293">
        <f t="shared" si="14"/>
        <v>1.0361879999999999</v>
      </c>
      <c r="K55" s="293">
        <f t="shared" si="14"/>
        <v>1.0361879999999999</v>
      </c>
      <c r="L55" s="293">
        <f t="shared" si="14"/>
        <v>0.991631916</v>
      </c>
      <c r="M55" s="293">
        <f t="shared" si="14"/>
        <v>0.991631916</v>
      </c>
      <c r="N55" s="293">
        <f t="shared" si="14"/>
        <v>0.991631916</v>
      </c>
      <c r="O55" s="293">
        <f t="shared" si="14"/>
        <v>0.96935387400000006</v>
      </c>
      <c r="P55" s="293">
        <f t="shared" si="14"/>
        <v>0.96935387400000006</v>
      </c>
      <c r="Q55" s="293">
        <f t="shared" si="14"/>
        <v>0.92790635399999988</v>
      </c>
      <c r="R55" s="186"/>
    </row>
    <row r="56" spans="2:18" x14ac:dyDescent="0.25">
      <c r="B56" s="352">
        <f t="shared" si="8"/>
        <v>2022</v>
      </c>
      <c r="C56" s="293"/>
      <c r="D56" s="293"/>
      <c r="E56" s="293"/>
      <c r="F56" s="293"/>
      <c r="G56" s="293"/>
      <c r="H56" s="293"/>
      <c r="I56" s="293"/>
      <c r="J56" s="293">
        <f t="shared" ref="J56:Q56" si="15">HLOOKUP($B56,$C$44:$Q$45,2,FALSE)*$C$32*(1-IF(ROUNDDOWN((J$44-$B56)/$D$32,0)&lt;1,0,IF(ROUNDDOWN((J$44-$B56)/$D$32,0)&lt;2,0.5,IF(ROUNDDOWN((J$44-$B56)/$D$32,0)&lt;3,0.75,IF(ROUNDDOWN((J$44-$B56)/$D$32,0)&lt;4,0.875,0.9375)))))+HLOOKUP($B56,$C$44:$Q$45,2,FALSE)*$C$33*(1-IF(ROUNDDOWN((J$44-$B56)/$D$33,0)&lt;1,0,IF(ROUNDDOWN((J$44-$B56)/$D$33,0)&lt;2,0.5,IF(ROUNDDOWN((J$44-$B56)/$D$33,0)&lt;3,0.75,IF(ROUNDDOWN((J$44-$B56)/$D$33,0)&lt;4,0.875,0.9375)))))+HLOOKUP($B56,$C$44:$Q$45,2,FALSE)*$C$34*(1-IF(ROUNDDOWN((J$44-$B56)/$D$34,0)&lt;1,0,IF(ROUNDDOWN((J$44-$B56)/$D$34,0)&lt;2,0.5,IF(ROUNDDOWN((J$44-$B56)/$D$34,0)&lt;3,0.75,IF(ROUNDDOWN((J$44-$B56)/$D$34,0)&lt;4,0.875,0.9375)))))+HLOOKUP($B56,$C$44:$Q$45,2,FALSE)*$C$35*(1-IF(ROUNDDOWN((J$44-$B56)/$D$35,0)&lt;1,0,IF(ROUNDDOWN((J$44-$B56)/$D$35,0)&lt;2,0.5,IF(ROUNDDOWN((J$44-$B56)/$D$35,0)&lt;3,0.75,IF(ROUNDDOWN((J$44-$B56)/$D$35,0)&lt;4,0.875,0.9375)))))+HLOOKUP($B56,$C$44:$Q$45,2,FALSE)*$C$36*(1-IF(ROUNDDOWN((J$44-$B56)/$D$36,0)&lt;1,0,IF(ROUNDDOWN((J$44-$B56)/$D$36,0)&lt;2,0.5,IF(ROUNDDOWN((J$44-$B56)/$D$36,0)&lt;3,0.75,IF(ROUNDDOWN((J$44-$B56)/$D$36,0)&lt;4,0.875,0.9375)))))+HLOOKUP($B56,$C$44:$Q$45,2,FALSE)*$C$37*(1-IF(ROUNDDOWN((J$44-$B56)/$D$37,0)&lt;1,0,IF(ROUNDDOWN((J$44-$B56)/$D$37,0)&lt;2,0.5,IF(ROUNDDOWN((J$44-$B56)/$D$37,0)&lt;3,0.75,IF(ROUNDDOWN((J$44-$B56)/$D$37,0)&lt;4,0.875,0.9375)))))</f>
        <v>1.0361879999999999</v>
      </c>
      <c r="K56" s="293">
        <f t="shared" si="15"/>
        <v>1.0361879999999999</v>
      </c>
      <c r="L56" s="293">
        <f t="shared" si="15"/>
        <v>1.0361879999999999</v>
      </c>
      <c r="M56" s="293">
        <f t="shared" si="15"/>
        <v>0.991631916</v>
      </c>
      <c r="N56" s="293">
        <f t="shared" si="15"/>
        <v>0.991631916</v>
      </c>
      <c r="O56" s="293">
        <f t="shared" si="15"/>
        <v>0.991631916</v>
      </c>
      <c r="P56" s="293">
        <f t="shared" si="15"/>
        <v>0.96935387400000006</v>
      </c>
      <c r="Q56" s="293">
        <f t="shared" si="15"/>
        <v>0.96935387400000006</v>
      </c>
      <c r="R56" s="186"/>
    </row>
    <row r="57" spans="2:18" x14ac:dyDescent="0.25">
      <c r="B57" s="352">
        <f t="shared" si="8"/>
        <v>2023</v>
      </c>
      <c r="C57" s="293"/>
      <c r="D57" s="293"/>
      <c r="E57" s="293"/>
      <c r="F57" s="293"/>
      <c r="G57" s="293"/>
      <c r="H57" s="293"/>
      <c r="I57" s="293"/>
      <c r="J57" s="293"/>
      <c r="K57" s="293">
        <f t="shared" ref="K57:Q57" si="16">HLOOKUP($B57,$C$44:$Q$45,2,FALSE)*$C$32*(1-IF(ROUNDDOWN((K$44-$B57)/$D$32,0)&lt;1,0,IF(ROUNDDOWN((K$44-$B57)/$D$32,0)&lt;2,0.5,IF(ROUNDDOWN((K$44-$B57)/$D$32,0)&lt;3,0.75,IF(ROUNDDOWN((K$44-$B57)/$D$32,0)&lt;4,0.875,0.9375)))))+HLOOKUP($B57,$C$44:$Q$45,2,FALSE)*$C$33*(1-IF(ROUNDDOWN((K$44-$B57)/$D$33,0)&lt;1,0,IF(ROUNDDOWN((K$44-$B57)/$D$33,0)&lt;2,0.5,IF(ROUNDDOWN((K$44-$B57)/$D$33,0)&lt;3,0.75,IF(ROUNDDOWN((K$44-$B57)/$D$33,0)&lt;4,0.875,0.9375)))))+HLOOKUP($B57,$C$44:$Q$45,2,FALSE)*$C$34*(1-IF(ROUNDDOWN((K$44-$B57)/$D$34,0)&lt;1,0,IF(ROUNDDOWN((K$44-$B57)/$D$34,0)&lt;2,0.5,IF(ROUNDDOWN((K$44-$B57)/$D$34,0)&lt;3,0.75,IF(ROUNDDOWN((K$44-$B57)/$D$34,0)&lt;4,0.875,0.9375)))))+HLOOKUP($B57,$C$44:$Q$45,2,FALSE)*$C$35*(1-IF(ROUNDDOWN((K$44-$B57)/$D$35,0)&lt;1,0,IF(ROUNDDOWN((K$44-$B57)/$D$35,0)&lt;2,0.5,IF(ROUNDDOWN((K$44-$B57)/$D$35,0)&lt;3,0.75,IF(ROUNDDOWN((K$44-$B57)/$D$35,0)&lt;4,0.875,0.9375)))))+HLOOKUP($B57,$C$44:$Q$45,2,FALSE)*$C$36*(1-IF(ROUNDDOWN((K$44-$B57)/$D$36,0)&lt;1,0,IF(ROUNDDOWN((K$44-$B57)/$D$36,0)&lt;2,0.5,IF(ROUNDDOWN((K$44-$B57)/$D$36,0)&lt;3,0.75,IF(ROUNDDOWN((K$44-$B57)/$D$36,0)&lt;4,0.875,0.9375)))))+HLOOKUP($B57,$C$44:$Q$45,2,FALSE)*$C$37*(1-IF(ROUNDDOWN((K$44-$B57)/$D$37,0)&lt;1,0,IF(ROUNDDOWN((K$44-$B57)/$D$37,0)&lt;2,0.5,IF(ROUNDDOWN((K$44-$B57)/$D$37,0)&lt;3,0.75,IF(ROUNDDOWN((K$44-$B57)/$D$37,0)&lt;4,0.875,0.9375)))))</f>
        <v>1.0361879999999999</v>
      </c>
      <c r="L57" s="293">
        <f t="shared" si="16"/>
        <v>1.0361879999999999</v>
      </c>
      <c r="M57" s="293">
        <f t="shared" si="16"/>
        <v>1.0361879999999999</v>
      </c>
      <c r="N57" s="293">
        <f t="shared" si="16"/>
        <v>0.991631916</v>
      </c>
      <c r="O57" s="293">
        <f t="shared" si="16"/>
        <v>0.991631916</v>
      </c>
      <c r="P57" s="293">
        <f t="shared" si="16"/>
        <v>0.991631916</v>
      </c>
      <c r="Q57" s="293">
        <f t="shared" si="16"/>
        <v>0.96935387400000006</v>
      </c>
      <c r="R57" s="186"/>
    </row>
    <row r="58" spans="2:18" x14ac:dyDescent="0.25">
      <c r="B58" s="352">
        <f t="shared" si="8"/>
        <v>2024</v>
      </c>
      <c r="C58" s="293"/>
      <c r="D58" s="293"/>
      <c r="E58" s="293"/>
      <c r="F58" s="293"/>
      <c r="G58" s="293"/>
      <c r="H58" s="293"/>
      <c r="I58" s="293"/>
      <c r="J58" s="293"/>
      <c r="K58" s="293"/>
      <c r="L58" s="293">
        <f t="shared" ref="L58:Q58" si="17">HLOOKUP($B58,$C$44:$Q$45,2,FALSE)*$C$32*(1-IF(ROUNDDOWN((L$44-$B58)/$D$32,0)&lt;1,0,IF(ROUNDDOWN((L$44-$B58)/$D$32,0)&lt;2,0.5,IF(ROUNDDOWN((L$44-$B58)/$D$32,0)&lt;3,0.75,IF(ROUNDDOWN((L$44-$B58)/$D$32,0)&lt;4,0.875,0.9375)))))+HLOOKUP($B58,$C$44:$Q$45,2,FALSE)*$C$33*(1-IF(ROUNDDOWN((L$44-$B58)/$D$33,0)&lt;1,0,IF(ROUNDDOWN((L$44-$B58)/$D$33,0)&lt;2,0.5,IF(ROUNDDOWN((L$44-$B58)/$D$33,0)&lt;3,0.75,IF(ROUNDDOWN((L$44-$B58)/$D$33,0)&lt;4,0.875,0.9375)))))+HLOOKUP($B58,$C$44:$Q$45,2,FALSE)*$C$34*(1-IF(ROUNDDOWN((L$44-$B58)/$D$34,0)&lt;1,0,IF(ROUNDDOWN((L$44-$B58)/$D$34,0)&lt;2,0.5,IF(ROUNDDOWN((L$44-$B58)/$D$34,0)&lt;3,0.75,IF(ROUNDDOWN((L$44-$B58)/$D$34,0)&lt;4,0.875,0.9375)))))+HLOOKUP($B58,$C$44:$Q$45,2,FALSE)*$C$35*(1-IF(ROUNDDOWN((L$44-$B58)/$D$35,0)&lt;1,0,IF(ROUNDDOWN((L$44-$B58)/$D$35,0)&lt;2,0.5,IF(ROUNDDOWN((L$44-$B58)/$D$35,0)&lt;3,0.75,IF(ROUNDDOWN((L$44-$B58)/$D$35,0)&lt;4,0.875,0.9375)))))+HLOOKUP($B58,$C$44:$Q$45,2,FALSE)*$C$36*(1-IF(ROUNDDOWN((L$44-$B58)/$D$36,0)&lt;1,0,IF(ROUNDDOWN((L$44-$B58)/$D$36,0)&lt;2,0.5,IF(ROUNDDOWN((L$44-$B58)/$D$36,0)&lt;3,0.75,IF(ROUNDDOWN((L$44-$B58)/$D$36,0)&lt;4,0.875,0.9375)))))+HLOOKUP($B58,$C$44:$Q$45,2,FALSE)*$C$37*(1-IF(ROUNDDOWN((L$44-$B58)/$D$37,0)&lt;1,0,IF(ROUNDDOWN((L$44-$B58)/$D$37,0)&lt;2,0.5,IF(ROUNDDOWN((L$44-$B58)/$D$37,0)&lt;3,0.75,IF(ROUNDDOWN((L$44-$B58)/$D$37,0)&lt;4,0.875,0.9375)))))</f>
        <v>1.0361879999999999</v>
      </c>
      <c r="M58" s="293">
        <f t="shared" si="17"/>
        <v>1.0361879999999999</v>
      </c>
      <c r="N58" s="293">
        <f t="shared" si="17"/>
        <v>1.0361879999999999</v>
      </c>
      <c r="O58" s="293">
        <f t="shared" si="17"/>
        <v>0.991631916</v>
      </c>
      <c r="P58" s="293">
        <f t="shared" si="17"/>
        <v>0.991631916</v>
      </c>
      <c r="Q58" s="293">
        <f t="shared" si="17"/>
        <v>0.991631916</v>
      </c>
      <c r="R58" s="186"/>
    </row>
    <row r="59" spans="2:18" x14ac:dyDescent="0.25">
      <c r="B59" s="352">
        <f t="shared" si="8"/>
        <v>2025</v>
      </c>
      <c r="C59" s="293"/>
      <c r="D59" s="293"/>
      <c r="E59" s="293"/>
      <c r="F59" s="293"/>
      <c r="G59" s="293"/>
      <c r="H59" s="293"/>
      <c r="I59" s="293"/>
      <c r="J59" s="293"/>
      <c r="K59" s="293"/>
      <c r="L59" s="293"/>
      <c r="M59" s="293">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1.0361879999999999</v>
      </c>
      <c r="N59" s="293">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1.0361879999999999</v>
      </c>
      <c r="O59" s="293">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1.0361879999999999</v>
      </c>
      <c r="P59" s="293">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0.991631916</v>
      </c>
      <c r="Q59" s="293">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0.991631916</v>
      </c>
      <c r="R59" s="186"/>
    </row>
    <row r="60" spans="2:18" x14ac:dyDescent="0.25">
      <c r="B60" s="352">
        <f t="shared" si="8"/>
        <v>2026</v>
      </c>
      <c r="C60" s="293"/>
      <c r="D60" s="293"/>
      <c r="E60" s="293"/>
      <c r="F60" s="293"/>
      <c r="G60" s="293"/>
      <c r="H60" s="293"/>
      <c r="I60" s="293"/>
      <c r="J60" s="293"/>
      <c r="K60" s="293"/>
      <c r="L60" s="293"/>
      <c r="M60" s="293"/>
      <c r="N60" s="293">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1.0361879999999999</v>
      </c>
      <c r="O60" s="293">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1.0361879999999999</v>
      </c>
      <c r="P60" s="293">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1.0361879999999999</v>
      </c>
      <c r="Q60" s="293">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0.991631916</v>
      </c>
      <c r="R60" s="186"/>
    </row>
    <row r="61" spans="2:18" x14ac:dyDescent="0.25">
      <c r="B61" s="352">
        <f t="shared" si="8"/>
        <v>2027</v>
      </c>
      <c r="C61" s="293"/>
      <c r="D61" s="293"/>
      <c r="E61" s="293"/>
      <c r="F61" s="293"/>
      <c r="G61" s="293"/>
      <c r="H61" s="293"/>
      <c r="I61" s="293"/>
      <c r="J61" s="293"/>
      <c r="K61" s="293"/>
      <c r="L61" s="293"/>
      <c r="M61" s="293"/>
      <c r="N61" s="293"/>
      <c r="O61" s="293">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1.0361879999999999</v>
      </c>
      <c r="P61" s="293">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1.0361879999999999</v>
      </c>
      <c r="Q61" s="293">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1.0361879999999999</v>
      </c>
      <c r="R61" s="186"/>
    </row>
    <row r="62" spans="2:18" x14ac:dyDescent="0.25">
      <c r="B62" s="352">
        <f t="shared" si="8"/>
        <v>2028</v>
      </c>
      <c r="C62" s="293"/>
      <c r="D62" s="293"/>
      <c r="E62" s="293"/>
      <c r="F62" s="293"/>
      <c r="G62" s="293"/>
      <c r="H62" s="293"/>
      <c r="I62" s="293"/>
      <c r="J62" s="293"/>
      <c r="K62" s="293"/>
      <c r="L62" s="293"/>
      <c r="M62" s="293"/>
      <c r="N62" s="293"/>
      <c r="O62" s="293"/>
      <c r="P62" s="293">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1.0361879999999999</v>
      </c>
      <c r="Q62" s="293">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1.0361879999999999</v>
      </c>
      <c r="R62" s="186"/>
    </row>
    <row r="63" spans="2:18" x14ac:dyDescent="0.25">
      <c r="B63" s="352">
        <f t="shared" si="8"/>
        <v>2029</v>
      </c>
      <c r="C63" s="293"/>
      <c r="D63" s="293"/>
      <c r="E63" s="293"/>
      <c r="F63" s="293"/>
      <c r="G63" s="293"/>
      <c r="H63" s="293"/>
      <c r="I63" s="293"/>
      <c r="J63" s="293"/>
      <c r="K63" s="293"/>
      <c r="L63" s="293"/>
      <c r="M63" s="293"/>
      <c r="N63" s="293"/>
      <c r="O63" s="293"/>
      <c r="P63" s="293"/>
      <c r="Q63" s="293">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1.0361879999999999</v>
      </c>
      <c r="R63" s="186"/>
    </row>
    <row r="64" spans="2:18" x14ac:dyDescent="0.25">
      <c r="B64" s="352">
        <f t="shared" si="8"/>
        <v>2030</v>
      </c>
      <c r="C64" s="293"/>
      <c r="D64" s="293"/>
      <c r="E64" s="293"/>
      <c r="F64" s="293"/>
      <c r="G64" s="293"/>
      <c r="H64" s="293"/>
      <c r="I64" s="293"/>
      <c r="J64" s="293"/>
      <c r="K64" s="293"/>
      <c r="L64" s="293"/>
      <c r="M64" s="293"/>
      <c r="N64" s="293"/>
      <c r="O64" s="293"/>
      <c r="P64" s="293"/>
      <c r="Q64" s="293"/>
      <c r="R64" s="186"/>
    </row>
    <row r="65" spans="2:18" x14ac:dyDescent="0.25">
      <c r="B65" s="187"/>
      <c r="C65" s="354"/>
      <c r="D65" s="354"/>
      <c r="E65" s="354"/>
      <c r="F65" s="354"/>
      <c r="G65" s="354"/>
      <c r="H65" s="354"/>
      <c r="I65" s="354"/>
      <c r="J65" s="354"/>
      <c r="K65" s="354"/>
      <c r="L65" s="354"/>
      <c r="M65" s="354"/>
      <c r="N65" s="354"/>
      <c r="O65" s="354"/>
      <c r="P65" s="354"/>
      <c r="Q65" s="354"/>
      <c r="R65" s="186"/>
    </row>
    <row r="66" spans="2:18" x14ac:dyDescent="0.25">
      <c r="B66" s="355" t="s">
        <v>1652</v>
      </c>
      <c r="C66" s="356">
        <f t="shared" ref="C66:Q66" si="18">SUM(C49:C64)</f>
        <v>0</v>
      </c>
      <c r="D66" s="356">
        <f t="shared" si="18"/>
        <v>0</v>
      </c>
      <c r="E66" s="356">
        <f t="shared" si="18"/>
        <v>0</v>
      </c>
      <c r="F66" s="356">
        <f t="shared" si="18"/>
        <v>0</v>
      </c>
      <c r="G66" s="356">
        <f>SUM(G49:G64)</f>
        <v>1.0361879999999999</v>
      </c>
      <c r="H66" s="356">
        <f t="shared" si="18"/>
        <v>2.0723759999999998</v>
      </c>
      <c r="I66" s="356">
        <f t="shared" si="18"/>
        <v>3.1085639999999994</v>
      </c>
      <c r="J66" s="356">
        <f t="shared" si="18"/>
        <v>4.1001959159999997</v>
      </c>
      <c r="K66" s="356">
        <f t="shared" si="18"/>
        <v>5.0918278319999999</v>
      </c>
      <c r="L66" s="356">
        <f t="shared" si="18"/>
        <v>6.0834597480000001</v>
      </c>
      <c r="M66" s="356">
        <f t="shared" si="18"/>
        <v>7.0528136220000004</v>
      </c>
      <c r="N66" s="356">
        <f t="shared" si="18"/>
        <v>8.0221674959999998</v>
      </c>
      <c r="O66" s="356">
        <f t="shared" si="18"/>
        <v>8.9500738500000008</v>
      </c>
      <c r="P66" s="356">
        <f t="shared" si="18"/>
        <v>9.866841183</v>
      </c>
      <c r="Q66" s="356">
        <f t="shared" si="18"/>
        <v>10.742160995999999</v>
      </c>
      <c r="R66" s="186"/>
    </row>
    <row r="67" spans="2:18" x14ac:dyDescent="0.25">
      <c r="B67" s="187"/>
      <c r="C67" s="3"/>
      <c r="D67" s="3"/>
      <c r="E67" s="3"/>
      <c r="F67" s="3"/>
      <c r="G67" s="3"/>
      <c r="H67" s="3"/>
      <c r="I67" s="3"/>
      <c r="J67" s="3"/>
      <c r="K67" s="3"/>
      <c r="L67" s="3"/>
      <c r="M67" s="3"/>
      <c r="N67" s="3"/>
      <c r="O67" s="3"/>
      <c r="P67" s="3"/>
      <c r="Q67" s="3"/>
      <c r="R67" s="186"/>
    </row>
    <row r="68" spans="2:18" x14ac:dyDescent="0.25">
      <c r="B68" s="187"/>
      <c r="C68" s="3"/>
      <c r="D68" s="3"/>
      <c r="E68" s="3"/>
      <c r="F68" s="3"/>
      <c r="G68" s="3"/>
      <c r="H68" s="3"/>
      <c r="I68" s="3"/>
      <c r="J68" s="3"/>
      <c r="K68" s="3"/>
      <c r="L68" s="3"/>
      <c r="M68" s="3"/>
      <c r="N68" s="3"/>
      <c r="O68" s="3"/>
      <c r="P68" s="3"/>
      <c r="Q68" s="3"/>
      <c r="R68" s="186"/>
    </row>
    <row r="69" spans="2:18" x14ac:dyDescent="0.25">
      <c r="B69" s="187" t="s">
        <v>1647</v>
      </c>
      <c r="C69" s="3" t="s">
        <v>1653</v>
      </c>
      <c r="D69" s="3"/>
      <c r="E69" s="3"/>
      <c r="F69" s="3"/>
      <c r="G69" s="3"/>
      <c r="H69" s="3"/>
      <c r="I69" s="3"/>
      <c r="J69" s="3"/>
      <c r="K69" s="3"/>
      <c r="L69" s="3"/>
      <c r="M69" s="3"/>
      <c r="N69" s="3"/>
      <c r="O69" s="3"/>
      <c r="P69" s="3"/>
      <c r="Q69" s="3"/>
      <c r="R69" s="186"/>
    </row>
    <row r="70" spans="2:18" x14ac:dyDescent="0.25">
      <c r="B70" s="187"/>
      <c r="C70" s="287">
        <f t="shared" ref="C70:Q70" si="19">C73</f>
        <v>2015</v>
      </c>
      <c r="D70" s="287">
        <f t="shared" si="19"/>
        <v>2016</v>
      </c>
      <c r="E70" s="287">
        <f t="shared" si="19"/>
        <v>2017</v>
      </c>
      <c r="F70" s="287">
        <f t="shared" si="19"/>
        <v>2018</v>
      </c>
      <c r="G70" s="287">
        <f t="shared" si="19"/>
        <v>2019</v>
      </c>
      <c r="H70" s="287">
        <f t="shared" si="19"/>
        <v>2020</v>
      </c>
      <c r="I70" s="287">
        <f t="shared" si="19"/>
        <v>2021</v>
      </c>
      <c r="J70" s="287">
        <f t="shared" si="19"/>
        <v>2022</v>
      </c>
      <c r="K70" s="287">
        <f t="shared" si="19"/>
        <v>2023</v>
      </c>
      <c r="L70" s="287">
        <f t="shared" si="19"/>
        <v>2024</v>
      </c>
      <c r="M70" s="287">
        <f t="shared" si="19"/>
        <v>2025</v>
      </c>
      <c r="N70" s="287">
        <f t="shared" si="19"/>
        <v>2026</v>
      </c>
      <c r="O70" s="287">
        <f t="shared" si="19"/>
        <v>2027</v>
      </c>
      <c r="P70" s="287">
        <f t="shared" si="19"/>
        <v>2028</v>
      </c>
      <c r="Q70" s="287">
        <f t="shared" si="19"/>
        <v>2029</v>
      </c>
      <c r="R70" s="186"/>
    </row>
    <row r="71" spans="2:18" x14ac:dyDescent="0.25">
      <c r="B71" s="187"/>
      <c r="C71" s="291">
        <f>C26</f>
        <v>0</v>
      </c>
      <c r="D71" s="291">
        <f t="shared" ref="D71:Q71" si="20">D26</f>
        <v>0</v>
      </c>
      <c r="E71" s="291">
        <f t="shared" si="20"/>
        <v>0</v>
      </c>
      <c r="F71" s="291">
        <f t="shared" si="20"/>
        <v>0</v>
      </c>
      <c r="G71" s="291">
        <f t="shared" si="20"/>
        <v>5.7732168000000006E-3</v>
      </c>
      <c r="H71" s="291">
        <f t="shared" si="20"/>
        <v>5.7732168000000006E-3</v>
      </c>
      <c r="I71" s="291">
        <f t="shared" si="20"/>
        <v>5.7732168000000006E-3</v>
      </c>
      <c r="J71" s="291">
        <f t="shared" si="20"/>
        <v>5.7732168000000006E-3</v>
      </c>
      <c r="K71" s="291">
        <f t="shared" si="20"/>
        <v>5.7732168000000006E-3</v>
      </c>
      <c r="L71" s="291">
        <f t="shared" si="20"/>
        <v>5.7732168000000006E-3</v>
      </c>
      <c r="M71" s="291">
        <f t="shared" si="20"/>
        <v>5.7732168000000006E-3</v>
      </c>
      <c r="N71" s="291">
        <f t="shared" si="20"/>
        <v>5.7732168000000006E-3</v>
      </c>
      <c r="O71" s="291">
        <f t="shared" si="20"/>
        <v>5.7732168000000006E-3</v>
      </c>
      <c r="P71" s="291">
        <f t="shared" si="20"/>
        <v>5.7732168000000006E-3</v>
      </c>
      <c r="Q71" s="291">
        <f t="shared" si="20"/>
        <v>5.7732168000000006E-3</v>
      </c>
      <c r="R71" s="186"/>
    </row>
    <row r="72" spans="2:18" x14ac:dyDescent="0.25">
      <c r="B72" s="187"/>
      <c r="C72" s="3"/>
      <c r="D72" s="3"/>
      <c r="E72" s="3"/>
      <c r="F72" s="3"/>
      <c r="G72" s="3"/>
      <c r="H72" s="3"/>
      <c r="I72" s="3"/>
      <c r="J72" s="3"/>
      <c r="K72" s="3"/>
      <c r="L72" s="3"/>
      <c r="M72" s="3"/>
      <c r="N72" s="3"/>
      <c r="O72" s="3"/>
      <c r="P72" s="3"/>
      <c r="Q72" s="3"/>
      <c r="R72" s="186"/>
    </row>
    <row r="73" spans="2:18" x14ac:dyDescent="0.25">
      <c r="B73" s="352" t="s">
        <v>9</v>
      </c>
      <c r="C73" s="287">
        <v>2015</v>
      </c>
      <c r="D73" s="287">
        <f t="shared" ref="D73:Q73" si="21">C73+1</f>
        <v>2016</v>
      </c>
      <c r="E73" s="287">
        <f t="shared" si="21"/>
        <v>2017</v>
      </c>
      <c r="F73" s="287">
        <f t="shared" si="21"/>
        <v>2018</v>
      </c>
      <c r="G73" s="287">
        <f t="shared" si="21"/>
        <v>2019</v>
      </c>
      <c r="H73" s="287">
        <f t="shared" si="21"/>
        <v>2020</v>
      </c>
      <c r="I73" s="287">
        <f t="shared" si="21"/>
        <v>2021</v>
      </c>
      <c r="J73" s="287">
        <f t="shared" si="21"/>
        <v>2022</v>
      </c>
      <c r="K73" s="287">
        <f t="shared" si="21"/>
        <v>2023</v>
      </c>
      <c r="L73" s="287">
        <f t="shared" si="21"/>
        <v>2024</v>
      </c>
      <c r="M73" s="287">
        <f t="shared" si="21"/>
        <v>2025</v>
      </c>
      <c r="N73" s="287">
        <f t="shared" si="21"/>
        <v>2026</v>
      </c>
      <c r="O73" s="287">
        <f t="shared" si="21"/>
        <v>2027</v>
      </c>
      <c r="P73" s="287">
        <f t="shared" si="21"/>
        <v>2028</v>
      </c>
      <c r="Q73" s="287">
        <f t="shared" si="21"/>
        <v>2029</v>
      </c>
      <c r="R73" s="186"/>
    </row>
    <row r="74" spans="2:18" x14ac:dyDescent="0.25">
      <c r="B74" s="352">
        <v>2015</v>
      </c>
      <c r="C74" s="293">
        <f t="shared" ref="C74:Q74" si="22">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v>
      </c>
      <c r="D74" s="293">
        <f t="shared" si="22"/>
        <v>0</v>
      </c>
      <c r="E74" s="293">
        <f t="shared" si="22"/>
        <v>0</v>
      </c>
      <c r="F74" s="293">
        <f t="shared" si="22"/>
        <v>0</v>
      </c>
      <c r="G74" s="293">
        <f t="shared" si="22"/>
        <v>0</v>
      </c>
      <c r="H74" s="293">
        <f t="shared" si="22"/>
        <v>0</v>
      </c>
      <c r="I74" s="293">
        <f t="shared" si="22"/>
        <v>0</v>
      </c>
      <c r="J74" s="293">
        <f t="shared" si="22"/>
        <v>0</v>
      </c>
      <c r="K74" s="293">
        <f t="shared" si="22"/>
        <v>0</v>
      </c>
      <c r="L74" s="293">
        <f t="shared" si="22"/>
        <v>0</v>
      </c>
      <c r="M74" s="293">
        <f t="shared" si="22"/>
        <v>0</v>
      </c>
      <c r="N74" s="293">
        <f t="shared" si="22"/>
        <v>0</v>
      </c>
      <c r="O74" s="293">
        <f t="shared" si="22"/>
        <v>0</v>
      </c>
      <c r="P74" s="293">
        <f t="shared" si="22"/>
        <v>0</v>
      </c>
      <c r="Q74" s="293">
        <f t="shared" si="22"/>
        <v>0</v>
      </c>
      <c r="R74" s="186"/>
    </row>
    <row r="75" spans="2:18" x14ac:dyDescent="0.25">
      <c r="B75" s="352">
        <f t="shared" ref="B75:B89" si="23">B74+1</f>
        <v>2016</v>
      </c>
      <c r="C75" s="293"/>
      <c r="D75" s="293">
        <f t="shared" ref="D75:Q75" si="24">HLOOKUP($B75,$C$70:$Q$71,2,FALSE)*$C$32*(1-IF(ROUNDDOWN((D$70-$B75)/$D$32,0)&lt;1,0,IF(ROUNDDOWN((D$70-$B75)/$D$32,0)&lt;2,0.5,IF(ROUNDDOWN((D$70-$B75)/$D$32,0)&lt;3,0.75,IF(ROUNDDOWN((D$70-$B75)/$D$32,0)&lt;4,0.875,0.9375)))))+HLOOKUP($B75,$C$70:$Q$71,2,FALSE)*$C$33*(1-IF(ROUNDDOWN((D$70-$B75)/$D$33,0)&lt;1,0,IF(ROUNDDOWN((D$70-$B75)/$D$33,0)&lt;2,0.5,IF(ROUNDDOWN((D$70-$B75)/$D$33,0)&lt;3,0.75,IF(ROUNDDOWN((D$70-$B75)/$D$33,0)&lt;4,0.875,0.9375)))))+HLOOKUP($B75,$C$70:$Q$71,2,FALSE)*$C$34*(1-IF(ROUNDDOWN((D$70-$B75)/$D$34,0)&lt;1,0,IF(ROUNDDOWN((D$70-$B75)/$D$34,0)&lt;2,0.5,IF(ROUNDDOWN((D$70-$B75)/$D$34,0)&lt;3,0.75,IF(ROUNDDOWN((D$70-$B75)/$D$34,0)&lt;4,0.875,0.9375)))))+HLOOKUP($B75,$C$70:$Q$71,2,FALSE)*$C$35*(1-IF(ROUNDDOWN((D$70-$B75)/$D$35,0)&lt;1,0,IF(ROUNDDOWN((D$70-$B75)/$D$35,0)&lt;2,0.5,IF(ROUNDDOWN((D$70-$B75)/$D$35,0)&lt;3,0.75,IF(ROUNDDOWN((D$70-$B75)/$D$35,0)&lt;4,0.875,0.9375)))))+HLOOKUP($B75,$C$70:$Q$71,2,FALSE)*$C$36*(1-IF(ROUNDDOWN((D$70-$B75)/$D$36,0)&lt;1,0,IF(ROUNDDOWN((D$70-$B75)/$D$36,0)&lt;2,0.5,IF(ROUNDDOWN((D$70-$B75)/$D$36,0)&lt;3,0.75,IF(ROUNDDOWN((D$70-$B75)/$D$36,0)&lt;4,0.875,0.9375)))))+HLOOKUP($B75,$C$70:$Q$71,2,FALSE)*$C$37*(1-IF(ROUNDDOWN((D$70-$B75)/$D$37,0)&lt;1,0,IF(ROUNDDOWN((D$70-$B75)/$D$37,0)&lt;2,0.5,IF(ROUNDDOWN((D$70-$B75)/$D$37,0)&lt;3,0.75,IF(ROUNDDOWN((D$70-$B75)/$D$37,0)&lt;4,0.875,0.9375)))))</f>
        <v>0</v>
      </c>
      <c r="E75" s="293">
        <f t="shared" si="24"/>
        <v>0</v>
      </c>
      <c r="F75" s="293">
        <f t="shared" si="24"/>
        <v>0</v>
      </c>
      <c r="G75" s="293">
        <f t="shared" si="24"/>
        <v>0</v>
      </c>
      <c r="H75" s="293">
        <f t="shared" si="24"/>
        <v>0</v>
      </c>
      <c r="I75" s="293">
        <f t="shared" si="24"/>
        <v>0</v>
      </c>
      <c r="J75" s="293">
        <f t="shared" si="24"/>
        <v>0</v>
      </c>
      <c r="K75" s="293">
        <f t="shared" si="24"/>
        <v>0</v>
      </c>
      <c r="L75" s="293">
        <f t="shared" si="24"/>
        <v>0</v>
      </c>
      <c r="M75" s="293">
        <f t="shared" si="24"/>
        <v>0</v>
      </c>
      <c r="N75" s="293">
        <f t="shared" si="24"/>
        <v>0</v>
      </c>
      <c r="O75" s="293">
        <f t="shared" si="24"/>
        <v>0</v>
      </c>
      <c r="P75" s="293">
        <f t="shared" si="24"/>
        <v>0</v>
      </c>
      <c r="Q75" s="293">
        <f t="shared" si="24"/>
        <v>0</v>
      </c>
      <c r="R75" s="186"/>
    </row>
    <row r="76" spans="2:18" x14ac:dyDescent="0.25">
      <c r="B76" s="352">
        <f t="shared" si="23"/>
        <v>2017</v>
      </c>
      <c r="C76" s="293"/>
      <c r="D76" s="293"/>
      <c r="E76" s="293">
        <f t="shared" ref="E76:Q76" si="25">HLOOKUP($B76,$C$70:$Q$71,2,FALSE)*$C$32*(1-IF(ROUNDDOWN((E$70-$B76)/$D$32,0)&lt;1,0,IF(ROUNDDOWN((E$70-$B76)/$D$32,0)&lt;2,0.5,IF(ROUNDDOWN((E$70-$B76)/$D$32,0)&lt;3,0.75,IF(ROUNDDOWN((E$70-$B76)/$D$32,0)&lt;4,0.875,0.9375)))))+HLOOKUP($B76,$C$70:$Q$71,2,FALSE)*$C$33*(1-IF(ROUNDDOWN((E$70-$B76)/$D$33,0)&lt;1,0,IF(ROUNDDOWN((E$70-$B76)/$D$33,0)&lt;2,0.5,IF(ROUNDDOWN((E$70-$B76)/$D$33,0)&lt;3,0.75,IF(ROUNDDOWN((E$70-$B76)/$D$33,0)&lt;4,0.875,0.9375)))))+HLOOKUP($B76,$C$70:$Q$71,2,FALSE)*$C$34*(1-IF(ROUNDDOWN((E$70-$B76)/$D$34,0)&lt;1,0,IF(ROUNDDOWN((E$70-$B76)/$D$34,0)&lt;2,0.5,IF(ROUNDDOWN((E$70-$B76)/$D$34,0)&lt;3,0.75,IF(ROUNDDOWN((E$70-$B76)/$D$34,0)&lt;4,0.875,0.9375)))))+HLOOKUP($B76,$C$70:$Q$71,2,FALSE)*$C$35*(1-IF(ROUNDDOWN((E$70-$B76)/$D$35,0)&lt;1,0,IF(ROUNDDOWN((E$70-$B76)/$D$35,0)&lt;2,0.5,IF(ROUNDDOWN((E$70-$B76)/$D$35,0)&lt;3,0.75,IF(ROUNDDOWN((E$70-$B76)/$D$35,0)&lt;4,0.875,0.9375)))))+HLOOKUP($B76,$C$70:$Q$71,2,FALSE)*$C$36*(1-IF(ROUNDDOWN((E$70-$B76)/$D$36,0)&lt;1,0,IF(ROUNDDOWN((E$70-$B76)/$D$36,0)&lt;2,0.5,IF(ROUNDDOWN((E$70-$B76)/$D$36,0)&lt;3,0.75,IF(ROUNDDOWN((E$70-$B76)/$D$36,0)&lt;4,0.875,0.9375)))))+HLOOKUP($B76,$C$70:$Q$71,2,FALSE)*$C$37*(1-IF(ROUNDDOWN((E$70-$B76)/$D$37,0)&lt;1,0,IF(ROUNDDOWN((E$70-$B76)/$D$37,0)&lt;2,0.5,IF(ROUNDDOWN((E$70-$B76)/$D$37,0)&lt;3,0.75,IF(ROUNDDOWN((E$70-$B76)/$D$37,0)&lt;4,0.875,0.9375)))))</f>
        <v>0</v>
      </c>
      <c r="F76" s="293">
        <f t="shared" si="25"/>
        <v>0</v>
      </c>
      <c r="G76" s="293">
        <f t="shared" si="25"/>
        <v>0</v>
      </c>
      <c r="H76" s="293">
        <f t="shared" si="25"/>
        <v>0</v>
      </c>
      <c r="I76" s="293">
        <f t="shared" si="25"/>
        <v>0</v>
      </c>
      <c r="J76" s="293">
        <f t="shared" si="25"/>
        <v>0</v>
      </c>
      <c r="K76" s="293">
        <f t="shared" si="25"/>
        <v>0</v>
      </c>
      <c r="L76" s="293">
        <f t="shared" si="25"/>
        <v>0</v>
      </c>
      <c r="M76" s="293">
        <f t="shared" si="25"/>
        <v>0</v>
      </c>
      <c r="N76" s="293">
        <f t="shared" si="25"/>
        <v>0</v>
      </c>
      <c r="O76" s="293">
        <f t="shared" si="25"/>
        <v>0</v>
      </c>
      <c r="P76" s="293">
        <f t="shared" si="25"/>
        <v>0</v>
      </c>
      <c r="Q76" s="293">
        <f t="shared" si="25"/>
        <v>0</v>
      </c>
      <c r="R76" s="186"/>
    </row>
    <row r="77" spans="2:18" x14ac:dyDescent="0.25">
      <c r="B77" s="352">
        <f t="shared" si="23"/>
        <v>2018</v>
      </c>
      <c r="C77" s="293"/>
      <c r="D77" s="293"/>
      <c r="E77" s="293"/>
      <c r="F77" s="293">
        <f t="shared" ref="F77:Q77" si="26">HLOOKUP($B77,$C$70:$Q$71,2,FALSE)*$C$32*(1-IF(ROUNDDOWN((F$70-$B77)/$D$32,0)&lt;1,0,IF(ROUNDDOWN((F$70-$B77)/$D$32,0)&lt;2,0.5,IF(ROUNDDOWN((F$70-$B77)/$D$32,0)&lt;3,0.75,IF(ROUNDDOWN((F$70-$B77)/$D$32,0)&lt;4,0.875,0.9375)))))+HLOOKUP($B77,$C$70:$Q$71,2,FALSE)*$C$33*(1-IF(ROUNDDOWN((F$70-$B77)/$D$33,0)&lt;1,0,IF(ROUNDDOWN((F$70-$B77)/$D$33,0)&lt;2,0.5,IF(ROUNDDOWN((F$70-$B77)/$D$33,0)&lt;3,0.75,IF(ROUNDDOWN((F$70-$B77)/$D$33,0)&lt;4,0.875,0.9375)))))+HLOOKUP($B77,$C$70:$Q$71,2,FALSE)*$C$34*(1-IF(ROUNDDOWN((F$70-$B77)/$D$34,0)&lt;1,0,IF(ROUNDDOWN((F$70-$B77)/$D$34,0)&lt;2,0.5,IF(ROUNDDOWN((F$70-$B77)/$D$34,0)&lt;3,0.75,IF(ROUNDDOWN((F$70-$B77)/$D$34,0)&lt;4,0.875,0.9375)))))+HLOOKUP($B77,$C$70:$Q$71,2,FALSE)*$C$35*(1-IF(ROUNDDOWN((F$70-$B77)/$D$35,0)&lt;1,0,IF(ROUNDDOWN((F$70-$B77)/$D$35,0)&lt;2,0.5,IF(ROUNDDOWN((F$70-$B77)/$D$35,0)&lt;3,0.75,IF(ROUNDDOWN((F$70-$B77)/$D$35,0)&lt;4,0.875,0.9375)))))+HLOOKUP($B77,$C$70:$Q$71,2,FALSE)*$C$36*(1-IF(ROUNDDOWN((F$70-$B77)/$D$36,0)&lt;1,0,IF(ROUNDDOWN((F$70-$B77)/$D$36,0)&lt;2,0.5,IF(ROUNDDOWN((F$70-$B77)/$D$36,0)&lt;3,0.75,IF(ROUNDDOWN((F$70-$B77)/$D$36,0)&lt;4,0.875,0.9375)))))+HLOOKUP($B77,$C$70:$Q$71,2,FALSE)*$C$37*(1-IF(ROUNDDOWN((F$70-$B77)/$D$37,0)&lt;1,0,IF(ROUNDDOWN((F$70-$B77)/$D$37,0)&lt;2,0.5,IF(ROUNDDOWN((F$70-$B77)/$D$37,0)&lt;3,0.75,IF(ROUNDDOWN((F$70-$B77)/$D$37,0)&lt;4,0.875,0.9375)))))</f>
        <v>0</v>
      </c>
      <c r="G77" s="293">
        <f t="shared" si="26"/>
        <v>0</v>
      </c>
      <c r="H77" s="293">
        <f t="shared" si="26"/>
        <v>0</v>
      </c>
      <c r="I77" s="293">
        <f t="shared" si="26"/>
        <v>0</v>
      </c>
      <c r="J77" s="293">
        <f t="shared" si="26"/>
        <v>0</v>
      </c>
      <c r="K77" s="293">
        <f t="shared" si="26"/>
        <v>0</v>
      </c>
      <c r="L77" s="293">
        <f t="shared" si="26"/>
        <v>0</v>
      </c>
      <c r="M77" s="293">
        <f t="shared" si="26"/>
        <v>0</v>
      </c>
      <c r="N77" s="293">
        <f t="shared" si="26"/>
        <v>0</v>
      </c>
      <c r="O77" s="293">
        <f t="shared" si="26"/>
        <v>0</v>
      </c>
      <c r="P77" s="293">
        <f t="shared" si="26"/>
        <v>0</v>
      </c>
      <c r="Q77" s="293">
        <f t="shared" si="26"/>
        <v>0</v>
      </c>
      <c r="R77" s="186"/>
    </row>
    <row r="78" spans="2:18" x14ac:dyDescent="0.25">
      <c r="B78" s="352">
        <f t="shared" si="23"/>
        <v>2019</v>
      </c>
      <c r="C78" s="293"/>
      <c r="D78" s="293"/>
      <c r="E78" s="293"/>
      <c r="F78" s="293"/>
      <c r="G78" s="293">
        <f t="shared" ref="G78:Q78" si="27">HLOOKUP($B78,$C$70:$Q$71,2,FALSE)*$C$32*(1-IF(ROUNDDOWN((G$70-$B78)/$D$32,0)&lt;1,0,IF(ROUNDDOWN((G$70-$B78)/$D$32,0)&lt;2,0.5,IF(ROUNDDOWN((G$70-$B78)/$D$32,0)&lt;3,0.75,IF(ROUNDDOWN((G$70-$B78)/$D$32,0)&lt;4,0.875,0.9375)))))+HLOOKUP($B78,$C$70:$Q$71,2,FALSE)*$C$33*(1-IF(ROUNDDOWN((G$70-$B78)/$D$33,0)&lt;1,0,IF(ROUNDDOWN((G$70-$B78)/$D$33,0)&lt;2,0.5,IF(ROUNDDOWN((G$70-$B78)/$D$33,0)&lt;3,0.75,IF(ROUNDDOWN((G$70-$B78)/$D$33,0)&lt;4,0.875,0.9375)))))+HLOOKUP($B78,$C$70:$Q$71,2,FALSE)*$C$34*(1-IF(ROUNDDOWN((G$70-$B78)/$D$34,0)&lt;1,0,IF(ROUNDDOWN((G$70-$B78)/$D$34,0)&lt;2,0.5,IF(ROUNDDOWN((G$70-$B78)/$D$34,0)&lt;3,0.75,IF(ROUNDDOWN((G$70-$B78)/$D$34,0)&lt;4,0.875,0.9375)))))+HLOOKUP($B78,$C$70:$Q$71,2,FALSE)*$C$35*(1-IF(ROUNDDOWN((G$70-$B78)/$D$35,0)&lt;1,0,IF(ROUNDDOWN((G$70-$B78)/$D$35,0)&lt;2,0.5,IF(ROUNDDOWN((G$70-$B78)/$D$35,0)&lt;3,0.75,IF(ROUNDDOWN((G$70-$B78)/$D$35,0)&lt;4,0.875,0.9375)))))+HLOOKUP($B78,$C$70:$Q$71,2,FALSE)*$C$36*(1-IF(ROUNDDOWN((G$70-$B78)/$D$36,0)&lt;1,0,IF(ROUNDDOWN((G$70-$B78)/$D$36,0)&lt;2,0.5,IF(ROUNDDOWN((G$70-$B78)/$D$36,0)&lt;3,0.75,IF(ROUNDDOWN((G$70-$B78)/$D$36,0)&lt;4,0.875,0.9375)))))+HLOOKUP($B78,$C$70:$Q$71,2,FALSE)*$C$37*(1-IF(ROUNDDOWN((G$70-$B78)/$D$37,0)&lt;1,0,IF(ROUNDDOWN((G$70-$B78)/$D$37,0)&lt;2,0.5,IF(ROUNDDOWN((G$70-$B78)/$D$37,0)&lt;3,0.75,IF(ROUNDDOWN((G$70-$B78)/$D$37,0)&lt;4,0.875,0.9375)))))</f>
        <v>5.7732168000000006E-3</v>
      </c>
      <c r="H78" s="293">
        <f t="shared" si="27"/>
        <v>5.7732168000000006E-3</v>
      </c>
      <c r="I78" s="293">
        <f t="shared" si="27"/>
        <v>5.7732168000000006E-3</v>
      </c>
      <c r="J78" s="293">
        <f t="shared" si="27"/>
        <v>5.5249684776000002E-3</v>
      </c>
      <c r="K78" s="293">
        <f t="shared" si="27"/>
        <v>5.5249684776000002E-3</v>
      </c>
      <c r="L78" s="293">
        <f t="shared" si="27"/>
        <v>5.5249684776000002E-3</v>
      </c>
      <c r="M78" s="293">
        <f t="shared" si="27"/>
        <v>5.4008443164000001E-3</v>
      </c>
      <c r="N78" s="293">
        <f t="shared" si="27"/>
        <v>5.4008443164000001E-3</v>
      </c>
      <c r="O78" s="293">
        <f t="shared" si="27"/>
        <v>5.169915644400001E-3</v>
      </c>
      <c r="P78" s="293">
        <f t="shared" si="27"/>
        <v>5.1078535638000013E-3</v>
      </c>
      <c r="Q78" s="293">
        <f t="shared" si="27"/>
        <v>4.8769248918000014E-3</v>
      </c>
      <c r="R78" s="186"/>
    </row>
    <row r="79" spans="2:18" x14ac:dyDescent="0.25">
      <c r="B79" s="352">
        <f t="shared" si="23"/>
        <v>2020</v>
      </c>
      <c r="C79" s="293"/>
      <c r="D79" s="293"/>
      <c r="E79" s="293"/>
      <c r="F79" s="293"/>
      <c r="G79" s="293"/>
      <c r="H79" s="293">
        <f t="shared" ref="H79:Q79" si="28">HLOOKUP($B79,$C$70:$Q$71,2,FALSE)*$C$32*(1-IF(ROUNDDOWN((H$70-$B79)/$D$32,0)&lt;1,0,IF(ROUNDDOWN((H$70-$B79)/$D$32,0)&lt;2,0.5,IF(ROUNDDOWN((H$70-$B79)/$D$32,0)&lt;3,0.75,IF(ROUNDDOWN((H$70-$B79)/$D$32,0)&lt;4,0.875,0.9375)))))+HLOOKUP($B79,$C$70:$Q$71,2,FALSE)*$C$33*(1-IF(ROUNDDOWN((H$70-$B79)/$D$33,0)&lt;1,0,IF(ROUNDDOWN((H$70-$B79)/$D$33,0)&lt;2,0.5,IF(ROUNDDOWN((H$70-$B79)/$D$33,0)&lt;3,0.75,IF(ROUNDDOWN((H$70-$B79)/$D$33,0)&lt;4,0.875,0.9375)))))+HLOOKUP($B79,$C$70:$Q$71,2,FALSE)*$C$34*(1-IF(ROUNDDOWN((H$70-$B79)/$D$34,0)&lt;1,0,IF(ROUNDDOWN((H$70-$B79)/$D$34,0)&lt;2,0.5,IF(ROUNDDOWN((H$70-$B79)/$D$34,0)&lt;3,0.75,IF(ROUNDDOWN((H$70-$B79)/$D$34,0)&lt;4,0.875,0.9375)))))+HLOOKUP($B79,$C$70:$Q$71,2,FALSE)*$C$35*(1-IF(ROUNDDOWN((H$70-$B79)/$D$35,0)&lt;1,0,IF(ROUNDDOWN((H$70-$B79)/$D$35,0)&lt;2,0.5,IF(ROUNDDOWN((H$70-$B79)/$D$35,0)&lt;3,0.75,IF(ROUNDDOWN((H$70-$B79)/$D$35,0)&lt;4,0.875,0.9375)))))+HLOOKUP($B79,$C$70:$Q$71,2,FALSE)*$C$36*(1-IF(ROUNDDOWN((H$70-$B79)/$D$36,0)&lt;1,0,IF(ROUNDDOWN((H$70-$B79)/$D$36,0)&lt;2,0.5,IF(ROUNDDOWN((H$70-$B79)/$D$36,0)&lt;3,0.75,IF(ROUNDDOWN((H$70-$B79)/$D$36,0)&lt;4,0.875,0.9375)))))+HLOOKUP($B79,$C$70:$Q$71,2,FALSE)*$C$37*(1-IF(ROUNDDOWN((H$70-$B79)/$D$37,0)&lt;1,0,IF(ROUNDDOWN((H$70-$B79)/$D$37,0)&lt;2,0.5,IF(ROUNDDOWN((H$70-$B79)/$D$37,0)&lt;3,0.75,IF(ROUNDDOWN((H$70-$B79)/$D$37,0)&lt;4,0.875,0.9375)))))</f>
        <v>5.7732168000000006E-3</v>
      </c>
      <c r="I79" s="293">
        <f t="shared" si="28"/>
        <v>5.7732168000000006E-3</v>
      </c>
      <c r="J79" s="293">
        <f t="shared" si="28"/>
        <v>5.7732168000000006E-3</v>
      </c>
      <c r="K79" s="293">
        <f t="shared" si="28"/>
        <v>5.5249684776000002E-3</v>
      </c>
      <c r="L79" s="293">
        <f t="shared" si="28"/>
        <v>5.5249684776000002E-3</v>
      </c>
      <c r="M79" s="293">
        <f t="shared" si="28"/>
        <v>5.5249684776000002E-3</v>
      </c>
      <c r="N79" s="293">
        <f t="shared" si="28"/>
        <v>5.4008443164000001E-3</v>
      </c>
      <c r="O79" s="293">
        <f t="shared" si="28"/>
        <v>5.4008443164000001E-3</v>
      </c>
      <c r="P79" s="293">
        <f t="shared" si="28"/>
        <v>5.169915644400001E-3</v>
      </c>
      <c r="Q79" s="293">
        <f t="shared" si="28"/>
        <v>5.1078535638000013E-3</v>
      </c>
      <c r="R79" s="186"/>
    </row>
    <row r="80" spans="2:18" x14ac:dyDescent="0.25">
      <c r="B80" s="352">
        <f t="shared" si="23"/>
        <v>2021</v>
      </c>
      <c r="C80" s="293"/>
      <c r="D80" s="293"/>
      <c r="E80" s="293"/>
      <c r="F80" s="293"/>
      <c r="G80" s="293"/>
      <c r="H80" s="293"/>
      <c r="I80" s="293">
        <f t="shared" ref="I80:Q80" si="29">HLOOKUP($B80,$C$70:$Q$71,2,FALSE)*$C$32*(1-IF(ROUNDDOWN((I$70-$B80)/$D$32,0)&lt;1,0,IF(ROUNDDOWN((I$70-$B80)/$D$32,0)&lt;2,0.5,IF(ROUNDDOWN((I$70-$B80)/$D$32,0)&lt;3,0.75,IF(ROUNDDOWN((I$70-$B80)/$D$32,0)&lt;4,0.875,0.9375)))))+HLOOKUP($B80,$C$70:$Q$71,2,FALSE)*$C$33*(1-IF(ROUNDDOWN((I$70-$B80)/$D$33,0)&lt;1,0,IF(ROUNDDOWN((I$70-$B80)/$D$33,0)&lt;2,0.5,IF(ROUNDDOWN((I$70-$B80)/$D$33,0)&lt;3,0.75,IF(ROUNDDOWN((I$70-$B80)/$D$33,0)&lt;4,0.875,0.9375)))))+HLOOKUP($B80,$C$70:$Q$71,2,FALSE)*$C$34*(1-IF(ROUNDDOWN((I$70-$B80)/$D$34,0)&lt;1,0,IF(ROUNDDOWN((I$70-$B80)/$D$34,0)&lt;2,0.5,IF(ROUNDDOWN((I$70-$B80)/$D$34,0)&lt;3,0.75,IF(ROUNDDOWN((I$70-$B80)/$D$34,0)&lt;4,0.875,0.9375)))))+HLOOKUP($B80,$C$70:$Q$71,2,FALSE)*$C$35*(1-IF(ROUNDDOWN((I$70-$B80)/$D$35,0)&lt;1,0,IF(ROUNDDOWN((I$70-$B80)/$D$35,0)&lt;2,0.5,IF(ROUNDDOWN((I$70-$B80)/$D$35,0)&lt;3,0.75,IF(ROUNDDOWN((I$70-$B80)/$D$35,0)&lt;4,0.875,0.9375)))))+HLOOKUP($B80,$C$70:$Q$71,2,FALSE)*$C$36*(1-IF(ROUNDDOWN((I$70-$B80)/$D$36,0)&lt;1,0,IF(ROUNDDOWN((I$70-$B80)/$D$36,0)&lt;2,0.5,IF(ROUNDDOWN((I$70-$B80)/$D$36,0)&lt;3,0.75,IF(ROUNDDOWN((I$70-$B80)/$D$36,0)&lt;4,0.875,0.9375)))))+HLOOKUP($B80,$C$70:$Q$71,2,FALSE)*$C$37*(1-IF(ROUNDDOWN((I$70-$B80)/$D$37,0)&lt;1,0,IF(ROUNDDOWN((I$70-$B80)/$D$37,0)&lt;2,0.5,IF(ROUNDDOWN((I$70-$B80)/$D$37,0)&lt;3,0.75,IF(ROUNDDOWN((I$70-$B80)/$D$37,0)&lt;4,0.875,0.9375)))))</f>
        <v>5.7732168000000006E-3</v>
      </c>
      <c r="J80" s="293">
        <f t="shared" si="29"/>
        <v>5.7732168000000006E-3</v>
      </c>
      <c r="K80" s="293">
        <f t="shared" si="29"/>
        <v>5.7732168000000006E-3</v>
      </c>
      <c r="L80" s="293">
        <f t="shared" si="29"/>
        <v>5.5249684776000002E-3</v>
      </c>
      <c r="M80" s="293">
        <f t="shared" si="29"/>
        <v>5.5249684776000002E-3</v>
      </c>
      <c r="N80" s="293">
        <f t="shared" si="29"/>
        <v>5.5249684776000002E-3</v>
      </c>
      <c r="O80" s="293">
        <f t="shared" si="29"/>
        <v>5.4008443164000001E-3</v>
      </c>
      <c r="P80" s="293">
        <f t="shared" si="29"/>
        <v>5.4008443164000001E-3</v>
      </c>
      <c r="Q80" s="293">
        <f t="shared" si="29"/>
        <v>5.169915644400001E-3</v>
      </c>
      <c r="R80" s="186"/>
    </row>
    <row r="81" spans="2:18" x14ac:dyDescent="0.25">
      <c r="B81" s="352">
        <f t="shared" si="23"/>
        <v>2022</v>
      </c>
      <c r="C81" s="293"/>
      <c r="D81" s="293"/>
      <c r="E81" s="293"/>
      <c r="F81" s="293"/>
      <c r="G81" s="293"/>
      <c r="H81" s="293"/>
      <c r="I81" s="293"/>
      <c r="J81" s="293">
        <f t="shared" ref="J81:Q81" si="30">HLOOKUP($B81,$C$70:$Q$71,2,FALSE)*$C$32*(1-IF(ROUNDDOWN((J$70-$B81)/$D$32,0)&lt;1,0,IF(ROUNDDOWN((J$70-$B81)/$D$32,0)&lt;2,0.5,IF(ROUNDDOWN((J$70-$B81)/$D$32,0)&lt;3,0.75,IF(ROUNDDOWN((J$70-$B81)/$D$32,0)&lt;4,0.875,0.9375)))))+HLOOKUP($B81,$C$70:$Q$71,2,FALSE)*$C$33*(1-IF(ROUNDDOWN((J$70-$B81)/$D$33,0)&lt;1,0,IF(ROUNDDOWN((J$70-$B81)/$D$33,0)&lt;2,0.5,IF(ROUNDDOWN((J$70-$B81)/$D$33,0)&lt;3,0.75,IF(ROUNDDOWN((J$70-$B81)/$D$33,0)&lt;4,0.875,0.9375)))))+HLOOKUP($B81,$C$70:$Q$71,2,FALSE)*$C$34*(1-IF(ROUNDDOWN((J$70-$B81)/$D$34,0)&lt;1,0,IF(ROUNDDOWN((J$70-$B81)/$D$34,0)&lt;2,0.5,IF(ROUNDDOWN((J$70-$B81)/$D$34,0)&lt;3,0.75,IF(ROUNDDOWN((J$70-$B81)/$D$34,0)&lt;4,0.875,0.9375)))))+HLOOKUP($B81,$C$70:$Q$71,2,FALSE)*$C$35*(1-IF(ROUNDDOWN((J$70-$B81)/$D$35,0)&lt;1,0,IF(ROUNDDOWN((J$70-$B81)/$D$35,0)&lt;2,0.5,IF(ROUNDDOWN((J$70-$B81)/$D$35,0)&lt;3,0.75,IF(ROUNDDOWN((J$70-$B81)/$D$35,0)&lt;4,0.875,0.9375)))))+HLOOKUP($B81,$C$70:$Q$71,2,FALSE)*$C$36*(1-IF(ROUNDDOWN((J$70-$B81)/$D$36,0)&lt;1,0,IF(ROUNDDOWN((J$70-$B81)/$D$36,0)&lt;2,0.5,IF(ROUNDDOWN((J$70-$B81)/$D$36,0)&lt;3,0.75,IF(ROUNDDOWN((J$70-$B81)/$D$36,0)&lt;4,0.875,0.9375)))))+HLOOKUP($B81,$C$70:$Q$71,2,FALSE)*$C$37*(1-IF(ROUNDDOWN((J$70-$B81)/$D$37,0)&lt;1,0,IF(ROUNDDOWN((J$70-$B81)/$D$37,0)&lt;2,0.5,IF(ROUNDDOWN((J$70-$B81)/$D$37,0)&lt;3,0.75,IF(ROUNDDOWN((J$70-$B81)/$D$37,0)&lt;4,0.875,0.9375)))))</f>
        <v>5.7732168000000006E-3</v>
      </c>
      <c r="K81" s="293">
        <f t="shared" si="30"/>
        <v>5.7732168000000006E-3</v>
      </c>
      <c r="L81" s="293">
        <f t="shared" si="30"/>
        <v>5.7732168000000006E-3</v>
      </c>
      <c r="M81" s="293">
        <f t="shared" si="30"/>
        <v>5.5249684776000002E-3</v>
      </c>
      <c r="N81" s="293">
        <f t="shared" si="30"/>
        <v>5.5249684776000002E-3</v>
      </c>
      <c r="O81" s="293">
        <f t="shared" si="30"/>
        <v>5.5249684776000002E-3</v>
      </c>
      <c r="P81" s="293">
        <f t="shared" si="30"/>
        <v>5.4008443164000001E-3</v>
      </c>
      <c r="Q81" s="293">
        <f t="shared" si="30"/>
        <v>5.4008443164000001E-3</v>
      </c>
      <c r="R81" s="186"/>
    </row>
    <row r="82" spans="2:18" x14ac:dyDescent="0.25">
      <c r="B82" s="352">
        <f t="shared" si="23"/>
        <v>2023</v>
      </c>
      <c r="C82" s="293"/>
      <c r="D82" s="293"/>
      <c r="E82" s="293"/>
      <c r="F82" s="293"/>
      <c r="G82" s="293"/>
      <c r="H82" s="293"/>
      <c r="I82" s="293"/>
      <c r="J82" s="293"/>
      <c r="K82" s="293">
        <f t="shared" ref="K82:Q82" si="31">HLOOKUP($B82,$C$70:$Q$71,2,FALSE)*$C$32*(1-IF(ROUNDDOWN((K$70-$B82)/$D$32,0)&lt;1,0,IF(ROUNDDOWN((K$70-$B82)/$D$32,0)&lt;2,0.5,IF(ROUNDDOWN((K$70-$B82)/$D$32,0)&lt;3,0.75,IF(ROUNDDOWN((K$70-$B82)/$D$32,0)&lt;4,0.875,0.9375)))))+HLOOKUP($B82,$C$70:$Q$71,2,FALSE)*$C$33*(1-IF(ROUNDDOWN((K$70-$B82)/$D$33,0)&lt;1,0,IF(ROUNDDOWN((K$70-$B82)/$D$33,0)&lt;2,0.5,IF(ROUNDDOWN((K$70-$B82)/$D$33,0)&lt;3,0.75,IF(ROUNDDOWN((K$70-$B82)/$D$33,0)&lt;4,0.875,0.9375)))))+HLOOKUP($B82,$C$70:$Q$71,2,FALSE)*$C$34*(1-IF(ROUNDDOWN((K$70-$B82)/$D$34,0)&lt;1,0,IF(ROUNDDOWN((K$70-$B82)/$D$34,0)&lt;2,0.5,IF(ROUNDDOWN((K$70-$B82)/$D$34,0)&lt;3,0.75,IF(ROUNDDOWN((K$70-$B82)/$D$34,0)&lt;4,0.875,0.9375)))))+HLOOKUP($B82,$C$70:$Q$71,2,FALSE)*$C$35*(1-IF(ROUNDDOWN((K$70-$B82)/$D$35,0)&lt;1,0,IF(ROUNDDOWN((K$70-$B82)/$D$35,0)&lt;2,0.5,IF(ROUNDDOWN((K$70-$B82)/$D$35,0)&lt;3,0.75,IF(ROUNDDOWN((K$70-$B82)/$D$35,0)&lt;4,0.875,0.9375)))))+HLOOKUP($B82,$C$70:$Q$71,2,FALSE)*$C$36*(1-IF(ROUNDDOWN((K$70-$B82)/$D$36,0)&lt;1,0,IF(ROUNDDOWN((K$70-$B82)/$D$36,0)&lt;2,0.5,IF(ROUNDDOWN((K$70-$B82)/$D$36,0)&lt;3,0.75,IF(ROUNDDOWN((K$70-$B82)/$D$36,0)&lt;4,0.875,0.9375)))))+HLOOKUP($B82,$C$70:$Q$71,2,FALSE)*$C$37*(1-IF(ROUNDDOWN((K$70-$B82)/$D$37,0)&lt;1,0,IF(ROUNDDOWN((K$70-$B82)/$D$37,0)&lt;2,0.5,IF(ROUNDDOWN((K$70-$B82)/$D$37,0)&lt;3,0.75,IF(ROUNDDOWN((K$70-$B82)/$D$37,0)&lt;4,0.875,0.9375)))))</f>
        <v>5.7732168000000006E-3</v>
      </c>
      <c r="L82" s="293">
        <f t="shared" si="31"/>
        <v>5.7732168000000006E-3</v>
      </c>
      <c r="M82" s="293">
        <f t="shared" si="31"/>
        <v>5.7732168000000006E-3</v>
      </c>
      <c r="N82" s="293">
        <f t="shared" si="31"/>
        <v>5.5249684776000002E-3</v>
      </c>
      <c r="O82" s="293">
        <f t="shared" si="31"/>
        <v>5.5249684776000002E-3</v>
      </c>
      <c r="P82" s="293">
        <f t="shared" si="31"/>
        <v>5.5249684776000002E-3</v>
      </c>
      <c r="Q82" s="293">
        <f t="shared" si="31"/>
        <v>5.4008443164000001E-3</v>
      </c>
      <c r="R82" s="186"/>
    </row>
    <row r="83" spans="2:18" x14ac:dyDescent="0.25">
      <c r="B83" s="352">
        <f t="shared" si="23"/>
        <v>2024</v>
      </c>
      <c r="C83" s="293"/>
      <c r="D83" s="293"/>
      <c r="E83" s="293"/>
      <c r="F83" s="293"/>
      <c r="G83" s="293"/>
      <c r="H83" s="293"/>
      <c r="I83" s="293"/>
      <c r="J83" s="293"/>
      <c r="K83" s="293"/>
      <c r="L83" s="293">
        <f t="shared" ref="L83:Q83" si="32">HLOOKUP($B83,$C$70:$Q$71,2,FALSE)*$C$32*(1-IF(ROUNDDOWN((L$70-$B83)/$D$32,0)&lt;1,0,IF(ROUNDDOWN((L$70-$B83)/$D$32,0)&lt;2,0.5,IF(ROUNDDOWN((L$70-$B83)/$D$32,0)&lt;3,0.75,IF(ROUNDDOWN((L$70-$B83)/$D$32,0)&lt;4,0.875,0.9375)))))+HLOOKUP($B83,$C$70:$Q$71,2,FALSE)*$C$33*(1-IF(ROUNDDOWN((L$70-$B83)/$D$33,0)&lt;1,0,IF(ROUNDDOWN((L$70-$B83)/$D$33,0)&lt;2,0.5,IF(ROUNDDOWN((L$70-$B83)/$D$33,0)&lt;3,0.75,IF(ROUNDDOWN((L$70-$B83)/$D$33,0)&lt;4,0.875,0.9375)))))+HLOOKUP($B83,$C$70:$Q$71,2,FALSE)*$C$34*(1-IF(ROUNDDOWN((L$70-$B83)/$D$34,0)&lt;1,0,IF(ROUNDDOWN((L$70-$B83)/$D$34,0)&lt;2,0.5,IF(ROUNDDOWN((L$70-$B83)/$D$34,0)&lt;3,0.75,IF(ROUNDDOWN((L$70-$B83)/$D$34,0)&lt;4,0.875,0.9375)))))+HLOOKUP($B83,$C$70:$Q$71,2,FALSE)*$C$35*(1-IF(ROUNDDOWN((L$70-$B83)/$D$35,0)&lt;1,0,IF(ROUNDDOWN((L$70-$B83)/$D$35,0)&lt;2,0.5,IF(ROUNDDOWN((L$70-$B83)/$D$35,0)&lt;3,0.75,IF(ROUNDDOWN((L$70-$B83)/$D$35,0)&lt;4,0.875,0.9375)))))+HLOOKUP($B83,$C$70:$Q$71,2,FALSE)*$C$36*(1-IF(ROUNDDOWN((L$70-$B83)/$D$36,0)&lt;1,0,IF(ROUNDDOWN((L$70-$B83)/$D$36,0)&lt;2,0.5,IF(ROUNDDOWN((L$70-$B83)/$D$36,0)&lt;3,0.75,IF(ROUNDDOWN((L$70-$B83)/$D$36,0)&lt;4,0.875,0.9375)))))+HLOOKUP($B83,$C$70:$Q$71,2,FALSE)*$C$37*(1-IF(ROUNDDOWN((L$70-$B83)/$D$37,0)&lt;1,0,IF(ROUNDDOWN((L$70-$B83)/$D$37,0)&lt;2,0.5,IF(ROUNDDOWN((L$70-$B83)/$D$37,0)&lt;3,0.75,IF(ROUNDDOWN((L$70-$B83)/$D$37,0)&lt;4,0.875,0.9375)))))</f>
        <v>5.7732168000000006E-3</v>
      </c>
      <c r="M83" s="293">
        <f t="shared" si="32"/>
        <v>5.7732168000000006E-3</v>
      </c>
      <c r="N83" s="293">
        <f t="shared" si="32"/>
        <v>5.7732168000000006E-3</v>
      </c>
      <c r="O83" s="293">
        <f t="shared" si="32"/>
        <v>5.5249684776000002E-3</v>
      </c>
      <c r="P83" s="293">
        <f t="shared" si="32"/>
        <v>5.5249684776000002E-3</v>
      </c>
      <c r="Q83" s="293">
        <f t="shared" si="32"/>
        <v>5.5249684776000002E-3</v>
      </c>
      <c r="R83" s="186"/>
    </row>
    <row r="84" spans="2:18" x14ac:dyDescent="0.25">
      <c r="B84" s="352">
        <f t="shared" si="23"/>
        <v>2025</v>
      </c>
      <c r="C84" s="293"/>
      <c r="D84" s="293"/>
      <c r="E84" s="293"/>
      <c r="F84" s="293"/>
      <c r="G84" s="293"/>
      <c r="H84" s="293"/>
      <c r="I84" s="293"/>
      <c r="J84" s="293"/>
      <c r="K84" s="293"/>
      <c r="L84" s="293"/>
      <c r="M84" s="293">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5.7732168000000006E-3</v>
      </c>
      <c r="N84" s="293">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5.7732168000000006E-3</v>
      </c>
      <c r="O84" s="293">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5.7732168000000006E-3</v>
      </c>
      <c r="P84" s="293">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5.5249684776000002E-3</v>
      </c>
      <c r="Q84" s="293">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5.5249684776000002E-3</v>
      </c>
      <c r="R84" s="186"/>
    </row>
    <row r="85" spans="2:18" x14ac:dyDescent="0.25">
      <c r="B85" s="352">
        <f t="shared" si="23"/>
        <v>2026</v>
      </c>
      <c r="C85" s="293"/>
      <c r="D85" s="293"/>
      <c r="E85" s="293"/>
      <c r="F85" s="293"/>
      <c r="G85" s="293"/>
      <c r="H85" s="293"/>
      <c r="I85" s="293"/>
      <c r="J85" s="293"/>
      <c r="K85" s="293"/>
      <c r="L85" s="293"/>
      <c r="M85" s="293"/>
      <c r="N85" s="293">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5.7732168000000006E-3</v>
      </c>
      <c r="O85" s="293">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5.7732168000000006E-3</v>
      </c>
      <c r="P85" s="293">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5.7732168000000006E-3</v>
      </c>
      <c r="Q85" s="293">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5.5249684776000002E-3</v>
      </c>
      <c r="R85" s="186"/>
    </row>
    <row r="86" spans="2:18" x14ac:dyDescent="0.25">
      <c r="B86" s="352">
        <f t="shared" si="23"/>
        <v>2027</v>
      </c>
      <c r="C86" s="293"/>
      <c r="D86" s="293"/>
      <c r="E86" s="293"/>
      <c r="F86" s="293"/>
      <c r="G86" s="293"/>
      <c r="H86" s="293"/>
      <c r="I86" s="293"/>
      <c r="J86" s="293"/>
      <c r="K86" s="293"/>
      <c r="L86" s="293"/>
      <c r="M86" s="293"/>
      <c r="N86" s="293"/>
      <c r="O86" s="293">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5.7732168000000006E-3</v>
      </c>
      <c r="P86" s="293">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5.7732168000000006E-3</v>
      </c>
      <c r="Q86" s="293">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5.7732168000000006E-3</v>
      </c>
      <c r="R86" s="186"/>
    </row>
    <row r="87" spans="2:18" x14ac:dyDescent="0.25">
      <c r="B87" s="352">
        <f t="shared" si="23"/>
        <v>2028</v>
      </c>
      <c r="C87" s="293"/>
      <c r="D87" s="293"/>
      <c r="E87" s="293"/>
      <c r="F87" s="293"/>
      <c r="G87" s="293"/>
      <c r="H87" s="293"/>
      <c r="I87" s="293"/>
      <c r="J87" s="293"/>
      <c r="K87" s="293"/>
      <c r="L87" s="293"/>
      <c r="M87" s="293"/>
      <c r="N87" s="293"/>
      <c r="O87" s="293"/>
      <c r="P87" s="293">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5.7732168000000006E-3</v>
      </c>
      <c r="Q87" s="293">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5.7732168000000006E-3</v>
      </c>
      <c r="R87" s="186"/>
    </row>
    <row r="88" spans="2:18" x14ac:dyDescent="0.25">
      <c r="B88" s="352">
        <f t="shared" si="23"/>
        <v>2029</v>
      </c>
      <c r="C88" s="293"/>
      <c r="D88" s="293"/>
      <c r="E88" s="293"/>
      <c r="F88" s="293"/>
      <c r="G88" s="293"/>
      <c r="H88" s="293"/>
      <c r="I88" s="293"/>
      <c r="J88" s="293"/>
      <c r="K88" s="293"/>
      <c r="L88" s="293"/>
      <c r="M88" s="293"/>
      <c r="N88" s="293"/>
      <c r="O88" s="293"/>
      <c r="P88" s="293"/>
      <c r="Q88" s="293">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5.7732168000000006E-3</v>
      </c>
      <c r="R88" s="186"/>
    </row>
    <row r="89" spans="2:18" x14ac:dyDescent="0.25">
      <c r="B89" s="352">
        <f t="shared" si="23"/>
        <v>2030</v>
      </c>
      <c r="C89" s="293"/>
      <c r="D89" s="293"/>
      <c r="E89" s="293"/>
      <c r="F89" s="293"/>
      <c r="G89" s="293"/>
      <c r="H89" s="293"/>
      <c r="I89" s="293"/>
      <c r="J89" s="293"/>
      <c r="K89" s="293"/>
      <c r="L89" s="293"/>
      <c r="M89" s="293"/>
      <c r="N89" s="293"/>
      <c r="O89" s="293"/>
      <c r="P89" s="293"/>
      <c r="Q89" s="293"/>
      <c r="R89" s="186"/>
    </row>
    <row r="90" spans="2:18" x14ac:dyDescent="0.25">
      <c r="B90" s="187"/>
      <c r="C90" s="354"/>
      <c r="D90" s="354"/>
      <c r="E90" s="354"/>
      <c r="F90" s="354"/>
      <c r="G90" s="354"/>
      <c r="H90" s="354"/>
      <c r="I90" s="354"/>
      <c r="J90" s="354"/>
      <c r="K90" s="354"/>
      <c r="L90" s="354"/>
      <c r="M90" s="354"/>
      <c r="N90" s="354"/>
      <c r="O90" s="354"/>
      <c r="P90" s="354"/>
      <c r="Q90" s="354"/>
      <c r="R90" s="186"/>
    </row>
    <row r="91" spans="2:18" x14ac:dyDescent="0.25">
      <c r="B91" s="355" t="s">
        <v>1654</v>
      </c>
      <c r="C91" s="356">
        <f t="shared" ref="C91:Q91" si="33">SUM(C74:C89)</f>
        <v>0</v>
      </c>
      <c r="D91" s="356">
        <f t="shared" si="33"/>
        <v>0</v>
      </c>
      <c r="E91" s="356">
        <f t="shared" si="33"/>
        <v>0</v>
      </c>
      <c r="F91" s="356">
        <f t="shared" si="33"/>
        <v>0</v>
      </c>
      <c r="G91" s="356">
        <f t="shared" si="33"/>
        <v>5.7732168000000006E-3</v>
      </c>
      <c r="H91" s="356">
        <f t="shared" si="33"/>
        <v>1.1546433600000001E-2</v>
      </c>
      <c r="I91" s="356">
        <f t="shared" si="33"/>
        <v>1.7319650400000001E-2</v>
      </c>
      <c r="J91" s="356">
        <f t="shared" si="33"/>
        <v>2.2844618877600004E-2</v>
      </c>
      <c r="K91" s="356">
        <f t="shared" si="33"/>
        <v>2.8369587355200003E-2</v>
      </c>
      <c r="L91" s="356">
        <f t="shared" si="33"/>
        <v>3.3894555832800002E-2</v>
      </c>
      <c r="M91" s="356">
        <f t="shared" si="33"/>
        <v>3.9295400149200001E-2</v>
      </c>
      <c r="N91" s="356">
        <f t="shared" si="33"/>
        <v>4.4696244465599999E-2</v>
      </c>
      <c r="O91" s="356">
        <f t="shared" si="33"/>
        <v>4.9866160110000002E-2</v>
      </c>
      <c r="P91" s="356">
        <f t="shared" si="33"/>
        <v>5.4974013673800004E-2</v>
      </c>
      <c r="Q91" s="356">
        <f t="shared" si="33"/>
        <v>5.9850938565600004E-2</v>
      </c>
      <c r="R91" s="186"/>
    </row>
    <row r="92" spans="2:18" ht="15.75" thickBot="1" x14ac:dyDescent="0.3">
      <c r="B92" s="193"/>
      <c r="C92" s="194"/>
      <c r="D92" s="194"/>
      <c r="E92" s="194"/>
      <c r="F92" s="194"/>
      <c r="G92" s="194"/>
      <c r="H92" s="194"/>
      <c r="I92" s="194"/>
      <c r="J92" s="194"/>
      <c r="K92" s="194"/>
      <c r="L92" s="194"/>
      <c r="M92" s="194"/>
      <c r="N92" s="194"/>
      <c r="O92" s="194"/>
      <c r="P92" s="194"/>
      <c r="Q92" s="194"/>
      <c r="R92" s="195"/>
    </row>
  </sheetData>
  <mergeCells count="1">
    <mergeCell ref="F32:O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topLeftCell="A3" zoomScale="70" zoomScaleNormal="70" workbookViewId="0">
      <selection activeCell="R26" sqref="R26"/>
    </sheetView>
  </sheetViews>
  <sheetFormatPr defaultRowHeight="15" x14ac:dyDescent="0.25"/>
  <cols>
    <col min="2" max="2" width="29.7109375" customWidth="1"/>
  </cols>
  <sheetData>
    <row r="1" spans="1:29" ht="23.45" x14ac:dyDescent="0.45">
      <c r="B1" s="313" t="s">
        <v>34</v>
      </c>
      <c r="C1" s="313" t="str">
        <f>'Program Analysis'!C3</f>
        <v>ECAA Financing</v>
      </c>
      <c r="D1" s="3"/>
    </row>
    <row r="2" spans="1:29" ht="23.45" x14ac:dyDescent="0.45">
      <c r="B2" s="313" t="s">
        <v>1704</v>
      </c>
      <c r="C2" s="313" t="s">
        <v>1671</v>
      </c>
      <c r="D2" s="3"/>
    </row>
    <row r="4" spans="1:29" thickBot="1" x14ac:dyDescent="0.35"/>
    <row r="5" spans="1:29" ht="18" x14ac:dyDescent="0.35">
      <c r="A5" s="1" t="s">
        <v>1712</v>
      </c>
      <c r="B5" s="200" t="s">
        <v>1713</v>
      </c>
      <c r="C5" s="181"/>
      <c r="D5" s="181"/>
      <c r="E5" s="182"/>
      <c r="F5" s="182"/>
      <c r="G5" s="182"/>
      <c r="H5" s="183"/>
      <c r="I5" s="183"/>
      <c r="J5" s="183"/>
      <c r="K5" s="183"/>
      <c r="L5" s="183"/>
      <c r="M5" s="183"/>
      <c r="N5" s="183"/>
      <c r="O5" s="183"/>
      <c r="P5" s="183"/>
      <c r="Q5" s="183"/>
      <c r="R5" s="184"/>
      <c r="S5" s="3"/>
      <c r="T5" s="290"/>
      <c r="U5" t="s">
        <v>1649</v>
      </c>
      <c r="V5" s="3"/>
      <c r="W5" s="3"/>
      <c r="X5" s="3"/>
      <c r="Y5" s="3"/>
      <c r="Z5" s="3"/>
    </row>
    <row r="6" spans="1:29" ht="14.45" x14ac:dyDescent="0.3">
      <c r="B6" s="187" t="s">
        <v>1714</v>
      </c>
      <c r="C6" s="350" t="s">
        <v>1769</v>
      </c>
      <c r="D6" s="350"/>
      <c r="E6" s="175"/>
      <c r="F6" s="175"/>
      <c r="G6" s="175"/>
      <c r="H6" s="3"/>
      <c r="I6" s="3"/>
      <c r="J6" s="3"/>
      <c r="K6" s="3"/>
      <c r="L6" s="3"/>
      <c r="M6" s="3"/>
      <c r="N6" s="3"/>
      <c r="O6" s="3"/>
      <c r="P6" s="3"/>
      <c r="Q6" s="3"/>
      <c r="R6" s="186"/>
      <c r="S6" s="3"/>
      <c r="T6" s="292"/>
      <c r="U6" t="s">
        <v>1650</v>
      </c>
      <c r="V6" s="3"/>
      <c r="W6" s="3"/>
      <c r="X6" s="3"/>
      <c r="Y6" s="3"/>
      <c r="Z6" s="3"/>
    </row>
    <row r="7" spans="1:29" ht="14.45" x14ac:dyDescent="0.3">
      <c r="B7" s="197"/>
      <c r="C7" s="175"/>
      <c r="D7" s="185"/>
      <c r="E7" s="175"/>
      <c r="F7" s="175"/>
      <c r="G7" s="175"/>
      <c r="H7" s="3"/>
      <c r="I7" s="3"/>
      <c r="J7" s="3"/>
      <c r="K7" s="3"/>
      <c r="L7" s="3"/>
      <c r="M7" s="3"/>
      <c r="N7" s="3"/>
      <c r="O7" s="3"/>
      <c r="P7" s="3"/>
      <c r="Q7" s="3"/>
      <c r="R7" s="186"/>
      <c r="S7" s="3"/>
      <c r="T7" s="286"/>
      <c r="U7" t="s">
        <v>1651</v>
      </c>
      <c r="V7" s="3"/>
      <c r="W7" s="3"/>
      <c r="X7" s="3"/>
      <c r="Y7" s="3"/>
      <c r="Z7" s="3"/>
    </row>
    <row r="8" spans="1:29" s="9" customFormat="1" ht="18" x14ac:dyDescent="0.35">
      <c r="B8" s="345"/>
      <c r="C8" s="188">
        <v>2015</v>
      </c>
      <c r="D8" s="188">
        <v>2016</v>
      </c>
      <c r="E8" s="188">
        <v>2017</v>
      </c>
      <c r="F8" s="188">
        <v>2018</v>
      </c>
      <c r="G8" s="188">
        <v>2019</v>
      </c>
      <c r="H8" s="188">
        <v>2020</v>
      </c>
      <c r="I8" s="188">
        <v>2021</v>
      </c>
      <c r="J8" s="188">
        <v>2022</v>
      </c>
      <c r="K8" s="188">
        <v>2023</v>
      </c>
      <c r="L8" s="188">
        <v>2024</v>
      </c>
      <c r="M8" s="188">
        <v>2025</v>
      </c>
      <c r="N8" s="188">
        <v>2026</v>
      </c>
      <c r="O8" s="189">
        <v>2027</v>
      </c>
      <c r="P8" s="189">
        <v>2028</v>
      </c>
      <c r="Q8" s="189">
        <v>2029</v>
      </c>
      <c r="R8" s="191"/>
      <c r="S8" s="190"/>
      <c r="T8" s="190"/>
      <c r="U8" s="190"/>
      <c r="V8" s="190"/>
      <c r="W8" s="190"/>
      <c r="X8" s="190"/>
      <c r="Y8" s="190"/>
      <c r="Z8" s="190"/>
      <c r="AB8" s="178"/>
      <c r="AC8" s="178"/>
    </row>
    <row r="9" spans="1:29" ht="14.45" customHeight="1" x14ac:dyDescent="0.3">
      <c r="B9" s="346" t="s">
        <v>0</v>
      </c>
      <c r="C9" s="347">
        <f>Reference!C9</f>
        <v>6.5322209999999998</v>
      </c>
      <c r="D9" s="347">
        <f>Reference!D9</f>
        <v>6.9573219999999996</v>
      </c>
      <c r="E9" s="347">
        <f>Reference!E9</f>
        <v>10.793625</v>
      </c>
      <c r="F9" s="347">
        <f>Reference!F9</f>
        <v>10.793625</v>
      </c>
      <c r="G9" s="347">
        <f>Reference!G9</f>
        <v>10.793625</v>
      </c>
      <c r="H9" s="347">
        <f>Reference!H9</f>
        <v>10.793625</v>
      </c>
      <c r="I9" s="347">
        <f>Reference!I9</f>
        <v>10.793625</v>
      </c>
      <c r="J9" s="347">
        <f>Reference!J9</f>
        <v>10.793625</v>
      </c>
      <c r="K9" s="347">
        <f>Reference!K9</f>
        <v>10.793625</v>
      </c>
      <c r="L9" s="347">
        <f>Reference!L9</f>
        <v>10.793625</v>
      </c>
      <c r="M9" s="347">
        <f>Reference!M9</f>
        <v>10.793625</v>
      </c>
      <c r="N9" s="347">
        <f>Reference!N9</f>
        <v>10.793625</v>
      </c>
      <c r="O9" s="347">
        <f>Reference!O9</f>
        <v>10.793625</v>
      </c>
      <c r="P9" s="347">
        <f>Reference!P9</f>
        <v>10.793625</v>
      </c>
      <c r="Q9" s="347">
        <f>Reference!Q9</f>
        <v>10.793625</v>
      </c>
      <c r="R9" s="186"/>
      <c r="S9" s="3"/>
      <c r="T9" s="3"/>
      <c r="U9" s="3"/>
      <c r="V9" s="3"/>
      <c r="W9" s="196"/>
      <c r="X9" s="3"/>
      <c r="Y9" s="3"/>
      <c r="Z9" s="3"/>
      <c r="AB9" s="6"/>
      <c r="AC9" s="6"/>
    </row>
    <row r="10" spans="1:29" thickBot="1" x14ac:dyDescent="0.35">
      <c r="B10" s="348" t="s">
        <v>4</v>
      </c>
      <c r="C10" s="349">
        <f>Reference!C10</f>
        <v>1.2045E-2</v>
      </c>
      <c r="D10" s="349">
        <f>Reference!D10</f>
        <v>0</v>
      </c>
      <c r="E10" s="349">
        <f>Reference!E10</f>
        <v>6.0137675000000002E-2</v>
      </c>
      <c r="F10" s="349">
        <f>Reference!F10</f>
        <v>6.0137675000000002E-2</v>
      </c>
      <c r="G10" s="349">
        <f>Reference!G10</f>
        <v>6.0137675000000002E-2</v>
      </c>
      <c r="H10" s="349">
        <f>Reference!H10</f>
        <v>6.0137675000000002E-2</v>
      </c>
      <c r="I10" s="349">
        <f>Reference!I10</f>
        <v>6.0137675000000002E-2</v>
      </c>
      <c r="J10" s="349">
        <f>Reference!J10</f>
        <v>6.0137675000000002E-2</v>
      </c>
      <c r="K10" s="349">
        <f>Reference!K10</f>
        <v>6.0137675000000002E-2</v>
      </c>
      <c r="L10" s="349">
        <f>Reference!L10</f>
        <v>6.0137675000000002E-2</v>
      </c>
      <c r="M10" s="349">
        <f>Reference!M10</f>
        <v>6.0137675000000002E-2</v>
      </c>
      <c r="N10" s="349">
        <f>Reference!N10</f>
        <v>6.0137675000000002E-2</v>
      </c>
      <c r="O10" s="349">
        <f>Reference!O10</f>
        <v>6.0137675000000002E-2</v>
      </c>
      <c r="P10" s="349">
        <f>Reference!P10</f>
        <v>6.0137675000000002E-2</v>
      </c>
      <c r="Q10" s="349">
        <f>Reference!Q10</f>
        <v>6.0137675000000002E-2</v>
      </c>
      <c r="R10" s="195"/>
      <c r="S10" s="3"/>
      <c r="T10" s="3"/>
      <c r="U10" s="3"/>
      <c r="V10" s="3"/>
      <c r="W10" s="196"/>
      <c r="X10" s="3"/>
      <c r="Y10" s="3"/>
      <c r="Z10" s="3"/>
    </row>
    <row r="11" spans="1:29" ht="14.45" x14ac:dyDescent="0.3">
      <c r="B11" s="8"/>
      <c r="C11" s="8"/>
      <c r="D11" s="8"/>
      <c r="E11" s="8"/>
      <c r="F11" s="198"/>
      <c r="G11" s="198"/>
      <c r="H11" s="199"/>
      <c r="I11" s="199"/>
      <c r="J11" s="199"/>
      <c r="K11" s="199"/>
      <c r="L11" s="199"/>
      <c r="M11" s="199"/>
      <c r="N11" s="199"/>
      <c r="O11" s="199"/>
      <c r="P11" s="199"/>
      <c r="Q11" s="199"/>
      <c r="R11" s="199"/>
      <c r="S11" s="199"/>
      <c r="T11" s="199"/>
      <c r="U11" s="199"/>
      <c r="V11" s="199"/>
      <c r="W11" s="196"/>
      <c r="X11" s="3"/>
      <c r="Y11" s="3"/>
      <c r="Z11" s="3"/>
    </row>
    <row r="12" spans="1:29"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1716</v>
      </c>
      <c r="B13" s="200" t="s">
        <v>1717</v>
      </c>
      <c r="C13" s="183"/>
      <c r="D13" s="183"/>
      <c r="E13" s="183"/>
      <c r="F13" s="183"/>
      <c r="G13" s="183"/>
      <c r="H13" s="183"/>
      <c r="I13" s="183"/>
      <c r="J13" s="183"/>
      <c r="K13" s="183"/>
      <c r="L13" s="183"/>
      <c r="M13" s="183"/>
      <c r="N13" s="183"/>
      <c r="O13" s="183"/>
      <c r="P13" s="183"/>
      <c r="Q13" s="183"/>
      <c r="R13" s="184"/>
      <c r="S13" s="3"/>
      <c r="T13" s="3"/>
      <c r="U13" s="3"/>
      <c r="V13" s="3"/>
      <c r="W13" s="3"/>
      <c r="X13" s="3"/>
      <c r="Y13" s="3"/>
      <c r="Z13" s="3"/>
    </row>
    <row r="14" spans="1:29" ht="14.45" x14ac:dyDescent="0.3">
      <c r="B14" s="187" t="s">
        <v>1635</v>
      </c>
      <c r="C14" s="350">
        <v>0.04</v>
      </c>
      <c r="D14" s="351" t="s">
        <v>1719</v>
      </c>
      <c r="E14" s="3"/>
      <c r="F14" s="3"/>
      <c r="G14" s="3"/>
      <c r="H14" s="3"/>
      <c r="I14" s="3"/>
      <c r="J14" s="3"/>
      <c r="K14" s="3"/>
      <c r="L14" s="3"/>
      <c r="M14" s="3"/>
      <c r="N14" s="3"/>
      <c r="O14" s="3"/>
      <c r="P14" s="3"/>
      <c r="Q14" s="3"/>
      <c r="R14" s="186"/>
      <c r="S14" s="3"/>
      <c r="T14" s="3"/>
      <c r="U14" s="3"/>
      <c r="V14" s="3"/>
      <c r="W14" s="3"/>
      <c r="X14" s="3"/>
      <c r="Y14" s="3"/>
      <c r="Z14" s="3"/>
    </row>
    <row r="15" spans="1:29" ht="14.45" x14ac:dyDescent="0.3">
      <c r="B15" s="187"/>
      <c r="C15" s="344"/>
      <c r="D15" s="3"/>
      <c r="E15" s="3"/>
      <c r="F15" s="3"/>
      <c r="G15" s="3"/>
      <c r="H15" s="3"/>
      <c r="I15" s="3"/>
      <c r="J15" s="3"/>
      <c r="K15" s="3"/>
      <c r="L15" s="3"/>
      <c r="M15" s="3"/>
      <c r="N15" s="3"/>
      <c r="O15" s="3"/>
      <c r="P15" s="3"/>
      <c r="Q15" s="3"/>
      <c r="R15" s="186"/>
      <c r="S15" s="3"/>
      <c r="T15" s="3"/>
      <c r="U15" s="3"/>
      <c r="V15" s="3"/>
      <c r="W15" s="3"/>
      <c r="X15" s="3"/>
      <c r="Y15" s="3"/>
      <c r="Z15" s="3"/>
    </row>
    <row r="16" spans="1:29" s="9" customFormat="1" ht="18" x14ac:dyDescent="0.35">
      <c r="B16" s="345"/>
      <c r="C16" s="188">
        <v>2015</v>
      </c>
      <c r="D16" s="188">
        <v>2016</v>
      </c>
      <c r="E16" s="188">
        <v>2017</v>
      </c>
      <c r="F16" s="188">
        <v>2018</v>
      </c>
      <c r="G16" s="188">
        <v>2019</v>
      </c>
      <c r="H16" s="188">
        <v>2020</v>
      </c>
      <c r="I16" s="188">
        <v>2021</v>
      </c>
      <c r="J16" s="188">
        <v>2022</v>
      </c>
      <c r="K16" s="188">
        <v>2023</v>
      </c>
      <c r="L16" s="188">
        <v>2024</v>
      </c>
      <c r="M16" s="188">
        <v>2025</v>
      </c>
      <c r="N16" s="188">
        <v>2026</v>
      </c>
      <c r="O16" s="189">
        <v>2027</v>
      </c>
      <c r="P16" s="189">
        <v>2028</v>
      </c>
      <c r="Q16" s="189">
        <v>2029</v>
      </c>
      <c r="R16" s="191"/>
      <c r="S16" s="190"/>
      <c r="T16" s="190"/>
      <c r="U16" s="190"/>
      <c r="V16" s="190"/>
      <c r="W16" s="190"/>
      <c r="X16" s="190"/>
      <c r="Y16" s="190"/>
      <c r="Z16" s="190"/>
      <c r="AB16" s="178"/>
      <c r="AC16" s="178"/>
    </row>
    <row r="17" spans="1:29" ht="14.45" customHeight="1" x14ac:dyDescent="0.3">
      <c r="B17" s="346" t="s">
        <v>0</v>
      </c>
      <c r="C17" s="347">
        <f t="shared" ref="C17:Q18" si="0">C9*(1-$C$14)</f>
        <v>6.2709321599999992</v>
      </c>
      <c r="D17" s="347">
        <f t="shared" si="0"/>
        <v>6.6790291199999992</v>
      </c>
      <c r="E17" s="347">
        <f t="shared" si="0"/>
        <v>10.361879999999999</v>
      </c>
      <c r="F17" s="347">
        <f t="shared" si="0"/>
        <v>10.361879999999999</v>
      </c>
      <c r="G17" s="347">
        <f t="shared" si="0"/>
        <v>10.361879999999999</v>
      </c>
      <c r="H17" s="347">
        <f t="shared" si="0"/>
        <v>10.361879999999999</v>
      </c>
      <c r="I17" s="347">
        <f t="shared" si="0"/>
        <v>10.361879999999999</v>
      </c>
      <c r="J17" s="347">
        <f t="shared" si="0"/>
        <v>10.361879999999999</v>
      </c>
      <c r="K17" s="347">
        <f t="shared" si="0"/>
        <v>10.361879999999999</v>
      </c>
      <c r="L17" s="347">
        <f t="shared" si="0"/>
        <v>10.361879999999999</v>
      </c>
      <c r="M17" s="347">
        <f t="shared" si="0"/>
        <v>10.361879999999999</v>
      </c>
      <c r="N17" s="347">
        <f t="shared" si="0"/>
        <v>10.361879999999999</v>
      </c>
      <c r="O17" s="347">
        <f t="shared" si="0"/>
        <v>10.361879999999999</v>
      </c>
      <c r="P17" s="347">
        <f t="shared" si="0"/>
        <v>10.361879999999999</v>
      </c>
      <c r="Q17" s="347">
        <f t="shared" si="0"/>
        <v>10.361879999999999</v>
      </c>
      <c r="R17" s="186"/>
      <c r="S17" s="3"/>
      <c r="T17" s="3"/>
      <c r="U17" s="3"/>
      <c r="V17" s="3"/>
      <c r="W17" s="192"/>
      <c r="X17" s="3"/>
      <c r="Y17" s="3"/>
      <c r="Z17" s="3"/>
      <c r="AB17" s="6"/>
      <c r="AC17" s="6"/>
    </row>
    <row r="18" spans="1:29" ht="14.45" customHeight="1" thickBot="1" x14ac:dyDescent="0.35">
      <c r="B18" s="348" t="s">
        <v>4</v>
      </c>
      <c r="C18" s="349">
        <f t="shared" si="0"/>
        <v>1.1563199999999999E-2</v>
      </c>
      <c r="D18" s="349">
        <f t="shared" si="0"/>
        <v>0</v>
      </c>
      <c r="E18" s="349">
        <f t="shared" si="0"/>
        <v>5.7732168E-2</v>
      </c>
      <c r="F18" s="349">
        <f t="shared" si="0"/>
        <v>5.7732168E-2</v>
      </c>
      <c r="G18" s="349">
        <f t="shared" si="0"/>
        <v>5.7732168E-2</v>
      </c>
      <c r="H18" s="349">
        <f t="shared" si="0"/>
        <v>5.7732168E-2</v>
      </c>
      <c r="I18" s="349">
        <f t="shared" si="0"/>
        <v>5.7732168E-2</v>
      </c>
      <c r="J18" s="349">
        <f t="shared" si="0"/>
        <v>5.7732168E-2</v>
      </c>
      <c r="K18" s="349">
        <f t="shared" si="0"/>
        <v>5.7732168E-2</v>
      </c>
      <c r="L18" s="349">
        <f t="shared" si="0"/>
        <v>5.7732168E-2</v>
      </c>
      <c r="M18" s="349">
        <f t="shared" si="0"/>
        <v>5.7732168E-2</v>
      </c>
      <c r="N18" s="349">
        <f t="shared" si="0"/>
        <v>5.7732168E-2</v>
      </c>
      <c r="O18" s="349">
        <f t="shared" si="0"/>
        <v>5.7732168E-2</v>
      </c>
      <c r="P18" s="349">
        <f t="shared" si="0"/>
        <v>5.7732168E-2</v>
      </c>
      <c r="Q18" s="349">
        <f t="shared" si="0"/>
        <v>5.7732168E-2</v>
      </c>
      <c r="R18" s="195"/>
      <c r="S18" s="3"/>
      <c r="T18" s="3"/>
      <c r="U18" s="3"/>
      <c r="V18" s="3"/>
      <c r="W18" s="192"/>
      <c r="X18" s="3"/>
      <c r="Y18" s="3"/>
      <c r="Z18" s="3"/>
      <c r="AB18" s="6"/>
      <c r="AC18" s="6"/>
    </row>
    <row r="19" spans="1:29" ht="14.45"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1718</v>
      </c>
      <c r="B21" s="200" t="s">
        <v>1756</v>
      </c>
      <c r="C21" s="183"/>
      <c r="D21" s="183"/>
      <c r="E21" s="369" t="s">
        <v>1766</v>
      </c>
      <c r="F21" s="183"/>
      <c r="G21" s="183"/>
      <c r="H21" s="183"/>
      <c r="I21" s="183"/>
      <c r="J21" s="183"/>
      <c r="K21" s="183"/>
      <c r="L21" s="183"/>
      <c r="M21" s="183"/>
      <c r="N21" s="183"/>
      <c r="O21" s="183"/>
      <c r="P21" s="183"/>
      <c r="Q21" s="183"/>
      <c r="R21" s="184"/>
      <c r="S21" s="3"/>
      <c r="T21" s="3"/>
      <c r="U21" s="3"/>
      <c r="V21" s="3"/>
      <c r="W21" s="3"/>
      <c r="X21" s="3"/>
      <c r="Y21" s="3"/>
      <c r="Z21" s="3"/>
    </row>
    <row r="22" spans="1:29" ht="14.45" x14ac:dyDescent="0.3">
      <c r="B22" s="187" t="s">
        <v>1635</v>
      </c>
      <c r="C22" s="350">
        <v>0</v>
      </c>
      <c r="D22" s="351"/>
      <c r="E22" s="7" t="s">
        <v>1767</v>
      </c>
      <c r="F22" s="3"/>
      <c r="G22" s="3"/>
      <c r="H22" s="3"/>
      <c r="I22" s="3"/>
      <c r="J22" s="3"/>
      <c r="K22" s="3"/>
      <c r="L22" s="3"/>
      <c r="M22" s="3"/>
      <c r="N22" s="3"/>
      <c r="O22" s="3"/>
      <c r="P22" s="3"/>
      <c r="Q22" s="3"/>
      <c r="R22" s="186"/>
      <c r="S22" s="3"/>
      <c r="T22" s="3"/>
      <c r="U22" s="3"/>
      <c r="V22" s="3"/>
      <c r="W22" s="3"/>
      <c r="X22" s="3"/>
      <c r="Y22" s="3"/>
      <c r="Z22" s="3"/>
    </row>
    <row r="23" spans="1:29" ht="14.45" x14ac:dyDescent="0.3">
      <c r="B23" s="187"/>
      <c r="C23" s="344"/>
      <c r="D23" s="351"/>
      <c r="E23" s="351" t="s">
        <v>1771</v>
      </c>
      <c r="F23" s="3"/>
      <c r="G23" s="3"/>
      <c r="H23" s="3"/>
      <c r="I23" s="3"/>
      <c r="J23" s="3"/>
      <c r="K23" s="3"/>
      <c r="L23" s="3"/>
      <c r="M23" s="3"/>
      <c r="N23" s="3"/>
      <c r="O23" s="3"/>
      <c r="P23" s="3"/>
      <c r="Q23" s="3"/>
      <c r="R23" s="186"/>
      <c r="S23" s="3"/>
      <c r="T23" s="3"/>
      <c r="U23" s="3"/>
      <c r="V23" s="3"/>
      <c r="W23" s="3"/>
      <c r="X23" s="3"/>
      <c r="Y23" s="3"/>
      <c r="Z23" s="3"/>
    </row>
    <row r="24" spans="1:29" s="9" customFormat="1" ht="18" x14ac:dyDescent="0.35">
      <c r="B24" s="345"/>
      <c r="C24" s="188">
        <v>2015</v>
      </c>
      <c r="D24" s="188">
        <v>2016</v>
      </c>
      <c r="E24" s="188">
        <v>2017</v>
      </c>
      <c r="F24" s="188">
        <v>2018</v>
      </c>
      <c r="G24" s="188">
        <v>2019</v>
      </c>
      <c r="H24" s="188">
        <v>2020</v>
      </c>
      <c r="I24" s="188">
        <v>2021</v>
      </c>
      <c r="J24" s="188">
        <v>2022</v>
      </c>
      <c r="K24" s="188">
        <v>2023</v>
      </c>
      <c r="L24" s="188">
        <v>2024</v>
      </c>
      <c r="M24" s="188">
        <v>2025</v>
      </c>
      <c r="N24" s="188">
        <v>2026</v>
      </c>
      <c r="O24" s="189">
        <v>2027</v>
      </c>
      <c r="P24" s="189">
        <v>2028</v>
      </c>
      <c r="Q24" s="189">
        <v>2029</v>
      </c>
      <c r="R24" s="191"/>
      <c r="S24" s="190"/>
      <c r="T24" s="190"/>
      <c r="U24" s="190"/>
      <c r="V24" s="190"/>
      <c r="W24" s="190"/>
      <c r="X24" s="190"/>
      <c r="Y24" s="190"/>
      <c r="Z24" s="190"/>
      <c r="AB24" s="178"/>
      <c r="AC24" s="178"/>
    </row>
    <row r="25" spans="1:29" ht="14.45" customHeight="1" x14ac:dyDescent="0.3">
      <c r="B25" s="346" t="s">
        <v>0</v>
      </c>
      <c r="C25" s="347">
        <f>C17*$C$22</f>
        <v>0</v>
      </c>
      <c r="D25" s="347">
        <f t="shared" ref="D25:Q25" si="1">D17*$C$22</f>
        <v>0</v>
      </c>
      <c r="E25" s="347">
        <f t="shared" si="1"/>
        <v>0</v>
      </c>
      <c r="F25" s="347">
        <f t="shared" si="1"/>
        <v>0</v>
      </c>
      <c r="G25" s="347">
        <f t="shared" si="1"/>
        <v>0</v>
      </c>
      <c r="H25" s="347">
        <f t="shared" si="1"/>
        <v>0</v>
      </c>
      <c r="I25" s="347">
        <f t="shared" si="1"/>
        <v>0</v>
      </c>
      <c r="J25" s="347">
        <f t="shared" si="1"/>
        <v>0</v>
      </c>
      <c r="K25" s="347">
        <f t="shared" si="1"/>
        <v>0</v>
      </c>
      <c r="L25" s="347">
        <f t="shared" si="1"/>
        <v>0</v>
      </c>
      <c r="M25" s="347">
        <f t="shared" si="1"/>
        <v>0</v>
      </c>
      <c r="N25" s="347">
        <f t="shared" si="1"/>
        <v>0</v>
      </c>
      <c r="O25" s="347">
        <f t="shared" si="1"/>
        <v>0</v>
      </c>
      <c r="P25" s="347">
        <f t="shared" si="1"/>
        <v>0</v>
      </c>
      <c r="Q25" s="347">
        <f t="shared" si="1"/>
        <v>0</v>
      </c>
      <c r="R25" s="186"/>
      <c r="S25" s="3"/>
      <c r="T25" s="3"/>
      <c r="U25" s="3"/>
      <c r="V25" s="3"/>
      <c r="W25" s="192"/>
      <c r="X25" s="3"/>
      <c r="Y25" s="3"/>
      <c r="Z25" s="3"/>
      <c r="AB25" s="6"/>
      <c r="AC25" s="6"/>
    </row>
    <row r="26" spans="1:29" ht="14.45" customHeight="1" thickBot="1" x14ac:dyDescent="0.35">
      <c r="B26" s="348" t="s">
        <v>4</v>
      </c>
      <c r="C26" s="349">
        <f t="shared" ref="C26:Q26" si="2">C18*$C$22</f>
        <v>0</v>
      </c>
      <c r="D26" s="349">
        <f t="shared" si="2"/>
        <v>0</v>
      </c>
      <c r="E26" s="349">
        <f t="shared" si="2"/>
        <v>0</v>
      </c>
      <c r="F26" s="349">
        <f t="shared" si="2"/>
        <v>0</v>
      </c>
      <c r="G26" s="349">
        <f t="shared" si="2"/>
        <v>0</v>
      </c>
      <c r="H26" s="349">
        <f t="shared" si="2"/>
        <v>0</v>
      </c>
      <c r="I26" s="349">
        <f t="shared" si="2"/>
        <v>0</v>
      </c>
      <c r="J26" s="349">
        <f t="shared" si="2"/>
        <v>0</v>
      </c>
      <c r="K26" s="349">
        <f t="shared" si="2"/>
        <v>0</v>
      </c>
      <c r="L26" s="349">
        <f t="shared" si="2"/>
        <v>0</v>
      </c>
      <c r="M26" s="349">
        <f t="shared" si="2"/>
        <v>0</v>
      </c>
      <c r="N26" s="349">
        <f t="shared" si="2"/>
        <v>0</v>
      </c>
      <c r="O26" s="349">
        <f t="shared" si="2"/>
        <v>0</v>
      </c>
      <c r="P26" s="349">
        <f t="shared" si="2"/>
        <v>0</v>
      </c>
      <c r="Q26" s="349">
        <f t="shared" si="2"/>
        <v>0</v>
      </c>
      <c r="R26" s="195"/>
      <c r="S26" s="3"/>
      <c r="T26" s="3"/>
      <c r="U26" s="3"/>
      <c r="V26" s="3"/>
      <c r="W26" s="192"/>
      <c r="X26" s="3"/>
      <c r="Y26" s="3"/>
      <c r="Z26" s="3"/>
      <c r="AB26" s="6"/>
      <c r="AC26" s="6"/>
    </row>
    <row r="27" spans="1:29" ht="14.45"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1720</v>
      </c>
      <c r="B29" s="200" t="s">
        <v>1636</v>
      </c>
      <c r="C29" s="183"/>
      <c r="D29" s="183"/>
      <c r="E29" s="183"/>
      <c r="F29" s="183"/>
      <c r="G29" s="183"/>
      <c r="H29" s="183"/>
      <c r="I29" s="183"/>
      <c r="J29" s="183"/>
      <c r="K29" s="183"/>
      <c r="L29" s="183"/>
      <c r="M29" s="183"/>
      <c r="N29" s="183"/>
      <c r="O29" s="183"/>
      <c r="P29" s="183"/>
      <c r="Q29" s="183"/>
      <c r="R29" s="184"/>
      <c r="S29" s="3"/>
      <c r="T29" s="3"/>
      <c r="U29" s="3"/>
      <c r="V29" s="3"/>
      <c r="W29" s="3"/>
      <c r="X29" s="3"/>
      <c r="Y29" s="3"/>
      <c r="Z29" s="3"/>
    </row>
    <row r="30" spans="1:29" ht="14.45" x14ac:dyDescent="0.3">
      <c r="B30" s="187"/>
      <c r="C30" s="3"/>
      <c r="D30" s="3"/>
      <c r="E30" s="3"/>
      <c r="F30" s="3"/>
      <c r="G30" s="3"/>
      <c r="H30" s="3"/>
      <c r="I30" s="3"/>
      <c r="J30" s="3"/>
      <c r="K30" s="3"/>
      <c r="L30" s="3"/>
      <c r="M30" s="3"/>
      <c r="N30" s="3"/>
      <c r="O30" s="3"/>
      <c r="P30" s="3"/>
      <c r="Q30" s="3"/>
      <c r="R30" s="186"/>
    </row>
    <row r="31" spans="1:29" ht="14.45" x14ac:dyDescent="0.3">
      <c r="B31" s="352" t="s">
        <v>738</v>
      </c>
      <c r="C31" s="287" t="s">
        <v>1637</v>
      </c>
      <c r="D31" s="287" t="s">
        <v>1638</v>
      </c>
      <c r="E31" s="3"/>
      <c r="F31" s="3"/>
      <c r="G31" s="3"/>
      <c r="H31" s="3"/>
      <c r="I31" s="3"/>
      <c r="J31" s="3"/>
      <c r="K31" s="3"/>
      <c r="L31" s="3"/>
      <c r="M31" s="3"/>
      <c r="N31" s="3"/>
      <c r="O31" s="3"/>
      <c r="P31" s="3"/>
      <c r="Q31" s="3"/>
      <c r="R31" s="186"/>
    </row>
    <row r="32" spans="1:29" x14ac:dyDescent="0.25">
      <c r="B32" s="352" t="s">
        <v>1639</v>
      </c>
      <c r="C32" s="288">
        <v>0.215</v>
      </c>
      <c r="D32" s="289">
        <v>15</v>
      </c>
      <c r="E32" s="3"/>
      <c r="F32" s="400" t="s">
        <v>1640</v>
      </c>
      <c r="G32" s="400"/>
      <c r="H32" s="400"/>
      <c r="I32" s="400"/>
      <c r="J32" s="400"/>
      <c r="K32" s="400"/>
      <c r="L32" s="400"/>
      <c r="M32" s="400"/>
      <c r="N32" s="400"/>
      <c r="O32" s="400"/>
      <c r="P32" s="3"/>
      <c r="Q32" s="3"/>
      <c r="R32" s="186"/>
    </row>
    <row r="33" spans="2:18" x14ac:dyDescent="0.25">
      <c r="B33" s="352" t="s">
        <v>1641</v>
      </c>
      <c r="C33" s="288">
        <v>3.2000000000000001E-2</v>
      </c>
      <c r="D33" s="289">
        <v>8</v>
      </c>
      <c r="E33" s="3"/>
      <c r="F33" s="400"/>
      <c r="G33" s="400"/>
      <c r="H33" s="400"/>
      <c r="I33" s="400"/>
      <c r="J33" s="400"/>
      <c r="K33" s="400"/>
      <c r="L33" s="400"/>
      <c r="M33" s="400"/>
      <c r="N33" s="400"/>
      <c r="O33" s="400"/>
      <c r="P33" s="3"/>
      <c r="Q33" s="3"/>
      <c r="R33" s="186"/>
    </row>
    <row r="34" spans="2:18" x14ac:dyDescent="0.25">
      <c r="B34" s="352" t="s">
        <v>1642</v>
      </c>
      <c r="C34" s="288">
        <v>8.5999999999999993E-2</v>
      </c>
      <c r="D34" s="289">
        <v>3</v>
      </c>
      <c r="E34" s="3"/>
      <c r="F34" s="400"/>
      <c r="G34" s="400"/>
      <c r="H34" s="400"/>
      <c r="I34" s="400"/>
      <c r="J34" s="400"/>
      <c r="K34" s="400"/>
      <c r="L34" s="400"/>
      <c r="M34" s="400"/>
      <c r="N34" s="400"/>
      <c r="O34" s="400"/>
      <c r="P34" s="3"/>
      <c r="Q34" s="3"/>
      <c r="R34" s="186"/>
    </row>
    <row r="35" spans="2:18" x14ac:dyDescent="0.25">
      <c r="B35" s="352" t="s">
        <v>1643</v>
      </c>
      <c r="C35" s="288">
        <v>0.53900000000000003</v>
      </c>
      <c r="D35" s="289">
        <v>15</v>
      </c>
      <c r="E35" s="3"/>
      <c r="F35" s="400"/>
      <c r="G35" s="400"/>
      <c r="H35" s="400"/>
      <c r="I35" s="400"/>
      <c r="J35" s="400"/>
      <c r="K35" s="400"/>
      <c r="L35" s="400"/>
      <c r="M35" s="400"/>
      <c r="N35" s="400"/>
      <c r="O35" s="400"/>
      <c r="P35" s="3"/>
      <c r="Q35" s="3"/>
      <c r="R35" s="186"/>
    </row>
    <row r="36" spans="2:18" x14ac:dyDescent="0.25">
      <c r="B36" s="352" t="s">
        <v>1644</v>
      </c>
      <c r="C36" s="288">
        <v>4.8000000000000001E-2</v>
      </c>
      <c r="D36" s="289">
        <v>8</v>
      </c>
      <c r="E36" s="3"/>
      <c r="F36" s="400"/>
      <c r="G36" s="400"/>
      <c r="H36" s="400"/>
      <c r="I36" s="400"/>
      <c r="J36" s="400"/>
      <c r="K36" s="400"/>
      <c r="L36" s="400"/>
      <c r="M36" s="400"/>
      <c r="N36" s="400"/>
      <c r="O36" s="400"/>
      <c r="P36" s="3"/>
      <c r="Q36" s="3"/>
      <c r="R36" s="186"/>
    </row>
    <row r="37" spans="2:18" x14ac:dyDescent="0.25">
      <c r="B37" s="352" t="s">
        <v>1645</v>
      </c>
      <c r="C37" s="288">
        <v>0.08</v>
      </c>
      <c r="D37" s="289">
        <v>10</v>
      </c>
      <c r="E37" s="3"/>
      <c r="F37" s="400"/>
      <c r="G37" s="400"/>
      <c r="H37" s="400"/>
      <c r="I37" s="400"/>
      <c r="J37" s="400"/>
      <c r="K37" s="400"/>
      <c r="L37" s="400"/>
      <c r="M37" s="400"/>
      <c r="N37" s="400"/>
      <c r="O37" s="400"/>
      <c r="P37" s="3"/>
      <c r="Q37" s="3"/>
      <c r="R37" s="186"/>
    </row>
    <row r="38" spans="2:18" x14ac:dyDescent="0.25">
      <c r="B38" s="352" t="s">
        <v>1646</v>
      </c>
      <c r="C38" s="287"/>
      <c r="D38" s="287"/>
      <c r="E38" s="3"/>
      <c r="F38" s="400"/>
      <c r="G38" s="400"/>
      <c r="H38" s="400"/>
      <c r="I38" s="400"/>
      <c r="J38" s="400"/>
      <c r="K38" s="400"/>
      <c r="L38" s="400"/>
      <c r="M38" s="400"/>
      <c r="N38" s="400"/>
      <c r="O38" s="400"/>
      <c r="P38" s="3"/>
      <c r="Q38" s="3"/>
      <c r="R38" s="186"/>
    </row>
    <row r="39" spans="2:18" ht="15.75" thickBot="1" x14ac:dyDescent="0.3">
      <c r="B39" s="193"/>
      <c r="C39" s="194"/>
      <c r="D39" s="194"/>
      <c r="E39" s="194"/>
      <c r="F39" s="194"/>
      <c r="G39" s="194"/>
      <c r="H39" s="194"/>
      <c r="I39" s="194"/>
      <c r="J39" s="194"/>
      <c r="K39" s="194"/>
      <c r="L39" s="194"/>
      <c r="M39" s="194"/>
      <c r="N39" s="194"/>
      <c r="O39" s="194"/>
      <c r="P39" s="194"/>
      <c r="Q39" s="194"/>
      <c r="R39" s="195"/>
    </row>
    <row r="40" spans="2:18" x14ac:dyDescent="0.25">
      <c r="B40" s="3"/>
      <c r="C40" s="3"/>
      <c r="D40" s="3"/>
      <c r="E40" s="3"/>
      <c r="F40" s="3"/>
      <c r="G40" s="3"/>
      <c r="H40" s="3"/>
      <c r="I40" s="3"/>
      <c r="J40" s="3"/>
      <c r="K40" s="3"/>
      <c r="L40" s="3"/>
      <c r="M40" s="3"/>
      <c r="N40" s="3"/>
      <c r="O40" s="3"/>
      <c r="P40" s="3"/>
      <c r="Q40" s="3"/>
      <c r="R40" s="3"/>
    </row>
    <row r="41" spans="2:18" ht="15.75" thickBot="1" x14ac:dyDescent="0.3">
      <c r="B41" s="3"/>
      <c r="C41" s="3"/>
      <c r="D41" s="3"/>
      <c r="E41" s="3"/>
      <c r="F41" s="3"/>
      <c r="G41" s="3"/>
      <c r="H41" s="3"/>
      <c r="I41" s="3"/>
      <c r="J41" s="3"/>
      <c r="K41" s="3"/>
      <c r="L41" s="3"/>
      <c r="M41" s="3"/>
      <c r="N41" s="3"/>
      <c r="O41" s="3"/>
      <c r="P41" s="3"/>
      <c r="Q41" s="3"/>
      <c r="R41" s="3"/>
    </row>
    <row r="42" spans="2:18" ht="18.75" x14ac:dyDescent="0.3">
      <c r="B42" s="200" t="s">
        <v>1647</v>
      </c>
      <c r="C42" s="183"/>
      <c r="D42" s="183"/>
      <c r="E42" s="183"/>
      <c r="F42" s="183"/>
      <c r="G42" s="183"/>
      <c r="H42" s="183"/>
      <c r="I42" s="183"/>
      <c r="J42" s="183"/>
      <c r="K42" s="183"/>
      <c r="L42" s="183"/>
      <c r="M42" s="183"/>
      <c r="N42" s="183"/>
      <c r="O42" s="183"/>
      <c r="P42" s="183"/>
      <c r="Q42" s="183"/>
      <c r="R42" s="184"/>
    </row>
    <row r="43" spans="2:18" ht="18.75" x14ac:dyDescent="0.3">
      <c r="B43" s="353"/>
      <c r="C43" s="3" t="s">
        <v>1648</v>
      </c>
      <c r="D43" s="3"/>
      <c r="E43" s="3"/>
      <c r="F43" s="3"/>
      <c r="G43" s="3"/>
      <c r="H43" s="3"/>
      <c r="I43" s="3"/>
      <c r="J43" s="3"/>
      <c r="K43" s="3"/>
      <c r="L43" s="3"/>
      <c r="M43" s="3"/>
      <c r="N43" s="3"/>
      <c r="O43" s="3"/>
      <c r="P43" s="3"/>
      <c r="Q43" s="3"/>
      <c r="R43" s="186"/>
    </row>
    <row r="44" spans="2:18" x14ac:dyDescent="0.25">
      <c r="B44" s="187"/>
      <c r="C44" s="287">
        <f t="shared" ref="C44:Q44" si="3">C48</f>
        <v>2015</v>
      </c>
      <c r="D44" s="287">
        <f t="shared" si="3"/>
        <v>2016</v>
      </c>
      <c r="E44" s="287">
        <f t="shared" si="3"/>
        <v>2017</v>
      </c>
      <c r="F44" s="287">
        <f t="shared" si="3"/>
        <v>2018</v>
      </c>
      <c r="G44" s="287">
        <f t="shared" si="3"/>
        <v>2019</v>
      </c>
      <c r="H44" s="287">
        <f t="shared" si="3"/>
        <v>2020</v>
      </c>
      <c r="I44" s="287">
        <f t="shared" si="3"/>
        <v>2021</v>
      </c>
      <c r="J44" s="287">
        <f t="shared" si="3"/>
        <v>2022</v>
      </c>
      <c r="K44" s="287">
        <f t="shared" si="3"/>
        <v>2023</v>
      </c>
      <c r="L44" s="287">
        <f t="shared" si="3"/>
        <v>2024</v>
      </c>
      <c r="M44" s="287">
        <f t="shared" si="3"/>
        <v>2025</v>
      </c>
      <c r="N44" s="287">
        <f t="shared" si="3"/>
        <v>2026</v>
      </c>
      <c r="O44" s="287">
        <f t="shared" si="3"/>
        <v>2027</v>
      </c>
      <c r="P44" s="287">
        <f t="shared" si="3"/>
        <v>2028</v>
      </c>
      <c r="Q44" s="287">
        <f t="shared" si="3"/>
        <v>2029</v>
      </c>
      <c r="R44" s="186"/>
    </row>
    <row r="45" spans="2:18" x14ac:dyDescent="0.25">
      <c r="B45" s="187"/>
      <c r="C45" s="291">
        <f>C25</f>
        <v>0</v>
      </c>
      <c r="D45" s="291">
        <f t="shared" ref="D45:Q45" si="4">D25</f>
        <v>0</v>
      </c>
      <c r="E45" s="291">
        <f t="shared" si="4"/>
        <v>0</v>
      </c>
      <c r="F45" s="291">
        <f t="shared" si="4"/>
        <v>0</v>
      </c>
      <c r="G45" s="291">
        <f t="shared" si="4"/>
        <v>0</v>
      </c>
      <c r="H45" s="291">
        <f t="shared" si="4"/>
        <v>0</v>
      </c>
      <c r="I45" s="291">
        <f t="shared" si="4"/>
        <v>0</v>
      </c>
      <c r="J45" s="291">
        <f t="shared" si="4"/>
        <v>0</v>
      </c>
      <c r="K45" s="291">
        <f t="shared" si="4"/>
        <v>0</v>
      </c>
      <c r="L45" s="291">
        <f t="shared" si="4"/>
        <v>0</v>
      </c>
      <c r="M45" s="291">
        <f t="shared" si="4"/>
        <v>0</v>
      </c>
      <c r="N45" s="291">
        <f t="shared" si="4"/>
        <v>0</v>
      </c>
      <c r="O45" s="291">
        <f t="shared" si="4"/>
        <v>0</v>
      </c>
      <c r="P45" s="291">
        <f t="shared" si="4"/>
        <v>0</v>
      </c>
      <c r="Q45" s="291">
        <f t="shared" si="4"/>
        <v>0</v>
      </c>
      <c r="R45" s="186"/>
    </row>
    <row r="46" spans="2:18" x14ac:dyDescent="0.25">
      <c r="B46" s="187"/>
      <c r="C46" s="3"/>
      <c r="D46" s="3"/>
      <c r="E46" s="3"/>
      <c r="F46" s="3"/>
      <c r="G46" s="3"/>
      <c r="H46" s="3"/>
      <c r="I46" s="3"/>
      <c r="J46" s="3"/>
      <c r="K46" s="3"/>
      <c r="L46" s="3"/>
      <c r="M46" s="3"/>
      <c r="N46" s="3"/>
      <c r="O46" s="3"/>
      <c r="P46" s="3"/>
      <c r="Q46" s="3"/>
      <c r="R46" s="186"/>
    </row>
    <row r="47" spans="2:18" x14ac:dyDescent="0.25">
      <c r="B47" s="187"/>
      <c r="C47" s="3"/>
      <c r="D47" s="3"/>
      <c r="E47" s="3"/>
      <c r="F47" s="3"/>
      <c r="G47" s="3"/>
      <c r="H47" s="3"/>
      <c r="I47" s="3"/>
      <c r="J47" s="3"/>
      <c r="K47" s="3"/>
      <c r="L47" s="3"/>
      <c r="M47" s="3"/>
      <c r="N47" s="3"/>
      <c r="O47" s="3"/>
      <c r="P47" s="3"/>
      <c r="Q47" s="3"/>
      <c r="R47" s="186"/>
    </row>
    <row r="48" spans="2:18" x14ac:dyDescent="0.25">
      <c r="B48" s="352" t="s">
        <v>9</v>
      </c>
      <c r="C48" s="287">
        <v>2015</v>
      </c>
      <c r="D48" s="287">
        <f t="shared" ref="D48:Q48" si="5">C48+1</f>
        <v>2016</v>
      </c>
      <c r="E48" s="287">
        <f t="shared" si="5"/>
        <v>2017</v>
      </c>
      <c r="F48" s="287">
        <f t="shared" si="5"/>
        <v>2018</v>
      </c>
      <c r="G48" s="287">
        <f t="shared" si="5"/>
        <v>2019</v>
      </c>
      <c r="H48" s="287">
        <f t="shared" si="5"/>
        <v>2020</v>
      </c>
      <c r="I48" s="287">
        <f t="shared" si="5"/>
        <v>2021</v>
      </c>
      <c r="J48" s="287">
        <f t="shared" si="5"/>
        <v>2022</v>
      </c>
      <c r="K48" s="287">
        <f t="shared" si="5"/>
        <v>2023</v>
      </c>
      <c r="L48" s="287">
        <f t="shared" si="5"/>
        <v>2024</v>
      </c>
      <c r="M48" s="287">
        <f t="shared" si="5"/>
        <v>2025</v>
      </c>
      <c r="N48" s="287">
        <f t="shared" si="5"/>
        <v>2026</v>
      </c>
      <c r="O48" s="287">
        <f t="shared" si="5"/>
        <v>2027</v>
      </c>
      <c r="P48" s="287">
        <f t="shared" si="5"/>
        <v>2028</v>
      </c>
      <c r="Q48" s="287">
        <f t="shared" si="5"/>
        <v>2029</v>
      </c>
      <c r="R48" s="186"/>
    </row>
    <row r="49" spans="2:18" x14ac:dyDescent="0.25">
      <c r="B49" s="352">
        <v>2015</v>
      </c>
      <c r="C49" s="293">
        <f t="shared" ref="C49:Q49" si="6">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0</v>
      </c>
      <c r="D49" s="293">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0</v>
      </c>
      <c r="E49" s="293">
        <f t="shared" si="6"/>
        <v>0</v>
      </c>
      <c r="F49" s="293">
        <f t="shared" si="6"/>
        <v>0</v>
      </c>
      <c r="G49" s="293">
        <f t="shared" si="6"/>
        <v>0</v>
      </c>
      <c r="H49" s="293">
        <f t="shared" si="6"/>
        <v>0</v>
      </c>
      <c r="I49" s="293">
        <f t="shared" si="6"/>
        <v>0</v>
      </c>
      <c r="J49" s="293">
        <f t="shared" si="6"/>
        <v>0</v>
      </c>
      <c r="K49" s="293">
        <f t="shared" si="6"/>
        <v>0</v>
      </c>
      <c r="L49" s="293">
        <f t="shared" si="6"/>
        <v>0</v>
      </c>
      <c r="M49" s="293">
        <f t="shared" si="6"/>
        <v>0</v>
      </c>
      <c r="N49" s="293">
        <f t="shared" si="6"/>
        <v>0</v>
      </c>
      <c r="O49" s="293">
        <f t="shared" si="6"/>
        <v>0</v>
      </c>
      <c r="P49" s="293">
        <f t="shared" si="6"/>
        <v>0</v>
      </c>
      <c r="Q49" s="293">
        <f t="shared" si="6"/>
        <v>0</v>
      </c>
      <c r="R49" s="186"/>
    </row>
    <row r="50" spans="2:18" x14ac:dyDescent="0.25">
      <c r="B50" s="352">
        <f t="shared" ref="B50:B64" si="7">B49+1</f>
        <v>2016</v>
      </c>
      <c r="C50" s="293"/>
      <c r="D50" s="293">
        <f t="shared" ref="D50:Q58" si="8">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0</v>
      </c>
      <c r="E50" s="293">
        <f t="shared" si="8"/>
        <v>0</v>
      </c>
      <c r="F50" s="293">
        <f t="shared" si="8"/>
        <v>0</v>
      </c>
      <c r="G50" s="293">
        <f t="shared" si="8"/>
        <v>0</v>
      </c>
      <c r="H50" s="293">
        <f t="shared" si="8"/>
        <v>0</v>
      </c>
      <c r="I50" s="293">
        <f t="shared" si="8"/>
        <v>0</v>
      </c>
      <c r="J50" s="293">
        <f t="shared" si="8"/>
        <v>0</v>
      </c>
      <c r="K50" s="293">
        <f t="shared" si="8"/>
        <v>0</v>
      </c>
      <c r="L50" s="293">
        <f t="shared" si="8"/>
        <v>0</v>
      </c>
      <c r="M50" s="293">
        <f t="shared" si="8"/>
        <v>0</v>
      </c>
      <c r="N50" s="293">
        <f t="shared" si="8"/>
        <v>0</v>
      </c>
      <c r="O50" s="293">
        <f t="shared" si="8"/>
        <v>0</v>
      </c>
      <c r="P50" s="293">
        <f t="shared" si="8"/>
        <v>0</v>
      </c>
      <c r="Q50" s="293">
        <f t="shared" si="8"/>
        <v>0</v>
      </c>
      <c r="R50" s="186"/>
    </row>
    <row r="51" spans="2:18" x14ac:dyDescent="0.25">
      <c r="B51" s="352">
        <f t="shared" si="7"/>
        <v>2017</v>
      </c>
      <c r="C51" s="293"/>
      <c r="D51" s="293"/>
      <c r="E51" s="293">
        <f t="shared" si="8"/>
        <v>0</v>
      </c>
      <c r="F51" s="293">
        <f t="shared" si="8"/>
        <v>0</v>
      </c>
      <c r="G51" s="293">
        <f t="shared" si="8"/>
        <v>0</v>
      </c>
      <c r="H51" s="293">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0</v>
      </c>
      <c r="I51" s="293">
        <f t="shared" si="8"/>
        <v>0</v>
      </c>
      <c r="J51" s="293">
        <f t="shared" si="8"/>
        <v>0</v>
      </c>
      <c r="K51" s="293">
        <f t="shared" si="8"/>
        <v>0</v>
      </c>
      <c r="L51" s="293">
        <f t="shared" si="8"/>
        <v>0</v>
      </c>
      <c r="M51" s="293">
        <f t="shared" si="8"/>
        <v>0</v>
      </c>
      <c r="N51" s="293">
        <f t="shared" si="8"/>
        <v>0</v>
      </c>
      <c r="O51" s="293">
        <f t="shared" si="8"/>
        <v>0</v>
      </c>
      <c r="P51" s="293">
        <f t="shared" si="8"/>
        <v>0</v>
      </c>
      <c r="Q51" s="293">
        <f t="shared" si="8"/>
        <v>0</v>
      </c>
      <c r="R51" s="186"/>
    </row>
    <row r="52" spans="2:18" x14ac:dyDescent="0.25">
      <c r="B52" s="352">
        <f t="shared" si="7"/>
        <v>2018</v>
      </c>
      <c r="C52" s="293"/>
      <c r="D52" s="293"/>
      <c r="E52" s="293"/>
      <c r="F52" s="293">
        <f t="shared" si="8"/>
        <v>0</v>
      </c>
      <c r="G52" s="293">
        <f t="shared" si="8"/>
        <v>0</v>
      </c>
      <c r="H52" s="293">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0</v>
      </c>
      <c r="I52" s="293">
        <f t="shared" si="8"/>
        <v>0</v>
      </c>
      <c r="J52" s="293">
        <f t="shared" si="8"/>
        <v>0</v>
      </c>
      <c r="K52" s="293">
        <f t="shared" si="8"/>
        <v>0</v>
      </c>
      <c r="L52" s="293">
        <f t="shared" si="8"/>
        <v>0</v>
      </c>
      <c r="M52" s="293">
        <f t="shared" si="8"/>
        <v>0</v>
      </c>
      <c r="N52" s="293">
        <f t="shared" si="8"/>
        <v>0</v>
      </c>
      <c r="O52" s="293">
        <f t="shared" si="8"/>
        <v>0</v>
      </c>
      <c r="P52" s="293">
        <f t="shared" si="8"/>
        <v>0</v>
      </c>
      <c r="Q52" s="293">
        <f t="shared" si="8"/>
        <v>0</v>
      </c>
      <c r="R52" s="186"/>
    </row>
    <row r="53" spans="2:18" x14ac:dyDescent="0.25">
      <c r="B53" s="352">
        <f t="shared" si="7"/>
        <v>2019</v>
      </c>
      <c r="C53" s="293"/>
      <c r="D53" s="293"/>
      <c r="E53" s="293"/>
      <c r="F53" s="293"/>
      <c r="G53" s="293">
        <f t="shared" si="8"/>
        <v>0</v>
      </c>
      <c r="H53" s="293">
        <f t="shared" si="8"/>
        <v>0</v>
      </c>
      <c r="I53" s="293">
        <f t="shared" si="8"/>
        <v>0</v>
      </c>
      <c r="J53" s="293">
        <f t="shared" si="8"/>
        <v>0</v>
      </c>
      <c r="K53" s="293">
        <f t="shared" si="8"/>
        <v>0</v>
      </c>
      <c r="L53" s="293">
        <f t="shared" si="8"/>
        <v>0</v>
      </c>
      <c r="M53" s="293">
        <f t="shared" si="8"/>
        <v>0</v>
      </c>
      <c r="N53" s="293">
        <f t="shared" si="8"/>
        <v>0</v>
      </c>
      <c r="O53" s="293">
        <f t="shared" si="8"/>
        <v>0</v>
      </c>
      <c r="P53" s="293">
        <f t="shared" si="8"/>
        <v>0</v>
      </c>
      <c r="Q53" s="293">
        <f t="shared" si="8"/>
        <v>0</v>
      </c>
      <c r="R53" s="186"/>
    </row>
    <row r="54" spans="2:18" x14ac:dyDescent="0.25">
      <c r="B54" s="352">
        <f t="shared" si="7"/>
        <v>2020</v>
      </c>
      <c r="C54" s="293"/>
      <c r="D54" s="293"/>
      <c r="E54" s="293"/>
      <c r="F54" s="293"/>
      <c r="G54" s="293"/>
      <c r="H54" s="293">
        <f t="shared" si="8"/>
        <v>0</v>
      </c>
      <c r="I54" s="293">
        <f t="shared" si="8"/>
        <v>0</v>
      </c>
      <c r="J54" s="293">
        <f t="shared" si="8"/>
        <v>0</v>
      </c>
      <c r="K54" s="293">
        <f t="shared" si="8"/>
        <v>0</v>
      </c>
      <c r="L54" s="293">
        <f t="shared" si="8"/>
        <v>0</v>
      </c>
      <c r="M54" s="293">
        <f t="shared" si="8"/>
        <v>0</v>
      </c>
      <c r="N54" s="293">
        <f t="shared" si="8"/>
        <v>0</v>
      </c>
      <c r="O54" s="293">
        <f t="shared" si="8"/>
        <v>0</v>
      </c>
      <c r="P54" s="293">
        <f t="shared" si="8"/>
        <v>0</v>
      </c>
      <c r="Q54" s="293">
        <f t="shared" si="8"/>
        <v>0</v>
      </c>
      <c r="R54" s="186"/>
    </row>
    <row r="55" spans="2:18" x14ac:dyDescent="0.25">
      <c r="B55" s="352">
        <f t="shared" si="7"/>
        <v>2021</v>
      </c>
      <c r="C55" s="293"/>
      <c r="D55" s="293"/>
      <c r="E55" s="293"/>
      <c r="F55" s="293"/>
      <c r="G55" s="293"/>
      <c r="H55" s="293"/>
      <c r="I55" s="293">
        <f t="shared" si="8"/>
        <v>0</v>
      </c>
      <c r="J55" s="293">
        <f t="shared" si="8"/>
        <v>0</v>
      </c>
      <c r="K55" s="293">
        <f t="shared" si="8"/>
        <v>0</v>
      </c>
      <c r="L55" s="293">
        <f t="shared" si="8"/>
        <v>0</v>
      </c>
      <c r="M55" s="293">
        <f t="shared" si="8"/>
        <v>0</v>
      </c>
      <c r="N55" s="293">
        <f t="shared" si="8"/>
        <v>0</v>
      </c>
      <c r="O55" s="293">
        <f t="shared" si="8"/>
        <v>0</v>
      </c>
      <c r="P55" s="293">
        <f t="shared" si="8"/>
        <v>0</v>
      </c>
      <c r="Q55" s="293">
        <f t="shared" si="8"/>
        <v>0</v>
      </c>
      <c r="R55" s="186"/>
    </row>
    <row r="56" spans="2:18" x14ac:dyDescent="0.25">
      <c r="B56" s="352">
        <f t="shared" si="7"/>
        <v>2022</v>
      </c>
      <c r="C56" s="293"/>
      <c r="D56" s="293"/>
      <c r="E56" s="293"/>
      <c r="F56" s="293"/>
      <c r="G56" s="293"/>
      <c r="H56" s="293"/>
      <c r="I56" s="293"/>
      <c r="J56" s="293">
        <f t="shared" si="8"/>
        <v>0</v>
      </c>
      <c r="K56" s="293">
        <f t="shared" si="8"/>
        <v>0</v>
      </c>
      <c r="L56" s="293">
        <f t="shared" si="8"/>
        <v>0</v>
      </c>
      <c r="M56" s="293">
        <f t="shared" si="8"/>
        <v>0</v>
      </c>
      <c r="N56" s="293">
        <f t="shared" si="8"/>
        <v>0</v>
      </c>
      <c r="O56" s="293">
        <f t="shared" si="8"/>
        <v>0</v>
      </c>
      <c r="P56" s="293">
        <f t="shared" si="8"/>
        <v>0</v>
      </c>
      <c r="Q56" s="293">
        <f t="shared" si="8"/>
        <v>0</v>
      </c>
      <c r="R56" s="186"/>
    </row>
    <row r="57" spans="2:18" x14ac:dyDescent="0.25">
      <c r="B57" s="352">
        <f t="shared" si="7"/>
        <v>2023</v>
      </c>
      <c r="C57" s="293"/>
      <c r="D57" s="293"/>
      <c r="E57" s="293"/>
      <c r="F57" s="293"/>
      <c r="G57" s="293"/>
      <c r="H57" s="293"/>
      <c r="I57" s="293"/>
      <c r="J57" s="293"/>
      <c r="K57" s="293">
        <f t="shared" si="8"/>
        <v>0</v>
      </c>
      <c r="L57" s="293">
        <f t="shared" si="8"/>
        <v>0</v>
      </c>
      <c r="M57" s="293">
        <f t="shared" si="8"/>
        <v>0</v>
      </c>
      <c r="N57" s="293">
        <f t="shared" si="8"/>
        <v>0</v>
      </c>
      <c r="O57" s="293">
        <f t="shared" si="8"/>
        <v>0</v>
      </c>
      <c r="P57" s="293">
        <f t="shared" si="8"/>
        <v>0</v>
      </c>
      <c r="Q57" s="293">
        <f t="shared" si="8"/>
        <v>0</v>
      </c>
      <c r="R57" s="186"/>
    </row>
    <row r="58" spans="2:18" x14ac:dyDescent="0.25">
      <c r="B58" s="352">
        <f t="shared" si="7"/>
        <v>2024</v>
      </c>
      <c r="C58" s="293"/>
      <c r="D58" s="293"/>
      <c r="E58" s="293"/>
      <c r="F58" s="293"/>
      <c r="G58" s="293"/>
      <c r="H58" s="293"/>
      <c r="I58" s="293"/>
      <c r="J58" s="293"/>
      <c r="K58" s="293"/>
      <c r="L58" s="293">
        <f t="shared" si="8"/>
        <v>0</v>
      </c>
      <c r="M58" s="293">
        <f t="shared" si="8"/>
        <v>0</v>
      </c>
      <c r="N58" s="293">
        <f t="shared" si="8"/>
        <v>0</v>
      </c>
      <c r="O58" s="293">
        <f t="shared" si="8"/>
        <v>0</v>
      </c>
      <c r="P58" s="293">
        <f t="shared" si="8"/>
        <v>0</v>
      </c>
      <c r="Q58" s="293">
        <f t="shared" si="8"/>
        <v>0</v>
      </c>
      <c r="R58" s="186"/>
    </row>
    <row r="59" spans="2:18" x14ac:dyDescent="0.25">
      <c r="B59" s="352">
        <f t="shared" si="7"/>
        <v>2025</v>
      </c>
      <c r="C59" s="293"/>
      <c r="D59" s="293"/>
      <c r="E59" s="293"/>
      <c r="F59" s="293"/>
      <c r="G59" s="293"/>
      <c r="H59" s="293"/>
      <c r="I59" s="293"/>
      <c r="J59" s="293"/>
      <c r="K59" s="293"/>
      <c r="L59" s="293"/>
      <c r="M59" s="293">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0</v>
      </c>
      <c r="N59" s="293">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0</v>
      </c>
      <c r="O59" s="293">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0</v>
      </c>
      <c r="P59" s="293">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0</v>
      </c>
      <c r="Q59" s="293">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0</v>
      </c>
      <c r="R59" s="186"/>
    </row>
    <row r="60" spans="2:18" x14ac:dyDescent="0.25">
      <c r="B60" s="352">
        <f t="shared" si="7"/>
        <v>2026</v>
      </c>
      <c r="C60" s="293"/>
      <c r="D60" s="293"/>
      <c r="E60" s="293"/>
      <c r="F60" s="293"/>
      <c r="G60" s="293"/>
      <c r="H60" s="293"/>
      <c r="I60" s="293"/>
      <c r="J60" s="293"/>
      <c r="K60" s="293"/>
      <c r="L60" s="293"/>
      <c r="M60" s="293"/>
      <c r="N60" s="293">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0</v>
      </c>
      <c r="O60" s="293">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0</v>
      </c>
      <c r="P60" s="293">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0</v>
      </c>
      <c r="Q60" s="293">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0</v>
      </c>
      <c r="R60" s="186"/>
    </row>
    <row r="61" spans="2:18" x14ac:dyDescent="0.25">
      <c r="B61" s="352">
        <f t="shared" si="7"/>
        <v>2027</v>
      </c>
      <c r="C61" s="293"/>
      <c r="D61" s="293"/>
      <c r="E61" s="293"/>
      <c r="F61" s="293"/>
      <c r="G61" s="293"/>
      <c r="H61" s="293"/>
      <c r="I61" s="293"/>
      <c r="J61" s="293"/>
      <c r="K61" s="293"/>
      <c r="L61" s="293"/>
      <c r="M61" s="293"/>
      <c r="N61" s="293"/>
      <c r="O61" s="293">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0</v>
      </c>
      <c r="P61" s="293">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0</v>
      </c>
      <c r="Q61" s="293">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0</v>
      </c>
      <c r="R61" s="186"/>
    </row>
    <row r="62" spans="2:18" x14ac:dyDescent="0.25">
      <c r="B62" s="352">
        <f t="shared" si="7"/>
        <v>2028</v>
      </c>
      <c r="C62" s="293"/>
      <c r="D62" s="293"/>
      <c r="E62" s="293"/>
      <c r="F62" s="293"/>
      <c r="G62" s="293"/>
      <c r="H62" s="293"/>
      <c r="I62" s="293"/>
      <c r="J62" s="293"/>
      <c r="K62" s="293"/>
      <c r="L62" s="293"/>
      <c r="M62" s="293"/>
      <c r="N62" s="293"/>
      <c r="O62" s="293"/>
      <c r="P62" s="293">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0</v>
      </c>
      <c r="Q62" s="293">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0</v>
      </c>
      <c r="R62" s="186"/>
    </row>
    <row r="63" spans="2:18" x14ac:dyDescent="0.25">
      <c r="B63" s="352">
        <f t="shared" si="7"/>
        <v>2029</v>
      </c>
      <c r="C63" s="293"/>
      <c r="D63" s="293"/>
      <c r="E63" s="293"/>
      <c r="F63" s="293"/>
      <c r="G63" s="293"/>
      <c r="H63" s="293"/>
      <c r="I63" s="293"/>
      <c r="J63" s="293"/>
      <c r="K63" s="293"/>
      <c r="L63" s="293"/>
      <c r="M63" s="293"/>
      <c r="N63" s="293"/>
      <c r="O63" s="293"/>
      <c r="P63" s="293"/>
      <c r="Q63" s="293">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0</v>
      </c>
      <c r="R63" s="186"/>
    </row>
    <row r="64" spans="2:18" x14ac:dyDescent="0.25">
      <c r="B64" s="352">
        <f t="shared" si="7"/>
        <v>2030</v>
      </c>
      <c r="C64" s="293"/>
      <c r="D64" s="293"/>
      <c r="E64" s="293"/>
      <c r="F64" s="293"/>
      <c r="G64" s="293"/>
      <c r="H64" s="293"/>
      <c r="I64" s="293"/>
      <c r="J64" s="293"/>
      <c r="K64" s="293"/>
      <c r="L64" s="293"/>
      <c r="M64" s="293"/>
      <c r="N64" s="293"/>
      <c r="O64" s="293"/>
      <c r="P64" s="293"/>
      <c r="Q64" s="293"/>
      <c r="R64" s="186"/>
    </row>
    <row r="65" spans="2:18" x14ac:dyDescent="0.25">
      <c r="B65" s="187"/>
      <c r="C65" s="354"/>
      <c r="D65" s="354"/>
      <c r="E65" s="354"/>
      <c r="F65" s="354"/>
      <c r="G65" s="354"/>
      <c r="H65" s="354"/>
      <c r="I65" s="354"/>
      <c r="J65" s="354"/>
      <c r="K65" s="354"/>
      <c r="L65" s="354"/>
      <c r="M65" s="354"/>
      <c r="N65" s="354"/>
      <c r="O65" s="354"/>
      <c r="P65" s="354"/>
      <c r="Q65" s="354"/>
      <c r="R65" s="186"/>
    </row>
    <row r="66" spans="2:18" x14ac:dyDescent="0.25">
      <c r="B66" s="355" t="s">
        <v>1652</v>
      </c>
      <c r="C66" s="356">
        <f t="shared" ref="C66:Q66" si="9">SUM(C49:C64)</f>
        <v>0</v>
      </c>
      <c r="D66" s="356">
        <f t="shared" si="9"/>
        <v>0</v>
      </c>
      <c r="E66" s="356">
        <f t="shared" si="9"/>
        <v>0</v>
      </c>
      <c r="F66" s="356">
        <f t="shared" si="9"/>
        <v>0</v>
      </c>
      <c r="G66" s="356">
        <f>SUM(G49:G64)</f>
        <v>0</v>
      </c>
      <c r="H66" s="356">
        <f t="shared" si="9"/>
        <v>0</v>
      </c>
      <c r="I66" s="356">
        <f t="shared" si="9"/>
        <v>0</v>
      </c>
      <c r="J66" s="356">
        <f t="shared" si="9"/>
        <v>0</v>
      </c>
      <c r="K66" s="356">
        <f t="shared" si="9"/>
        <v>0</v>
      </c>
      <c r="L66" s="356">
        <f t="shared" si="9"/>
        <v>0</v>
      </c>
      <c r="M66" s="356">
        <f t="shared" si="9"/>
        <v>0</v>
      </c>
      <c r="N66" s="356">
        <f t="shared" si="9"/>
        <v>0</v>
      </c>
      <c r="O66" s="356">
        <f t="shared" si="9"/>
        <v>0</v>
      </c>
      <c r="P66" s="356">
        <f t="shared" si="9"/>
        <v>0</v>
      </c>
      <c r="Q66" s="356">
        <f t="shared" si="9"/>
        <v>0</v>
      </c>
      <c r="R66" s="186"/>
    </row>
    <row r="67" spans="2:18" x14ac:dyDescent="0.25">
      <c r="B67" s="187"/>
      <c r="C67" s="3"/>
      <c r="D67" s="3"/>
      <c r="E67" s="3"/>
      <c r="F67" s="3"/>
      <c r="G67" s="3"/>
      <c r="H67" s="3"/>
      <c r="I67" s="3"/>
      <c r="J67" s="3"/>
      <c r="K67" s="3"/>
      <c r="L67" s="3"/>
      <c r="M67" s="3"/>
      <c r="N67" s="3"/>
      <c r="O67" s="3"/>
      <c r="P67" s="3"/>
      <c r="Q67" s="3"/>
      <c r="R67" s="186"/>
    </row>
    <row r="68" spans="2:18" x14ac:dyDescent="0.25">
      <c r="B68" s="187"/>
      <c r="C68" s="3"/>
      <c r="D68" s="3"/>
      <c r="E68" s="3"/>
      <c r="F68" s="3"/>
      <c r="G68" s="3"/>
      <c r="H68" s="3"/>
      <c r="I68" s="3"/>
      <c r="J68" s="3"/>
      <c r="K68" s="3"/>
      <c r="L68" s="3"/>
      <c r="M68" s="3"/>
      <c r="N68" s="3"/>
      <c r="O68" s="3"/>
      <c r="P68" s="3"/>
      <c r="Q68" s="3"/>
      <c r="R68" s="186"/>
    </row>
    <row r="69" spans="2:18" x14ac:dyDescent="0.25">
      <c r="B69" s="187" t="s">
        <v>1647</v>
      </c>
      <c r="C69" s="3" t="s">
        <v>1653</v>
      </c>
      <c r="D69" s="3"/>
      <c r="E69" s="3"/>
      <c r="F69" s="3"/>
      <c r="G69" s="3"/>
      <c r="H69" s="3"/>
      <c r="I69" s="3"/>
      <c r="J69" s="3"/>
      <c r="K69" s="3"/>
      <c r="L69" s="3"/>
      <c r="M69" s="3"/>
      <c r="N69" s="3"/>
      <c r="O69" s="3"/>
      <c r="P69" s="3"/>
      <c r="Q69" s="3"/>
      <c r="R69" s="186"/>
    </row>
    <row r="70" spans="2:18" x14ac:dyDescent="0.25">
      <c r="B70" s="187"/>
      <c r="C70" s="287">
        <f t="shared" ref="C70:Q70" si="10">C73</f>
        <v>2015</v>
      </c>
      <c r="D70" s="287">
        <f t="shared" si="10"/>
        <v>2016</v>
      </c>
      <c r="E70" s="287">
        <f t="shared" si="10"/>
        <v>2017</v>
      </c>
      <c r="F70" s="287">
        <f t="shared" si="10"/>
        <v>2018</v>
      </c>
      <c r="G70" s="287">
        <f t="shared" si="10"/>
        <v>2019</v>
      </c>
      <c r="H70" s="287">
        <f t="shared" si="10"/>
        <v>2020</v>
      </c>
      <c r="I70" s="287">
        <f t="shared" si="10"/>
        <v>2021</v>
      </c>
      <c r="J70" s="287">
        <f t="shared" si="10"/>
        <v>2022</v>
      </c>
      <c r="K70" s="287">
        <f t="shared" si="10"/>
        <v>2023</v>
      </c>
      <c r="L70" s="287">
        <f t="shared" si="10"/>
        <v>2024</v>
      </c>
      <c r="M70" s="287">
        <f t="shared" si="10"/>
        <v>2025</v>
      </c>
      <c r="N70" s="287">
        <f t="shared" si="10"/>
        <v>2026</v>
      </c>
      <c r="O70" s="287">
        <f t="shared" si="10"/>
        <v>2027</v>
      </c>
      <c r="P70" s="287">
        <f t="shared" si="10"/>
        <v>2028</v>
      </c>
      <c r="Q70" s="287">
        <f t="shared" si="10"/>
        <v>2029</v>
      </c>
      <c r="R70" s="186"/>
    </row>
    <row r="71" spans="2:18" x14ac:dyDescent="0.25">
      <c r="B71" s="187"/>
      <c r="C71" s="291">
        <f>C26</f>
        <v>0</v>
      </c>
      <c r="D71" s="291">
        <f t="shared" ref="D71:Q71" si="11">D26</f>
        <v>0</v>
      </c>
      <c r="E71" s="291">
        <f t="shared" si="11"/>
        <v>0</v>
      </c>
      <c r="F71" s="291">
        <f t="shared" si="11"/>
        <v>0</v>
      </c>
      <c r="G71" s="291">
        <f t="shared" si="11"/>
        <v>0</v>
      </c>
      <c r="H71" s="291">
        <f t="shared" si="11"/>
        <v>0</v>
      </c>
      <c r="I71" s="291">
        <f t="shared" si="11"/>
        <v>0</v>
      </c>
      <c r="J71" s="291">
        <f t="shared" si="11"/>
        <v>0</v>
      </c>
      <c r="K71" s="291">
        <f t="shared" si="11"/>
        <v>0</v>
      </c>
      <c r="L71" s="291">
        <f t="shared" si="11"/>
        <v>0</v>
      </c>
      <c r="M71" s="291">
        <f t="shared" si="11"/>
        <v>0</v>
      </c>
      <c r="N71" s="291">
        <f t="shared" si="11"/>
        <v>0</v>
      </c>
      <c r="O71" s="291">
        <f t="shared" si="11"/>
        <v>0</v>
      </c>
      <c r="P71" s="291">
        <f t="shared" si="11"/>
        <v>0</v>
      </c>
      <c r="Q71" s="291">
        <f t="shared" si="11"/>
        <v>0</v>
      </c>
      <c r="R71" s="186"/>
    </row>
    <row r="72" spans="2:18" x14ac:dyDescent="0.25">
      <c r="B72" s="187"/>
      <c r="C72" s="3"/>
      <c r="D72" s="3"/>
      <c r="E72" s="3"/>
      <c r="F72" s="3"/>
      <c r="G72" s="3"/>
      <c r="H72" s="3"/>
      <c r="I72" s="3"/>
      <c r="J72" s="3"/>
      <c r="K72" s="3"/>
      <c r="L72" s="3"/>
      <c r="M72" s="3"/>
      <c r="N72" s="3"/>
      <c r="O72" s="3"/>
      <c r="P72" s="3"/>
      <c r="Q72" s="3"/>
      <c r="R72" s="186"/>
    </row>
    <row r="73" spans="2:18" x14ac:dyDescent="0.25">
      <c r="B73" s="352" t="s">
        <v>9</v>
      </c>
      <c r="C73" s="287">
        <v>2015</v>
      </c>
      <c r="D73" s="287">
        <f t="shared" ref="D73:Q73" si="12">C73+1</f>
        <v>2016</v>
      </c>
      <c r="E73" s="287">
        <f t="shared" si="12"/>
        <v>2017</v>
      </c>
      <c r="F73" s="287">
        <f t="shared" si="12"/>
        <v>2018</v>
      </c>
      <c r="G73" s="287">
        <f t="shared" si="12"/>
        <v>2019</v>
      </c>
      <c r="H73" s="287">
        <f t="shared" si="12"/>
        <v>2020</v>
      </c>
      <c r="I73" s="287">
        <f t="shared" si="12"/>
        <v>2021</v>
      </c>
      <c r="J73" s="287">
        <f t="shared" si="12"/>
        <v>2022</v>
      </c>
      <c r="K73" s="287">
        <f t="shared" si="12"/>
        <v>2023</v>
      </c>
      <c r="L73" s="287">
        <f t="shared" si="12"/>
        <v>2024</v>
      </c>
      <c r="M73" s="287">
        <f t="shared" si="12"/>
        <v>2025</v>
      </c>
      <c r="N73" s="287">
        <f t="shared" si="12"/>
        <v>2026</v>
      </c>
      <c r="O73" s="287">
        <f t="shared" si="12"/>
        <v>2027</v>
      </c>
      <c r="P73" s="287">
        <f t="shared" si="12"/>
        <v>2028</v>
      </c>
      <c r="Q73" s="287">
        <f t="shared" si="12"/>
        <v>2029</v>
      </c>
      <c r="R73" s="186"/>
    </row>
    <row r="74" spans="2:18" x14ac:dyDescent="0.25">
      <c r="B74" s="352">
        <v>2015</v>
      </c>
      <c r="C74" s="293">
        <f t="shared" ref="C74:Q83" si="13">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v>
      </c>
      <c r="D74" s="293">
        <f t="shared" si="13"/>
        <v>0</v>
      </c>
      <c r="E74" s="293">
        <f t="shared" si="13"/>
        <v>0</v>
      </c>
      <c r="F74" s="293">
        <f t="shared" si="13"/>
        <v>0</v>
      </c>
      <c r="G74" s="293">
        <f t="shared" si="13"/>
        <v>0</v>
      </c>
      <c r="H74" s="293">
        <f t="shared" si="13"/>
        <v>0</v>
      </c>
      <c r="I74" s="293">
        <f t="shared" si="13"/>
        <v>0</v>
      </c>
      <c r="J74" s="293">
        <f t="shared" si="13"/>
        <v>0</v>
      </c>
      <c r="K74" s="293">
        <f t="shared" si="13"/>
        <v>0</v>
      </c>
      <c r="L74" s="293">
        <f t="shared" si="13"/>
        <v>0</v>
      </c>
      <c r="M74" s="293">
        <f t="shared" si="13"/>
        <v>0</v>
      </c>
      <c r="N74" s="293">
        <f t="shared" si="13"/>
        <v>0</v>
      </c>
      <c r="O74" s="293">
        <f t="shared" si="13"/>
        <v>0</v>
      </c>
      <c r="P74" s="293">
        <f t="shared" si="13"/>
        <v>0</v>
      </c>
      <c r="Q74" s="293">
        <f t="shared" si="13"/>
        <v>0</v>
      </c>
      <c r="R74" s="186"/>
    </row>
    <row r="75" spans="2:18" x14ac:dyDescent="0.25">
      <c r="B75" s="352">
        <f t="shared" ref="B75:B89" si="14">B74+1</f>
        <v>2016</v>
      </c>
      <c r="C75" s="293"/>
      <c r="D75" s="293">
        <f t="shared" si="13"/>
        <v>0</v>
      </c>
      <c r="E75" s="293">
        <f t="shared" si="13"/>
        <v>0</v>
      </c>
      <c r="F75" s="293">
        <f t="shared" si="13"/>
        <v>0</v>
      </c>
      <c r="G75" s="293">
        <f t="shared" si="13"/>
        <v>0</v>
      </c>
      <c r="H75" s="293">
        <f t="shared" si="13"/>
        <v>0</v>
      </c>
      <c r="I75" s="293">
        <f t="shared" si="13"/>
        <v>0</v>
      </c>
      <c r="J75" s="293">
        <f t="shared" si="13"/>
        <v>0</v>
      </c>
      <c r="K75" s="293">
        <f t="shared" si="13"/>
        <v>0</v>
      </c>
      <c r="L75" s="293">
        <f t="shared" si="13"/>
        <v>0</v>
      </c>
      <c r="M75" s="293">
        <f t="shared" si="13"/>
        <v>0</v>
      </c>
      <c r="N75" s="293">
        <f t="shared" si="13"/>
        <v>0</v>
      </c>
      <c r="O75" s="293">
        <f t="shared" si="13"/>
        <v>0</v>
      </c>
      <c r="P75" s="293">
        <f t="shared" si="13"/>
        <v>0</v>
      </c>
      <c r="Q75" s="293">
        <f t="shared" si="13"/>
        <v>0</v>
      </c>
      <c r="R75" s="186"/>
    </row>
    <row r="76" spans="2:18" x14ac:dyDescent="0.25">
      <c r="B76" s="352">
        <f t="shared" si="14"/>
        <v>2017</v>
      </c>
      <c r="C76" s="293"/>
      <c r="D76" s="293"/>
      <c r="E76" s="293">
        <f t="shared" si="13"/>
        <v>0</v>
      </c>
      <c r="F76" s="293">
        <f t="shared" si="13"/>
        <v>0</v>
      </c>
      <c r="G76" s="293">
        <f t="shared" si="13"/>
        <v>0</v>
      </c>
      <c r="H76" s="293">
        <f t="shared" si="13"/>
        <v>0</v>
      </c>
      <c r="I76" s="293">
        <f t="shared" si="13"/>
        <v>0</v>
      </c>
      <c r="J76" s="293">
        <f t="shared" si="13"/>
        <v>0</v>
      </c>
      <c r="K76" s="293">
        <f t="shared" si="13"/>
        <v>0</v>
      </c>
      <c r="L76" s="293">
        <f t="shared" si="13"/>
        <v>0</v>
      </c>
      <c r="M76" s="293">
        <f t="shared" si="13"/>
        <v>0</v>
      </c>
      <c r="N76" s="293">
        <f t="shared" si="13"/>
        <v>0</v>
      </c>
      <c r="O76" s="293">
        <f t="shared" si="13"/>
        <v>0</v>
      </c>
      <c r="P76" s="293">
        <f t="shared" si="13"/>
        <v>0</v>
      </c>
      <c r="Q76" s="293">
        <f t="shared" si="13"/>
        <v>0</v>
      </c>
      <c r="R76" s="186"/>
    </row>
    <row r="77" spans="2:18" x14ac:dyDescent="0.25">
      <c r="B77" s="352">
        <f t="shared" si="14"/>
        <v>2018</v>
      </c>
      <c r="C77" s="293"/>
      <c r="D77" s="293"/>
      <c r="E77" s="293"/>
      <c r="F77" s="293">
        <f t="shared" si="13"/>
        <v>0</v>
      </c>
      <c r="G77" s="293">
        <f t="shared" si="13"/>
        <v>0</v>
      </c>
      <c r="H77" s="293">
        <f t="shared" si="13"/>
        <v>0</v>
      </c>
      <c r="I77" s="293">
        <f t="shared" si="13"/>
        <v>0</v>
      </c>
      <c r="J77" s="293">
        <f t="shared" si="13"/>
        <v>0</v>
      </c>
      <c r="K77" s="293">
        <f t="shared" si="13"/>
        <v>0</v>
      </c>
      <c r="L77" s="293">
        <f t="shared" si="13"/>
        <v>0</v>
      </c>
      <c r="M77" s="293">
        <f t="shared" si="13"/>
        <v>0</v>
      </c>
      <c r="N77" s="293">
        <f t="shared" si="13"/>
        <v>0</v>
      </c>
      <c r="O77" s="293">
        <f t="shared" si="13"/>
        <v>0</v>
      </c>
      <c r="P77" s="293">
        <f t="shared" si="13"/>
        <v>0</v>
      </c>
      <c r="Q77" s="293">
        <f t="shared" si="13"/>
        <v>0</v>
      </c>
      <c r="R77" s="186"/>
    </row>
    <row r="78" spans="2:18" x14ac:dyDescent="0.25">
      <c r="B78" s="352">
        <f t="shared" si="14"/>
        <v>2019</v>
      </c>
      <c r="C78" s="293"/>
      <c r="D78" s="293"/>
      <c r="E78" s="293"/>
      <c r="F78" s="293"/>
      <c r="G78" s="293">
        <f t="shared" si="13"/>
        <v>0</v>
      </c>
      <c r="H78" s="293">
        <f t="shared" si="13"/>
        <v>0</v>
      </c>
      <c r="I78" s="293">
        <f t="shared" si="13"/>
        <v>0</v>
      </c>
      <c r="J78" s="293">
        <f t="shared" si="13"/>
        <v>0</v>
      </c>
      <c r="K78" s="293">
        <f t="shared" si="13"/>
        <v>0</v>
      </c>
      <c r="L78" s="293">
        <f t="shared" si="13"/>
        <v>0</v>
      </c>
      <c r="M78" s="293">
        <f t="shared" si="13"/>
        <v>0</v>
      </c>
      <c r="N78" s="293">
        <f t="shared" si="13"/>
        <v>0</v>
      </c>
      <c r="O78" s="293">
        <f t="shared" si="13"/>
        <v>0</v>
      </c>
      <c r="P78" s="293">
        <f t="shared" si="13"/>
        <v>0</v>
      </c>
      <c r="Q78" s="293">
        <f t="shared" si="13"/>
        <v>0</v>
      </c>
      <c r="R78" s="186"/>
    </row>
    <row r="79" spans="2:18" x14ac:dyDescent="0.25">
      <c r="B79" s="352">
        <f t="shared" si="14"/>
        <v>2020</v>
      </c>
      <c r="C79" s="293"/>
      <c r="D79" s="293"/>
      <c r="E79" s="293"/>
      <c r="F79" s="293"/>
      <c r="G79" s="293"/>
      <c r="H79" s="293">
        <f t="shared" si="13"/>
        <v>0</v>
      </c>
      <c r="I79" s="293">
        <f t="shared" si="13"/>
        <v>0</v>
      </c>
      <c r="J79" s="293">
        <f t="shared" si="13"/>
        <v>0</v>
      </c>
      <c r="K79" s="293">
        <f t="shared" si="13"/>
        <v>0</v>
      </c>
      <c r="L79" s="293">
        <f t="shared" si="13"/>
        <v>0</v>
      </c>
      <c r="M79" s="293">
        <f t="shared" si="13"/>
        <v>0</v>
      </c>
      <c r="N79" s="293">
        <f t="shared" si="13"/>
        <v>0</v>
      </c>
      <c r="O79" s="293">
        <f t="shared" si="13"/>
        <v>0</v>
      </c>
      <c r="P79" s="293">
        <f t="shared" si="13"/>
        <v>0</v>
      </c>
      <c r="Q79" s="293">
        <f t="shared" si="13"/>
        <v>0</v>
      </c>
      <c r="R79" s="186"/>
    </row>
    <row r="80" spans="2:18" x14ac:dyDescent="0.25">
      <c r="B80" s="352">
        <f t="shared" si="14"/>
        <v>2021</v>
      </c>
      <c r="C80" s="293"/>
      <c r="D80" s="293"/>
      <c r="E80" s="293"/>
      <c r="F80" s="293"/>
      <c r="G80" s="293"/>
      <c r="H80" s="293"/>
      <c r="I80" s="293">
        <f t="shared" si="13"/>
        <v>0</v>
      </c>
      <c r="J80" s="293">
        <f t="shared" si="13"/>
        <v>0</v>
      </c>
      <c r="K80" s="293">
        <f t="shared" si="13"/>
        <v>0</v>
      </c>
      <c r="L80" s="293">
        <f t="shared" si="13"/>
        <v>0</v>
      </c>
      <c r="M80" s="293">
        <f t="shared" si="13"/>
        <v>0</v>
      </c>
      <c r="N80" s="293">
        <f t="shared" si="13"/>
        <v>0</v>
      </c>
      <c r="O80" s="293">
        <f t="shared" si="13"/>
        <v>0</v>
      </c>
      <c r="P80" s="293">
        <f t="shared" si="13"/>
        <v>0</v>
      </c>
      <c r="Q80" s="293">
        <f t="shared" si="13"/>
        <v>0</v>
      </c>
      <c r="R80" s="186"/>
    </row>
    <row r="81" spans="2:18" x14ac:dyDescent="0.25">
      <c r="B81" s="352">
        <f t="shared" si="14"/>
        <v>2022</v>
      </c>
      <c r="C81" s="293"/>
      <c r="D81" s="293"/>
      <c r="E81" s="293"/>
      <c r="F81" s="293"/>
      <c r="G81" s="293"/>
      <c r="H81" s="293"/>
      <c r="I81" s="293"/>
      <c r="J81" s="293">
        <f t="shared" si="13"/>
        <v>0</v>
      </c>
      <c r="K81" s="293">
        <f t="shared" si="13"/>
        <v>0</v>
      </c>
      <c r="L81" s="293">
        <f t="shared" si="13"/>
        <v>0</v>
      </c>
      <c r="M81" s="293">
        <f t="shared" si="13"/>
        <v>0</v>
      </c>
      <c r="N81" s="293">
        <f t="shared" si="13"/>
        <v>0</v>
      </c>
      <c r="O81" s="293">
        <f t="shared" si="13"/>
        <v>0</v>
      </c>
      <c r="P81" s="293">
        <f t="shared" si="13"/>
        <v>0</v>
      </c>
      <c r="Q81" s="293">
        <f t="shared" si="13"/>
        <v>0</v>
      </c>
      <c r="R81" s="186"/>
    </row>
    <row r="82" spans="2:18" x14ac:dyDescent="0.25">
      <c r="B82" s="352">
        <f t="shared" si="14"/>
        <v>2023</v>
      </c>
      <c r="C82" s="293"/>
      <c r="D82" s="293"/>
      <c r="E82" s="293"/>
      <c r="F82" s="293"/>
      <c r="G82" s="293"/>
      <c r="H82" s="293"/>
      <c r="I82" s="293"/>
      <c r="J82" s="293"/>
      <c r="K82" s="293">
        <f t="shared" si="13"/>
        <v>0</v>
      </c>
      <c r="L82" s="293">
        <f t="shared" si="13"/>
        <v>0</v>
      </c>
      <c r="M82" s="293">
        <f t="shared" si="13"/>
        <v>0</v>
      </c>
      <c r="N82" s="293">
        <f t="shared" si="13"/>
        <v>0</v>
      </c>
      <c r="O82" s="293">
        <f t="shared" si="13"/>
        <v>0</v>
      </c>
      <c r="P82" s="293">
        <f t="shared" si="13"/>
        <v>0</v>
      </c>
      <c r="Q82" s="293">
        <f t="shared" si="13"/>
        <v>0</v>
      </c>
      <c r="R82" s="186"/>
    </row>
    <row r="83" spans="2:18" x14ac:dyDescent="0.25">
      <c r="B83" s="352">
        <f t="shared" si="14"/>
        <v>2024</v>
      </c>
      <c r="C83" s="293"/>
      <c r="D83" s="293"/>
      <c r="E83" s="293"/>
      <c r="F83" s="293"/>
      <c r="G83" s="293"/>
      <c r="H83" s="293"/>
      <c r="I83" s="293"/>
      <c r="J83" s="293"/>
      <c r="K83" s="293"/>
      <c r="L83" s="293">
        <f t="shared" si="13"/>
        <v>0</v>
      </c>
      <c r="M83" s="293">
        <f t="shared" si="13"/>
        <v>0</v>
      </c>
      <c r="N83" s="293">
        <f t="shared" si="13"/>
        <v>0</v>
      </c>
      <c r="O83" s="293">
        <f t="shared" si="13"/>
        <v>0</v>
      </c>
      <c r="P83" s="293">
        <f t="shared" si="13"/>
        <v>0</v>
      </c>
      <c r="Q83" s="293">
        <f t="shared" si="13"/>
        <v>0</v>
      </c>
      <c r="R83" s="186"/>
    </row>
    <row r="84" spans="2:18" x14ac:dyDescent="0.25">
      <c r="B84" s="352">
        <f t="shared" si="14"/>
        <v>2025</v>
      </c>
      <c r="C84" s="293"/>
      <c r="D84" s="293"/>
      <c r="E84" s="293"/>
      <c r="F84" s="293"/>
      <c r="G84" s="293"/>
      <c r="H84" s="293"/>
      <c r="I84" s="293"/>
      <c r="J84" s="293"/>
      <c r="K84" s="293"/>
      <c r="L84" s="293"/>
      <c r="M84" s="293">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0</v>
      </c>
      <c r="N84" s="293">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0</v>
      </c>
      <c r="O84" s="293">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0</v>
      </c>
      <c r="P84" s="293">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0</v>
      </c>
      <c r="Q84" s="293">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0</v>
      </c>
      <c r="R84" s="186"/>
    </row>
    <row r="85" spans="2:18" x14ac:dyDescent="0.25">
      <c r="B85" s="352">
        <f t="shared" si="14"/>
        <v>2026</v>
      </c>
      <c r="C85" s="293"/>
      <c r="D85" s="293"/>
      <c r="E85" s="293"/>
      <c r="F85" s="293"/>
      <c r="G85" s="293"/>
      <c r="H85" s="293"/>
      <c r="I85" s="293"/>
      <c r="J85" s="293"/>
      <c r="K85" s="293"/>
      <c r="L85" s="293"/>
      <c r="M85" s="293"/>
      <c r="N85" s="293">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0</v>
      </c>
      <c r="O85" s="293">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0</v>
      </c>
      <c r="P85" s="293">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0</v>
      </c>
      <c r="Q85" s="293">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0</v>
      </c>
      <c r="R85" s="186"/>
    </row>
    <row r="86" spans="2:18" x14ac:dyDescent="0.25">
      <c r="B86" s="352">
        <f t="shared" si="14"/>
        <v>2027</v>
      </c>
      <c r="C86" s="293"/>
      <c r="D86" s="293"/>
      <c r="E86" s="293"/>
      <c r="F86" s="293"/>
      <c r="G86" s="293"/>
      <c r="H86" s="293"/>
      <c r="I86" s="293"/>
      <c r="J86" s="293"/>
      <c r="K86" s="293"/>
      <c r="L86" s="293"/>
      <c r="M86" s="293"/>
      <c r="N86" s="293"/>
      <c r="O86" s="293">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0</v>
      </c>
      <c r="P86" s="293">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0</v>
      </c>
      <c r="Q86" s="293">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0</v>
      </c>
      <c r="R86" s="186"/>
    </row>
    <row r="87" spans="2:18" x14ac:dyDescent="0.25">
      <c r="B87" s="352">
        <f t="shared" si="14"/>
        <v>2028</v>
      </c>
      <c r="C87" s="293"/>
      <c r="D87" s="293"/>
      <c r="E87" s="293"/>
      <c r="F87" s="293"/>
      <c r="G87" s="293"/>
      <c r="H87" s="293"/>
      <c r="I87" s="293"/>
      <c r="J87" s="293"/>
      <c r="K87" s="293"/>
      <c r="L87" s="293"/>
      <c r="M87" s="293"/>
      <c r="N87" s="293"/>
      <c r="O87" s="293"/>
      <c r="P87" s="293">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0</v>
      </c>
      <c r="Q87" s="293">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0</v>
      </c>
      <c r="R87" s="186"/>
    </row>
    <row r="88" spans="2:18" x14ac:dyDescent="0.25">
      <c r="B88" s="352">
        <f t="shared" si="14"/>
        <v>2029</v>
      </c>
      <c r="C88" s="293"/>
      <c r="D88" s="293"/>
      <c r="E88" s="293"/>
      <c r="F88" s="293"/>
      <c r="G88" s="293"/>
      <c r="H88" s="293"/>
      <c r="I88" s="293"/>
      <c r="J88" s="293"/>
      <c r="K88" s="293"/>
      <c r="L88" s="293"/>
      <c r="M88" s="293"/>
      <c r="N88" s="293"/>
      <c r="O88" s="293"/>
      <c r="P88" s="293"/>
      <c r="Q88" s="293">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0</v>
      </c>
      <c r="R88" s="186"/>
    </row>
    <row r="89" spans="2:18" x14ac:dyDescent="0.25">
      <c r="B89" s="352">
        <f t="shared" si="14"/>
        <v>2030</v>
      </c>
      <c r="C89" s="293"/>
      <c r="D89" s="293"/>
      <c r="E89" s="293"/>
      <c r="F89" s="293"/>
      <c r="G89" s="293"/>
      <c r="H89" s="293"/>
      <c r="I89" s="293"/>
      <c r="J89" s="293"/>
      <c r="K89" s="293"/>
      <c r="L89" s="293"/>
      <c r="M89" s="293"/>
      <c r="N89" s="293"/>
      <c r="O89" s="293"/>
      <c r="P89" s="293"/>
      <c r="Q89" s="293"/>
      <c r="R89" s="186"/>
    </row>
    <row r="90" spans="2:18" x14ac:dyDescent="0.25">
      <c r="B90" s="187"/>
      <c r="C90" s="354"/>
      <c r="D90" s="354"/>
      <c r="E90" s="354"/>
      <c r="F90" s="354"/>
      <c r="G90" s="354"/>
      <c r="H90" s="354"/>
      <c r="I90" s="354"/>
      <c r="J90" s="354"/>
      <c r="K90" s="354"/>
      <c r="L90" s="354"/>
      <c r="M90" s="354"/>
      <c r="N90" s="354"/>
      <c r="O90" s="354"/>
      <c r="P90" s="354"/>
      <c r="Q90" s="354"/>
      <c r="R90" s="186"/>
    </row>
    <row r="91" spans="2:18" x14ac:dyDescent="0.25">
      <c r="B91" s="355" t="s">
        <v>1654</v>
      </c>
      <c r="C91" s="356">
        <f t="shared" ref="C91:Q91" si="15">SUM(C74:C89)</f>
        <v>0</v>
      </c>
      <c r="D91" s="356">
        <f t="shared" si="15"/>
        <v>0</v>
      </c>
      <c r="E91" s="356">
        <f t="shared" si="15"/>
        <v>0</v>
      </c>
      <c r="F91" s="356">
        <f t="shared" si="15"/>
        <v>0</v>
      </c>
      <c r="G91" s="356">
        <f t="shared" si="15"/>
        <v>0</v>
      </c>
      <c r="H91" s="356">
        <f t="shared" si="15"/>
        <v>0</v>
      </c>
      <c r="I91" s="356">
        <f t="shared" si="15"/>
        <v>0</v>
      </c>
      <c r="J91" s="356">
        <f t="shared" si="15"/>
        <v>0</v>
      </c>
      <c r="K91" s="356">
        <f t="shared" si="15"/>
        <v>0</v>
      </c>
      <c r="L91" s="356">
        <f t="shared" si="15"/>
        <v>0</v>
      </c>
      <c r="M91" s="356">
        <f t="shared" si="15"/>
        <v>0</v>
      </c>
      <c r="N91" s="356">
        <f t="shared" si="15"/>
        <v>0</v>
      </c>
      <c r="O91" s="356">
        <f t="shared" si="15"/>
        <v>0</v>
      </c>
      <c r="P91" s="356">
        <f t="shared" si="15"/>
        <v>0</v>
      </c>
      <c r="Q91" s="356">
        <f t="shared" si="15"/>
        <v>0</v>
      </c>
      <c r="R91" s="186"/>
    </row>
    <row r="92" spans="2:18" ht="15.75" thickBot="1" x14ac:dyDescent="0.3">
      <c r="B92" s="193"/>
      <c r="C92" s="194"/>
      <c r="D92" s="194"/>
      <c r="E92" s="194"/>
      <c r="F92" s="194"/>
      <c r="G92" s="194"/>
      <c r="H92" s="194"/>
      <c r="I92" s="194"/>
      <c r="J92" s="194"/>
      <c r="K92" s="194"/>
      <c r="L92" s="194"/>
      <c r="M92" s="194"/>
      <c r="N92" s="194"/>
      <c r="O92" s="194"/>
      <c r="P92" s="194"/>
      <c r="Q92" s="194"/>
      <c r="R92" s="195"/>
    </row>
  </sheetData>
  <mergeCells count="1">
    <mergeCell ref="F32:O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2"/>
  <sheetViews>
    <sheetView zoomScale="70" zoomScaleNormal="70" workbookViewId="0">
      <selection activeCell="E23" sqref="E23"/>
    </sheetView>
  </sheetViews>
  <sheetFormatPr defaultRowHeight="15" x14ac:dyDescent="0.25"/>
  <cols>
    <col min="2" max="2" width="29.7109375" customWidth="1"/>
  </cols>
  <sheetData>
    <row r="1" spans="1:29" ht="23.45" x14ac:dyDescent="0.45">
      <c r="B1" s="313" t="s">
        <v>34</v>
      </c>
      <c r="C1" s="313" t="str">
        <f>'Program Analysis'!C3</f>
        <v>ECAA Financing</v>
      </c>
      <c r="D1" s="3"/>
    </row>
    <row r="2" spans="1:29" ht="23.45" x14ac:dyDescent="0.45">
      <c r="B2" s="313" t="s">
        <v>1704</v>
      </c>
      <c r="C2" s="313" t="s">
        <v>1708</v>
      </c>
      <c r="D2" s="3"/>
    </row>
    <row r="4" spans="1:29" thickBot="1" x14ac:dyDescent="0.35"/>
    <row r="5" spans="1:29" ht="18" x14ac:dyDescent="0.35">
      <c r="A5" s="1" t="s">
        <v>1712</v>
      </c>
      <c r="B5" s="200" t="s">
        <v>1713</v>
      </c>
      <c r="C5" s="181"/>
      <c r="D5" s="181"/>
      <c r="E5" s="182"/>
      <c r="F5" s="182"/>
      <c r="G5" s="182"/>
      <c r="H5" s="183"/>
      <c r="I5" s="183"/>
      <c r="J5" s="183"/>
      <c r="K5" s="183"/>
      <c r="L5" s="183"/>
      <c r="M5" s="183"/>
      <c r="N5" s="183"/>
      <c r="O5" s="183"/>
      <c r="P5" s="183"/>
      <c r="Q5" s="183"/>
      <c r="R5" s="184"/>
      <c r="S5" s="3"/>
      <c r="T5" s="290"/>
      <c r="U5" t="s">
        <v>1649</v>
      </c>
      <c r="V5" s="3"/>
      <c r="W5" s="3"/>
      <c r="X5" s="3"/>
      <c r="Y5" s="3"/>
      <c r="Z5" s="3"/>
    </row>
    <row r="6" spans="1:29" ht="14.45" x14ac:dyDescent="0.3">
      <c r="B6" s="187" t="s">
        <v>1714</v>
      </c>
      <c r="C6" s="350" t="s">
        <v>1769</v>
      </c>
      <c r="D6" s="350"/>
      <c r="E6" s="175"/>
      <c r="F6" s="175"/>
      <c r="G6" s="175"/>
      <c r="H6" s="3"/>
      <c r="I6" s="3"/>
      <c r="J6" s="3"/>
      <c r="K6" s="3"/>
      <c r="L6" s="3"/>
      <c r="M6" s="3"/>
      <c r="N6" s="3"/>
      <c r="O6" s="3"/>
      <c r="P6" s="3"/>
      <c r="Q6" s="3"/>
      <c r="R6" s="186"/>
      <c r="S6" s="3"/>
      <c r="T6" s="292"/>
      <c r="U6" t="s">
        <v>1650</v>
      </c>
      <c r="V6" s="3"/>
      <c r="W6" s="3"/>
      <c r="X6" s="3"/>
      <c r="Y6" s="3"/>
      <c r="Z6" s="3"/>
    </row>
    <row r="7" spans="1:29" ht="14.45" x14ac:dyDescent="0.3">
      <c r="B7" s="197"/>
      <c r="C7" s="175"/>
      <c r="D7" s="185"/>
      <c r="E7" s="175"/>
      <c r="F7" s="175"/>
      <c r="G7" s="175"/>
      <c r="H7" s="3"/>
      <c r="I7" s="3"/>
      <c r="J7" s="3"/>
      <c r="K7" s="3"/>
      <c r="L7" s="3"/>
      <c r="M7" s="3"/>
      <c r="N7" s="3"/>
      <c r="O7" s="3"/>
      <c r="P7" s="3"/>
      <c r="Q7" s="3"/>
      <c r="R7" s="186"/>
      <c r="S7" s="3"/>
      <c r="T7" s="286"/>
      <c r="U7" t="s">
        <v>1651</v>
      </c>
      <c r="V7" s="3"/>
      <c r="W7" s="3"/>
      <c r="X7" s="3"/>
      <c r="Y7" s="3"/>
      <c r="Z7" s="3"/>
    </row>
    <row r="8" spans="1:29" s="9" customFormat="1" ht="18" x14ac:dyDescent="0.35">
      <c r="B8" s="345"/>
      <c r="C8" s="188">
        <v>2015</v>
      </c>
      <c r="D8" s="188">
        <v>2016</v>
      </c>
      <c r="E8" s="188">
        <v>2017</v>
      </c>
      <c r="F8" s="188">
        <v>2018</v>
      </c>
      <c r="G8" s="188">
        <v>2019</v>
      </c>
      <c r="H8" s="188">
        <v>2020</v>
      </c>
      <c r="I8" s="188">
        <v>2021</v>
      </c>
      <c r="J8" s="188">
        <v>2022</v>
      </c>
      <c r="K8" s="188">
        <v>2023</v>
      </c>
      <c r="L8" s="188">
        <v>2024</v>
      </c>
      <c r="M8" s="188">
        <v>2025</v>
      </c>
      <c r="N8" s="188">
        <v>2026</v>
      </c>
      <c r="O8" s="189">
        <v>2027</v>
      </c>
      <c r="P8" s="189">
        <v>2028</v>
      </c>
      <c r="Q8" s="189">
        <v>2029</v>
      </c>
      <c r="R8" s="191"/>
      <c r="S8" s="190"/>
      <c r="T8" s="190"/>
      <c r="U8" s="190"/>
      <c r="V8" s="190"/>
      <c r="W8" s="190"/>
      <c r="X8" s="190"/>
      <c r="Y8" s="190"/>
      <c r="Z8" s="190"/>
      <c r="AB8" s="178"/>
      <c r="AC8" s="178"/>
    </row>
    <row r="9" spans="1:29" ht="14.45" customHeight="1" x14ac:dyDescent="0.3">
      <c r="B9" s="346" t="s">
        <v>0</v>
      </c>
      <c r="C9" s="347">
        <f>Reference!C9</f>
        <v>6.5322209999999998</v>
      </c>
      <c r="D9" s="347">
        <f>Reference!D9</f>
        <v>6.9573219999999996</v>
      </c>
      <c r="E9" s="347">
        <f>Reference!E9</f>
        <v>10.793625</v>
      </c>
      <c r="F9" s="347">
        <f>Reference!F9</f>
        <v>10.793625</v>
      </c>
      <c r="G9" s="347">
        <f>Reference!G9</f>
        <v>10.793625</v>
      </c>
      <c r="H9" s="347">
        <f>Reference!H9</f>
        <v>10.793625</v>
      </c>
      <c r="I9" s="347">
        <f>Reference!I9</f>
        <v>10.793625</v>
      </c>
      <c r="J9" s="347">
        <f>Reference!J9</f>
        <v>10.793625</v>
      </c>
      <c r="K9" s="347">
        <f>Reference!K9</f>
        <v>10.793625</v>
      </c>
      <c r="L9" s="347">
        <f>Reference!L9</f>
        <v>10.793625</v>
      </c>
      <c r="M9" s="347">
        <f>Reference!M9</f>
        <v>10.793625</v>
      </c>
      <c r="N9" s="347">
        <f>Reference!N9</f>
        <v>10.793625</v>
      </c>
      <c r="O9" s="347">
        <f>Reference!O9</f>
        <v>10.793625</v>
      </c>
      <c r="P9" s="347">
        <f>Reference!P9</f>
        <v>10.793625</v>
      </c>
      <c r="Q9" s="347">
        <f>Reference!Q9</f>
        <v>10.793625</v>
      </c>
      <c r="R9" s="186"/>
      <c r="S9" s="3"/>
      <c r="T9" s="3"/>
      <c r="U9" s="3"/>
      <c r="V9" s="3"/>
      <c r="W9" s="196"/>
      <c r="X9" s="3"/>
      <c r="Y9" s="3"/>
      <c r="Z9" s="3"/>
      <c r="AB9" s="6"/>
      <c r="AC9" s="6"/>
    </row>
    <row r="10" spans="1:29" thickBot="1" x14ac:dyDescent="0.35">
      <c r="B10" s="348" t="s">
        <v>4</v>
      </c>
      <c r="C10" s="349">
        <f>Reference!C10</f>
        <v>1.2045E-2</v>
      </c>
      <c r="D10" s="349">
        <f>Reference!D10</f>
        <v>0</v>
      </c>
      <c r="E10" s="349">
        <f>Reference!E10</f>
        <v>6.0137675000000002E-2</v>
      </c>
      <c r="F10" s="349">
        <f>Reference!F10</f>
        <v>6.0137675000000002E-2</v>
      </c>
      <c r="G10" s="349">
        <f>Reference!G10</f>
        <v>6.0137675000000002E-2</v>
      </c>
      <c r="H10" s="349">
        <f>Reference!H10</f>
        <v>6.0137675000000002E-2</v>
      </c>
      <c r="I10" s="349">
        <f>Reference!I10</f>
        <v>6.0137675000000002E-2</v>
      </c>
      <c r="J10" s="349">
        <f>Reference!J10</f>
        <v>6.0137675000000002E-2</v>
      </c>
      <c r="K10" s="349">
        <f>Reference!K10</f>
        <v>6.0137675000000002E-2</v>
      </c>
      <c r="L10" s="349">
        <f>Reference!L10</f>
        <v>6.0137675000000002E-2</v>
      </c>
      <c r="M10" s="349">
        <f>Reference!M10</f>
        <v>6.0137675000000002E-2</v>
      </c>
      <c r="N10" s="349">
        <f>Reference!N10</f>
        <v>6.0137675000000002E-2</v>
      </c>
      <c r="O10" s="349">
        <f>Reference!O10</f>
        <v>6.0137675000000002E-2</v>
      </c>
      <c r="P10" s="349">
        <f>Reference!P10</f>
        <v>6.0137675000000002E-2</v>
      </c>
      <c r="Q10" s="349">
        <f>Reference!Q10</f>
        <v>6.0137675000000002E-2</v>
      </c>
      <c r="R10" s="195"/>
      <c r="S10" s="3"/>
      <c r="T10" s="3"/>
      <c r="U10" s="3"/>
      <c r="V10" s="3"/>
      <c r="W10" s="196"/>
      <c r="X10" s="3"/>
      <c r="Y10" s="3"/>
      <c r="Z10" s="3"/>
    </row>
    <row r="11" spans="1:29" ht="14.45" x14ac:dyDescent="0.3">
      <c r="B11" s="8"/>
      <c r="C11" s="8"/>
      <c r="D11" s="8"/>
      <c r="E11" s="8"/>
      <c r="F11" s="198"/>
      <c r="G11" s="198"/>
      <c r="H11" s="199"/>
      <c r="I11" s="199"/>
      <c r="J11" s="199"/>
      <c r="K11" s="199"/>
      <c r="L11" s="199"/>
      <c r="M11" s="199"/>
      <c r="N11" s="199"/>
      <c r="O11" s="199"/>
      <c r="P11" s="199"/>
      <c r="Q11" s="199"/>
      <c r="R11" s="199"/>
      <c r="S11" s="199"/>
      <c r="T11" s="199"/>
      <c r="U11" s="199"/>
      <c r="V11" s="199"/>
      <c r="W11" s="196"/>
      <c r="X11" s="3"/>
      <c r="Y11" s="3"/>
      <c r="Z11" s="3"/>
    </row>
    <row r="12" spans="1:29" thickBot="1" x14ac:dyDescent="0.35">
      <c r="B12" s="3"/>
      <c r="C12" s="3"/>
      <c r="D12" s="3"/>
      <c r="E12" s="3"/>
      <c r="F12" s="3"/>
      <c r="G12" s="3"/>
      <c r="H12" s="3"/>
      <c r="I12" s="3"/>
      <c r="J12" s="3"/>
      <c r="K12" s="3"/>
      <c r="L12" s="3"/>
      <c r="M12" s="3"/>
      <c r="N12" s="3"/>
      <c r="O12" s="3"/>
      <c r="P12" s="3"/>
      <c r="Q12" s="3"/>
      <c r="R12" s="3"/>
      <c r="S12" s="3"/>
      <c r="T12" s="3"/>
      <c r="U12" s="3"/>
      <c r="V12" s="3"/>
      <c r="W12" s="3"/>
      <c r="X12" s="3"/>
      <c r="Y12" s="3"/>
      <c r="Z12" s="3"/>
    </row>
    <row r="13" spans="1:29" ht="18" x14ac:dyDescent="0.35">
      <c r="A13" s="1" t="s">
        <v>1716</v>
      </c>
      <c r="B13" s="200" t="s">
        <v>1717</v>
      </c>
      <c r="C13" s="183"/>
      <c r="D13" s="183"/>
      <c r="E13" s="183"/>
      <c r="F13" s="183"/>
      <c r="G13" s="183"/>
      <c r="H13" s="183"/>
      <c r="I13" s="183"/>
      <c r="J13" s="183"/>
      <c r="K13" s="183"/>
      <c r="L13" s="183"/>
      <c r="M13" s="183"/>
      <c r="N13" s="183"/>
      <c r="O13" s="183"/>
      <c r="P13" s="183"/>
      <c r="Q13" s="183"/>
      <c r="R13" s="184"/>
      <c r="S13" s="3"/>
      <c r="T13" s="3"/>
      <c r="U13" s="3"/>
      <c r="V13" s="3"/>
      <c r="W13" s="3"/>
      <c r="X13" s="3"/>
      <c r="Y13" s="3"/>
      <c r="Z13" s="3"/>
    </row>
    <row r="14" spans="1:29" ht="14.45" x14ac:dyDescent="0.3">
      <c r="B14" s="187" t="s">
        <v>1635</v>
      </c>
      <c r="C14" s="350">
        <v>0.04</v>
      </c>
      <c r="D14" s="351" t="s">
        <v>1719</v>
      </c>
      <c r="E14" s="3"/>
      <c r="F14" s="3"/>
      <c r="G14" s="3"/>
      <c r="H14" s="3"/>
      <c r="I14" s="3"/>
      <c r="J14" s="3"/>
      <c r="K14" s="3"/>
      <c r="L14" s="3"/>
      <c r="M14" s="3"/>
      <c r="N14" s="3"/>
      <c r="O14" s="3"/>
      <c r="P14" s="3"/>
      <c r="Q14" s="3"/>
      <c r="R14" s="186"/>
      <c r="S14" s="3"/>
      <c r="T14" s="3"/>
      <c r="U14" s="3"/>
      <c r="V14" s="3"/>
      <c r="W14" s="3"/>
      <c r="X14" s="3"/>
      <c r="Y14" s="3"/>
      <c r="Z14" s="3"/>
    </row>
    <row r="15" spans="1:29" ht="14.45" x14ac:dyDescent="0.3">
      <c r="B15" s="187"/>
      <c r="C15" s="344"/>
      <c r="D15" s="3"/>
      <c r="E15" s="3"/>
      <c r="F15" s="3"/>
      <c r="G15" s="3"/>
      <c r="H15" s="3"/>
      <c r="I15" s="3"/>
      <c r="J15" s="3"/>
      <c r="K15" s="3"/>
      <c r="L15" s="3"/>
      <c r="M15" s="3"/>
      <c r="N15" s="3"/>
      <c r="O15" s="3"/>
      <c r="P15" s="3"/>
      <c r="Q15" s="3"/>
      <c r="R15" s="186"/>
      <c r="S15" s="3"/>
      <c r="T15" s="3"/>
      <c r="U15" s="3"/>
      <c r="V15" s="3"/>
      <c r="W15" s="3"/>
      <c r="X15" s="3"/>
      <c r="Y15" s="3"/>
      <c r="Z15" s="3"/>
    </row>
    <row r="16" spans="1:29" s="9" customFormat="1" ht="18" x14ac:dyDescent="0.35">
      <c r="B16" s="345"/>
      <c r="C16" s="188">
        <v>2015</v>
      </c>
      <c r="D16" s="188">
        <v>2016</v>
      </c>
      <c r="E16" s="188">
        <v>2017</v>
      </c>
      <c r="F16" s="188">
        <v>2018</v>
      </c>
      <c r="G16" s="188">
        <v>2019</v>
      </c>
      <c r="H16" s="188">
        <v>2020</v>
      </c>
      <c r="I16" s="188">
        <v>2021</v>
      </c>
      <c r="J16" s="188">
        <v>2022</v>
      </c>
      <c r="K16" s="188">
        <v>2023</v>
      </c>
      <c r="L16" s="188">
        <v>2024</v>
      </c>
      <c r="M16" s="188">
        <v>2025</v>
      </c>
      <c r="N16" s="188">
        <v>2026</v>
      </c>
      <c r="O16" s="189">
        <v>2027</v>
      </c>
      <c r="P16" s="189">
        <v>2028</v>
      </c>
      <c r="Q16" s="189">
        <v>2029</v>
      </c>
      <c r="R16" s="191"/>
      <c r="S16" s="190"/>
      <c r="T16" s="190"/>
      <c r="U16" s="190"/>
      <c r="V16" s="190"/>
      <c r="W16" s="190"/>
      <c r="X16" s="190"/>
      <c r="Y16" s="190"/>
      <c r="Z16" s="190"/>
      <c r="AB16" s="178"/>
      <c r="AC16" s="178"/>
    </row>
    <row r="17" spans="1:29" ht="14.45" customHeight="1" x14ac:dyDescent="0.3">
      <c r="B17" s="346" t="s">
        <v>0</v>
      </c>
      <c r="C17" s="347">
        <f t="shared" ref="C17:Q18" si="0">C9*(1-$C$14)</f>
        <v>6.2709321599999992</v>
      </c>
      <c r="D17" s="347">
        <f t="shared" si="0"/>
        <v>6.6790291199999992</v>
      </c>
      <c r="E17" s="347">
        <f t="shared" si="0"/>
        <v>10.361879999999999</v>
      </c>
      <c r="F17" s="347">
        <f t="shared" si="0"/>
        <v>10.361879999999999</v>
      </c>
      <c r="G17" s="347">
        <f t="shared" si="0"/>
        <v>10.361879999999999</v>
      </c>
      <c r="H17" s="347">
        <f t="shared" si="0"/>
        <v>10.361879999999999</v>
      </c>
      <c r="I17" s="347">
        <f t="shared" si="0"/>
        <v>10.361879999999999</v>
      </c>
      <c r="J17" s="347">
        <f t="shared" si="0"/>
        <v>10.361879999999999</v>
      </c>
      <c r="K17" s="347">
        <f t="shared" si="0"/>
        <v>10.361879999999999</v>
      </c>
      <c r="L17" s="347">
        <f t="shared" si="0"/>
        <v>10.361879999999999</v>
      </c>
      <c r="M17" s="347">
        <f t="shared" si="0"/>
        <v>10.361879999999999</v>
      </c>
      <c r="N17" s="347">
        <f t="shared" si="0"/>
        <v>10.361879999999999</v>
      </c>
      <c r="O17" s="347">
        <f t="shared" si="0"/>
        <v>10.361879999999999</v>
      </c>
      <c r="P17" s="347">
        <f t="shared" si="0"/>
        <v>10.361879999999999</v>
      </c>
      <c r="Q17" s="347">
        <f t="shared" si="0"/>
        <v>10.361879999999999</v>
      </c>
      <c r="R17" s="186"/>
      <c r="S17" s="3"/>
      <c r="T17" s="3"/>
      <c r="U17" s="3"/>
      <c r="V17" s="3"/>
      <c r="W17" s="192"/>
      <c r="X17" s="3"/>
      <c r="Y17" s="3"/>
      <c r="Z17" s="3"/>
      <c r="AB17" s="6"/>
      <c r="AC17" s="6"/>
    </row>
    <row r="18" spans="1:29" ht="14.45" customHeight="1" thickBot="1" x14ac:dyDescent="0.35">
      <c r="B18" s="348" t="s">
        <v>4</v>
      </c>
      <c r="C18" s="349">
        <f t="shared" si="0"/>
        <v>1.1563199999999999E-2</v>
      </c>
      <c r="D18" s="349">
        <f t="shared" si="0"/>
        <v>0</v>
      </c>
      <c r="E18" s="349">
        <f t="shared" si="0"/>
        <v>5.7732168E-2</v>
      </c>
      <c r="F18" s="349">
        <f t="shared" si="0"/>
        <v>5.7732168E-2</v>
      </c>
      <c r="G18" s="349">
        <f t="shared" si="0"/>
        <v>5.7732168E-2</v>
      </c>
      <c r="H18" s="349">
        <f t="shared" si="0"/>
        <v>5.7732168E-2</v>
      </c>
      <c r="I18" s="349">
        <f t="shared" si="0"/>
        <v>5.7732168E-2</v>
      </c>
      <c r="J18" s="349">
        <f t="shared" si="0"/>
        <v>5.7732168E-2</v>
      </c>
      <c r="K18" s="349">
        <f t="shared" si="0"/>
        <v>5.7732168E-2</v>
      </c>
      <c r="L18" s="349">
        <f t="shared" si="0"/>
        <v>5.7732168E-2</v>
      </c>
      <c r="M18" s="349">
        <f t="shared" si="0"/>
        <v>5.7732168E-2</v>
      </c>
      <c r="N18" s="349">
        <f t="shared" si="0"/>
        <v>5.7732168E-2</v>
      </c>
      <c r="O18" s="349">
        <f t="shared" si="0"/>
        <v>5.7732168E-2</v>
      </c>
      <c r="P18" s="349">
        <f t="shared" si="0"/>
        <v>5.7732168E-2</v>
      </c>
      <c r="Q18" s="349">
        <f t="shared" si="0"/>
        <v>5.7732168E-2</v>
      </c>
      <c r="R18" s="195"/>
      <c r="S18" s="3"/>
      <c r="T18" s="3"/>
      <c r="U18" s="3"/>
      <c r="V18" s="3"/>
      <c r="W18" s="192"/>
      <c r="X18" s="3"/>
      <c r="Y18" s="3"/>
      <c r="Z18" s="3"/>
      <c r="AB18" s="6"/>
      <c r="AC18" s="6"/>
    </row>
    <row r="19" spans="1:29" ht="14.45" x14ac:dyDescent="0.3">
      <c r="B19" s="3"/>
      <c r="C19" s="3"/>
      <c r="D19" s="3"/>
      <c r="E19" s="3"/>
      <c r="F19" s="3"/>
      <c r="G19" s="3"/>
      <c r="H19" s="3"/>
      <c r="I19" s="3"/>
      <c r="J19" s="3"/>
      <c r="K19" s="3"/>
      <c r="L19" s="3"/>
      <c r="M19" s="3"/>
      <c r="N19" s="3"/>
      <c r="O19" s="3"/>
      <c r="P19" s="3"/>
      <c r="Q19" s="3"/>
      <c r="R19" s="3"/>
      <c r="S19" s="3"/>
      <c r="T19" s="3"/>
      <c r="U19" s="3"/>
      <c r="V19" s="3"/>
      <c r="W19" s="3"/>
      <c r="X19" s="3"/>
      <c r="Y19" s="3"/>
      <c r="Z19" s="3"/>
    </row>
    <row r="20" spans="1:29" thickBot="1" x14ac:dyDescent="0.35">
      <c r="B20" s="3"/>
      <c r="C20" s="3"/>
      <c r="D20" s="3"/>
      <c r="E20" s="3"/>
      <c r="F20" s="3"/>
      <c r="G20" s="3"/>
      <c r="H20" s="3"/>
      <c r="I20" s="3"/>
      <c r="J20" s="3"/>
      <c r="K20" s="3"/>
      <c r="L20" s="3"/>
      <c r="M20" s="3"/>
      <c r="N20" s="3"/>
      <c r="O20" s="3"/>
      <c r="P20" s="3"/>
      <c r="Q20" s="3"/>
      <c r="R20" s="3"/>
      <c r="S20" s="3"/>
      <c r="T20" s="3"/>
      <c r="U20" s="3"/>
      <c r="V20" s="3"/>
      <c r="W20" s="3"/>
      <c r="X20" s="3"/>
      <c r="Y20" s="3"/>
      <c r="Z20" s="3"/>
    </row>
    <row r="21" spans="1:29" ht="18" x14ac:dyDescent="0.35">
      <c r="A21" s="1" t="s">
        <v>1718</v>
      </c>
      <c r="B21" s="200" t="s">
        <v>1756</v>
      </c>
      <c r="C21" s="183"/>
      <c r="D21" s="183"/>
      <c r="E21" s="369" t="s">
        <v>1766</v>
      </c>
      <c r="F21" s="183"/>
      <c r="G21" s="183"/>
      <c r="H21" s="183"/>
      <c r="I21" s="183"/>
      <c r="J21" s="183"/>
      <c r="K21" s="183"/>
      <c r="L21" s="183"/>
      <c r="M21" s="183"/>
      <c r="N21" s="183"/>
      <c r="O21" s="183"/>
      <c r="P21" s="183"/>
      <c r="Q21" s="183"/>
      <c r="R21" s="184"/>
      <c r="S21" s="3"/>
      <c r="T21" s="3"/>
      <c r="U21" s="3"/>
      <c r="V21" s="3"/>
      <c r="W21" s="3"/>
      <c r="X21" s="3"/>
      <c r="Y21" s="3"/>
      <c r="Z21" s="3"/>
    </row>
    <row r="22" spans="1:29" ht="14.45" x14ac:dyDescent="0.3">
      <c r="B22" s="187" t="s">
        <v>1635</v>
      </c>
      <c r="C22" s="350">
        <v>0.3</v>
      </c>
      <c r="D22" s="351"/>
      <c r="E22" s="7" t="s">
        <v>1767</v>
      </c>
      <c r="F22" s="3"/>
      <c r="G22" s="3"/>
      <c r="H22" s="3"/>
      <c r="I22" s="3"/>
      <c r="J22" s="3"/>
      <c r="K22" s="3"/>
      <c r="L22" s="3"/>
      <c r="M22" s="3"/>
      <c r="N22" s="3"/>
      <c r="O22" s="3"/>
      <c r="P22" s="3"/>
      <c r="Q22" s="3"/>
      <c r="R22" s="186"/>
      <c r="S22" s="3"/>
      <c r="T22" s="3"/>
      <c r="U22" s="3"/>
      <c r="V22" s="3"/>
      <c r="W22" s="3"/>
      <c r="X22" s="3"/>
      <c r="Y22" s="3"/>
      <c r="Z22" s="3"/>
    </row>
    <row r="23" spans="1:29" ht="14.45" x14ac:dyDescent="0.3">
      <c r="B23" s="187"/>
      <c r="C23" s="344"/>
      <c r="D23" s="351"/>
      <c r="E23" s="351" t="s">
        <v>1770</v>
      </c>
      <c r="F23" s="3"/>
      <c r="G23" s="3"/>
      <c r="H23" s="3"/>
      <c r="I23" s="3"/>
      <c r="J23" s="3"/>
      <c r="K23" s="3"/>
      <c r="L23" s="3"/>
      <c r="M23" s="3"/>
      <c r="N23" s="3"/>
      <c r="O23" s="3"/>
      <c r="P23" s="3"/>
      <c r="Q23" s="3"/>
      <c r="R23" s="186"/>
      <c r="S23" s="3"/>
      <c r="T23" s="3"/>
      <c r="U23" s="3"/>
      <c r="V23" s="3"/>
      <c r="W23" s="3"/>
      <c r="X23" s="3"/>
      <c r="Y23" s="3"/>
      <c r="Z23" s="3"/>
    </row>
    <row r="24" spans="1:29" s="9" customFormat="1" ht="18" x14ac:dyDescent="0.35">
      <c r="B24" s="345"/>
      <c r="C24" s="188">
        <v>2015</v>
      </c>
      <c r="D24" s="188">
        <v>2016</v>
      </c>
      <c r="E24" s="188">
        <v>2017</v>
      </c>
      <c r="F24" s="188">
        <v>2018</v>
      </c>
      <c r="G24" s="188">
        <v>2019</v>
      </c>
      <c r="H24" s="188">
        <v>2020</v>
      </c>
      <c r="I24" s="188">
        <v>2021</v>
      </c>
      <c r="J24" s="188">
        <v>2022</v>
      </c>
      <c r="K24" s="188">
        <v>2023</v>
      </c>
      <c r="L24" s="188">
        <v>2024</v>
      </c>
      <c r="M24" s="188">
        <v>2025</v>
      </c>
      <c r="N24" s="188">
        <v>2026</v>
      </c>
      <c r="O24" s="189">
        <v>2027</v>
      </c>
      <c r="P24" s="189">
        <v>2028</v>
      </c>
      <c r="Q24" s="189">
        <v>2029</v>
      </c>
      <c r="R24" s="191"/>
      <c r="S24" s="190"/>
      <c r="T24" s="190"/>
      <c r="U24" s="190"/>
      <c r="V24" s="190"/>
      <c r="W24" s="190"/>
      <c r="X24" s="190"/>
      <c r="Y24" s="190"/>
      <c r="Z24" s="190"/>
      <c r="AB24" s="178"/>
      <c r="AC24" s="178"/>
    </row>
    <row r="25" spans="1:29" ht="14.45" customHeight="1" x14ac:dyDescent="0.3">
      <c r="B25" s="346" t="s">
        <v>0</v>
      </c>
      <c r="C25" s="370">
        <v>0</v>
      </c>
      <c r="D25" s="370">
        <v>0</v>
      </c>
      <c r="E25" s="370">
        <v>0</v>
      </c>
      <c r="F25" s="370">
        <v>0</v>
      </c>
      <c r="G25" s="347">
        <f>G17*$C$22</f>
        <v>3.1085639999999999</v>
      </c>
      <c r="H25" s="347">
        <f t="shared" ref="H25:Q25" si="1">H17*$C$22</f>
        <v>3.1085639999999999</v>
      </c>
      <c r="I25" s="347">
        <f t="shared" si="1"/>
        <v>3.1085639999999999</v>
      </c>
      <c r="J25" s="347">
        <f t="shared" si="1"/>
        <v>3.1085639999999999</v>
      </c>
      <c r="K25" s="347">
        <f t="shared" si="1"/>
        <v>3.1085639999999999</v>
      </c>
      <c r="L25" s="347">
        <f t="shared" si="1"/>
        <v>3.1085639999999999</v>
      </c>
      <c r="M25" s="347">
        <f t="shared" si="1"/>
        <v>3.1085639999999999</v>
      </c>
      <c r="N25" s="347">
        <f t="shared" si="1"/>
        <v>3.1085639999999999</v>
      </c>
      <c r="O25" s="347">
        <f t="shared" si="1"/>
        <v>3.1085639999999999</v>
      </c>
      <c r="P25" s="347">
        <f t="shared" si="1"/>
        <v>3.1085639999999999</v>
      </c>
      <c r="Q25" s="347">
        <f t="shared" si="1"/>
        <v>3.1085639999999999</v>
      </c>
      <c r="R25" s="186"/>
      <c r="S25" s="3"/>
      <c r="T25" s="3"/>
      <c r="U25" s="3"/>
      <c r="V25" s="3"/>
      <c r="W25" s="192"/>
      <c r="X25" s="3"/>
      <c r="Y25" s="3"/>
      <c r="Z25" s="3"/>
      <c r="AB25" s="6"/>
      <c r="AC25" s="6"/>
    </row>
    <row r="26" spans="1:29" ht="14.45" customHeight="1" thickBot="1" x14ac:dyDescent="0.35">
      <c r="B26" s="348" t="s">
        <v>4</v>
      </c>
      <c r="C26" s="371">
        <v>0</v>
      </c>
      <c r="D26" s="371">
        <v>0</v>
      </c>
      <c r="E26" s="371">
        <v>0</v>
      </c>
      <c r="F26" s="371">
        <v>0</v>
      </c>
      <c r="G26" s="349">
        <f t="shared" ref="G26:Q26" si="2">G18*$C$22</f>
        <v>1.7319650400000001E-2</v>
      </c>
      <c r="H26" s="349">
        <f t="shared" si="2"/>
        <v>1.7319650400000001E-2</v>
      </c>
      <c r="I26" s="349">
        <f t="shared" si="2"/>
        <v>1.7319650400000001E-2</v>
      </c>
      <c r="J26" s="349">
        <f t="shared" si="2"/>
        <v>1.7319650400000001E-2</v>
      </c>
      <c r="K26" s="349">
        <f t="shared" si="2"/>
        <v>1.7319650400000001E-2</v>
      </c>
      <c r="L26" s="349">
        <f t="shared" si="2"/>
        <v>1.7319650400000001E-2</v>
      </c>
      <c r="M26" s="349">
        <f t="shared" si="2"/>
        <v>1.7319650400000001E-2</v>
      </c>
      <c r="N26" s="349">
        <f t="shared" si="2"/>
        <v>1.7319650400000001E-2</v>
      </c>
      <c r="O26" s="349">
        <f t="shared" si="2"/>
        <v>1.7319650400000001E-2</v>
      </c>
      <c r="P26" s="349">
        <f t="shared" si="2"/>
        <v>1.7319650400000001E-2</v>
      </c>
      <c r="Q26" s="349">
        <f t="shared" si="2"/>
        <v>1.7319650400000001E-2</v>
      </c>
      <c r="R26" s="195"/>
      <c r="S26" s="3"/>
      <c r="T26" s="3"/>
      <c r="U26" s="3"/>
      <c r="V26" s="3"/>
      <c r="W26" s="192"/>
      <c r="X26" s="3"/>
      <c r="Y26" s="3"/>
      <c r="Z26" s="3"/>
      <c r="AB26" s="6"/>
      <c r="AC26" s="6"/>
    </row>
    <row r="27" spans="1:29" ht="14.45" x14ac:dyDescent="0.3">
      <c r="B27" s="3"/>
      <c r="C27" s="3"/>
      <c r="D27" s="3"/>
      <c r="E27" s="3"/>
      <c r="F27" s="3"/>
      <c r="G27" s="3"/>
      <c r="H27" s="3"/>
      <c r="I27" s="3"/>
      <c r="J27" s="3"/>
      <c r="K27" s="3"/>
      <c r="L27" s="3"/>
      <c r="M27" s="3"/>
      <c r="N27" s="3"/>
      <c r="O27" s="3"/>
      <c r="P27" s="3"/>
      <c r="Q27" s="3"/>
      <c r="R27" s="3"/>
      <c r="S27" s="3"/>
      <c r="T27" s="3"/>
      <c r="U27" s="3"/>
      <c r="V27" s="3"/>
      <c r="W27" s="3"/>
      <c r="X27" s="3"/>
      <c r="Y27" s="3"/>
      <c r="Z27" s="3"/>
    </row>
    <row r="28" spans="1:29" thickBot="1" x14ac:dyDescent="0.35">
      <c r="B28" s="3"/>
      <c r="C28" s="3"/>
      <c r="D28" s="3"/>
      <c r="E28" s="3"/>
      <c r="F28" s="3"/>
      <c r="G28" s="3"/>
      <c r="H28" s="3"/>
      <c r="I28" s="3"/>
      <c r="J28" s="3"/>
      <c r="K28" s="3"/>
      <c r="L28" s="3"/>
      <c r="M28" s="3"/>
      <c r="N28" s="3"/>
      <c r="O28" s="3"/>
      <c r="P28" s="3"/>
      <c r="Q28" s="3"/>
      <c r="R28" s="3"/>
      <c r="S28" s="3"/>
      <c r="T28" s="3"/>
      <c r="U28" s="3"/>
      <c r="V28" s="3"/>
      <c r="W28" s="3"/>
      <c r="X28" s="3"/>
      <c r="Y28" s="3"/>
      <c r="Z28" s="3"/>
    </row>
    <row r="29" spans="1:29" ht="18" x14ac:dyDescent="0.35">
      <c r="A29" s="1" t="s">
        <v>1720</v>
      </c>
      <c r="B29" s="200" t="s">
        <v>1636</v>
      </c>
      <c r="C29" s="183"/>
      <c r="D29" s="183"/>
      <c r="E29" s="183"/>
      <c r="F29" s="183"/>
      <c r="G29" s="183"/>
      <c r="H29" s="183"/>
      <c r="I29" s="183"/>
      <c r="J29" s="183"/>
      <c r="K29" s="183"/>
      <c r="L29" s="183"/>
      <c r="M29" s="183"/>
      <c r="N29" s="183"/>
      <c r="O29" s="183"/>
      <c r="P29" s="183"/>
      <c r="Q29" s="183"/>
      <c r="R29" s="184"/>
      <c r="S29" s="3"/>
      <c r="T29" s="3"/>
      <c r="U29" s="3"/>
      <c r="V29" s="3"/>
      <c r="W29" s="3"/>
      <c r="X29" s="3"/>
      <c r="Y29" s="3"/>
      <c r="Z29" s="3"/>
    </row>
    <row r="30" spans="1:29" ht="14.45" x14ac:dyDescent="0.3">
      <c r="B30" s="187"/>
      <c r="C30" s="3"/>
      <c r="D30" s="3"/>
      <c r="E30" s="3"/>
      <c r="F30" s="3"/>
      <c r="G30" s="3"/>
      <c r="H30" s="3"/>
      <c r="I30" s="3"/>
      <c r="J30" s="3"/>
      <c r="K30" s="3"/>
      <c r="L30" s="3"/>
      <c r="M30" s="3"/>
      <c r="N30" s="3"/>
      <c r="O30" s="3"/>
      <c r="P30" s="3"/>
      <c r="Q30" s="3"/>
      <c r="R30" s="186"/>
    </row>
    <row r="31" spans="1:29" ht="14.45" x14ac:dyDescent="0.3">
      <c r="B31" s="352" t="s">
        <v>738</v>
      </c>
      <c r="C31" s="287" t="s">
        <v>1637</v>
      </c>
      <c r="D31" s="287" t="s">
        <v>1638</v>
      </c>
      <c r="E31" s="3"/>
      <c r="F31" s="3"/>
      <c r="G31" s="3"/>
      <c r="H31" s="3"/>
      <c r="I31" s="3"/>
      <c r="J31" s="3"/>
      <c r="K31" s="3"/>
      <c r="L31" s="3"/>
      <c r="M31" s="3"/>
      <c r="N31" s="3"/>
      <c r="O31" s="3"/>
      <c r="P31" s="3"/>
      <c r="Q31" s="3"/>
      <c r="R31" s="186"/>
    </row>
    <row r="32" spans="1:29" x14ac:dyDescent="0.25">
      <c r="B32" s="352" t="s">
        <v>1639</v>
      </c>
      <c r="C32" s="288">
        <v>0.215</v>
      </c>
      <c r="D32" s="289">
        <v>15</v>
      </c>
      <c r="E32" s="3"/>
      <c r="F32" s="400" t="s">
        <v>1640</v>
      </c>
      <c r="G32" s="400"/>
      <c r="H32" s="400"/>
      <c r="I32" s="400"/>
      <c r="J32" s="400"/>
      <c r="K32" s="400"/>
      <c r="L32" s="400"/>
      <c r="M32" s="400"/>
      <c r="N32" s="400"/>
      <c r="O32" s="400"/>
      <c r="P32" s="3"/>
      <c r="Q32" s="3"/>
      <c r="R32" s="186"/>
    </row>
    <row r="33" spans="2:18" x14ac:dyDescent="0.25">
      <c r="B33" s="352" t="s">
        <v>1641</v>
      </c>
      <c r="C33" s="288">
        <v>3.2000000000000001E-2</v>
      </c>
      <c r="D33" s="289">
        <v>8</v>
      </c>
      <c r="E33" s="3"/>
      <c r="F33" s="400"/>
      <c r="G33" s="400"/>
      <c r="H33" s="400"/>
      <c r="I33" s="400"/>
      <c r="J33" s="400"/>
      <c r="K33" s="400"/>
      <c r="L33" s="400"/>
      <c r="M33" s="400"/>
      <c r="N33" s="400"/>
      <c r="O33" s="400"/>
      <c r="P33" s="3"/>
      <c r="Q33" s="3"/>
      <c r="R33" s="186"/>
    </row>
    <row r="34" spans="2:18" x14ac:dyDescent="0.25">
      <c r="B34" s="352" t="s">
        <v>1642</v>
      </c>
      <c r="C34" s="288">
        <v>8.5999999999999993E-2</v>
      </c>
      <c r="D34" s="289">
        <v>3</v>
      </c>
      <c r="E34" s="3"/>
      <c r="F34" s="400"/>
      <c r="G34" s="400"/>
      <c r="H34" s="400"/>
      <c r="I34" s="400"/>
      <c r="J34" s="400"/>
      <c r="K34" s="400"/>
      <c r="L34" s="400"/>
      <c r="M34" s="400"/>
      <c r="N34" s="400"/>
      <c r="O34" s="400"/>
      <c r="P34" s="3"/>
      <c r="Q34" s="3"/>
      <c r="R34" s="186"/>
    </row>
    <row r="35" spans="2:18" x14ac:dyDescent="0.25">
      <c r="B35" s="352" t="s">
        <v>1643</v>
      </c>
      <c r="C35" s="288">
        <v>0.53900000000000003</v>
      </c>
      <c r="D35" s="289">
        <v>15</v>
      </c>
      <c r="E35" s="3"/>
      <c r="F35" s="400"/>
      <c r="G35" s="400"/>
      <c r="H35" s="400"/>
      <c r="I35" s="400"/>
      <c r="J35" s="400"/>
      <c r="K35" s="400"/>
      <c r="L35" s="400"/>
      <c r="M35" s="400"/>
      <c r="N35" s="400"/>
      <c r="O35" s="400"/>
      <c r="P35" s="3"/>
      <c r="Q35" s="3"/>
      <c r="R35" s="186"/>
    </row>
    <row r="36" spans="2:18" x14ac:dyDescent="0.25">
      <c r="B36" s="352" t="s">
        <v>1644</v>
      </c>
      <c r="C36" s="288">
        <v>4.8000000000000001E-2</v>
      </c>
      <c r="D36" s="289">
        <v>8</v>
      </c>
      <c r="E36" s="3"/>
      <c r="F36" s="400"/>
      <c r="G36" s="400"/>
      <c r="H36" s="400"/>
      <c r="I36" s="400"/>
      <c r="J36" s="400"/>
      <c r="K36" s="400"/>
      <c r="L36" s="400"/>
      <c r="M36" s="400"/>
      <c r="N36" s="400"/>
      <c r="O36" s="400"/>
      <c r="P36" s="3"/>
      <c r="Q36" s="3"/>
      <c r="R36" s="186"/>
    </row>
    <row r="37" spans="2:18" x14ac:dyDescent="0.25">
      <c r="B37" s="352" t="s">
        <v>1645</v>
      </c>
      <c r="C37" s="288">
        <v>0.08</v>
      </c>
      <c r="D37" s="289">
        <v>10</v>
      </c>
      <c r="E37" s="3"/>
      <c r="F37" s="400"/>
      <c r="G37" s="400"/>
      <c r="H37" s="400"/>
      <c r="I37" s="400"/>
      <c r="J37" s="400"/>
      <c r="K37" s="400"/>
      <c r="L37" s="400"/>
      <c r="M37" s="400"/>
      <c r="N37" s="400"/>
      <c r="O37" s="400"/>
      <c r="P37" s="3"/>
      <c r="Q37" s="3"/>
      <c r="R37" s="186"/>
    </row>
    <row r="38" spans="2:18" x14ac:dyDescent="0.25">
      <c r="B38" s="352" t="s">
        <v>1646</v>
      </c>
      <c r="C38" s="287"/>
      <c r="D38" s="287"/>
      <c r="E38" s="3"/>
      <c r="F38" s="400"/>
      <c r="G38" s="400"/>
      <c r="H38" s="400"/>
      <c r="I38" s="400"/>
      <c r="J38" s="400"/>
      <c r="K38" s="400"/>
      <c r="L38" s="400"/>
      <c r="M38" s="400"/>
      <c r="N38" s="400"/>
      <c r="O38" s="400"/>
      <c r="P38" s="3"/>
      <c r="Q38" s="3"/>
      <c r="R38" s="186"/>
    </row>
    <row r="39" spans="2:18" ht="15.75" thickBot="1" x14ac:dyDescent="0.3">
      <c r="B39" s="193"/>
      <c r="C39" s="194"/>
      <c r="D39" s="194"/>
      <c r="E39" s="194"/>
      <c r="F39" s="194"/>
      <c r="G39" s="194"/>
      <c r="H39" s="194"/>
      <c r="I39" s="194"/>
      <c r="J39" s="194"/>
      <c r="K39" s="194"/>
      <c r="L39" s="194"/>
      <c r="M39" s="194"/>
      <c r="N39" s="194"/>
      <c r="O39" s="194"/>
      <c r="P39" s="194"/>
      <c r="Q39" s="194"/>
      <c r="R39" s="195"/>
    </row>
    <row r="40" spans="2:18" x14ac:dyDescent="0.25">
      <c r="B40" s="3"/>
      <c r="C40" s="3"/>
      <c r="D40" s="3"/>
      <c r="E40" s="3"/>
      <c r="F40" s="3"/>
      <c r="G40" s="3"/>
      <c r="H40" s="3"/>
      <c r="I40" s="3"/>
      <c r="J40" s="3"/>
      <c r="K40" s="3"/>
      <c r="L40" s="3"/>
      <c r="M40" s="3"/>
      <c r="N40" s="3"/>
      <c r="O40" s="3"/>
      <c r="P40" s="3"/>
      <c r="Q40" s="3"/>
      <c r="R40" s="3"/>
    </row>
    <row r="41" spans="2:18" ht="15.75" thickBot="1" x14ac:dyDescent="0.3">
      <c r="B41" s="3"/>
      <c r="C41" s="3"/>
      <c r="D41" s="3"/>
      <c r="E41" s="3"/>
      <c r="F41" s="3"/>
      <c r="G41" s="3"/>
      <c r="H41" s="3"/>
      <c r="I41" s="3"/>
      <c r="J41" s="3"/>
      <c r="K41" s="3"/>
      <c r="L41" s="3"/>
      <c r="M41" s="3"/>
      <c r="N41" s="3"/>
      <c r="O41" s="3"/>
      <c r="P41" s="3"/>
      <c r="Q41" s="3"/>
      <c r="R41" s="3"/>
    </row>
    <row r="42" spans="2:18" ht="18.75" x14ac:dyDescent="0.3">
      <c r="B42" s="200" t="s">
        <v>1647</v>
      </c>
      <c r="C42" s="183"/>
      <c r="D42" s="183"/>
      <c r="E42" s="183"/>
      <c r="F42" s="183"/>
      <c r="G42" s="183"/>
      <c r="H42" s="183"/>
      <c r="I42" s="183"/>
      <c r="J42" s="183"/>
      <c r="K42" s="183"/>
      <c r="L42" s="183"/>
      <c r="M42" s="183"/>
      <c r="N42" s="183"/>
      <c r="O42" s="183"/>
      <c r="P42" s="183"/>
      <c r="Q42" s="183"/>
      <c r="R42" s="184"/>
    </row>
    <row r="43" spans="2:18" ht="18.75" x14ac:dyDescent="0.3">
      <c r="B43" s="353"/>
      <c r="C43" s="3" t="s">
        <v>1648</v>
      </c>
      <c r="D43" s="3"/>
      <c r="E43" s="3"/>
      <c r="F43" s="3"/>
      <c r="G43" s="3"/>
      <c r="H43" s="3"/>
      <c r="I43" s="3"/>
      <c r="J43" s="3"/>
      <c r="K43" s="3"/>
      <c r="L43" s="3"/>
      <c r="M43" s="3"/>
      <c r="N43" s="3"/>
      <c r="O43" s="3"/>
      <c r="P43" s="3"/>
      <c r="Q43" s="3"/>
      <c r="R43" s="186"/>
    </row>
    <row r="44" spans="2:18" x14ac:dyDescent="0.25">
      <c r="B44" s="187"/>
      <c r="C44" s="287">
        <f t="shared" ref="C44:Q44" si="3">C48</f>
        <v>2015</v>
      </c>
      <c r="D44" s="287">
        <f t="shared" si="3"/>
        <v>2016</v>
      </c>
      <c r="E44" s="287">
        <f t="shared" si="3"/>
        <v>2017</v>
      </c>
      <c r="F44" s="287">
        <f t="shared" si="3"/>
        <v>2018</v>
      </c>
      <c r="G44" s="287">
        <f t="shared" si="3"/>
        <v>2019</v>
      </c>
      <c r="H44" s="287">
        <f t="shared" si="3"/>
        <v>2020</v>
      </c>
      <c r="I44" s="287">
        <f t="shared" si="3"/>
        <v>2021</v>
      </c>
      <c r="J44" s="287">
        <f t="shared" si="3"/>
        <v>2022</v>
      </c>
      <c r="K44" s="287">
        <f t="shared" si="3"/>
        <v>2023</v>
      </c>
      <c r="L44" s="287">
        <f t="shared" si="3"/>
        <v>2024</v>
      </c>
      <c r="M44" s="287">
        <f t="shared" si="3"/>
        <v>2025</v>
      </c>
      <c r="N44" s="287">
        <f t="shared" si="3"/>
        <v>2026</v>
      </c>
      <c r="O44" s="287">
        <f t="shared" si="3"/>
        <v>2027</v>
      </c>
      <c r="P44" s="287">
        <f t="shared" si="3"/>
        <v>2028</v>
      </c>
      <c r="Q44" s="287">
        <f t="shared" si="3"/>
        <v>2029</v>
      </c>
      <c r="R44" s="186"/>
    </row>
    <row r="45" spans="2:18" x14ac:dyDescent="0.25">
      <c r="B45" s="187"/>
      <c r="C45" s="291">
        <f>C25</f>
        <v>0</v>
      </c>
      <c r="D45" s="291">
        <f t="shared" ref="D45:Q45" si="4">D25</f>
        <v>0</v>
      </c>
      <c r="E45" s="291">
        <f t="shared" si="4"/>
        <v>0</v>
      </c>
      <c r="F45" s="291">
        <f t="shared" si="4"/>
        <v>0</v>
      </c>
      <c r="G45" s="291">
        <f t="shared" si="4"/>
        <v>3.1085639999999999</v>
      </c>
      <c r="H45" s="291">
        <f t="shared" si="4"/>
        <v>3.1085639999999999</v>
      </c>
      <c r="I45" s="291">
        <f t="shared" si="4"/>
        <v>3.1085639999999999</v>
      </c>
      <c r="J45" s="291">
        <f t="shared" si="4"/>
        <v>3.1085639999999999</v>
      </c>
      <c r="K45" s="291">
        <f t="shared" si="4"/>
        <v>3.1085639999999999</v>
      </c>
      <c r="L45" s="291">
        <f t="shared" si="4"/>
        <v>3.1085639999999999</v>
      </c>
      <c r="M45" s="291">
        <f t="shared" si="4"/>
        <v>3.1085639999999999</v>
      </c>
      <c r="N45" s="291">
        <f t="shared" si="4"/>
        <v>3.1085639999999999</v>
      </c>
      <c r="O45" s="291">
        <f t="shared" si="4"/>
        <v>3.1085639999999999</v>
      </c>
      <c r="P45" s="291">
        <f t="shared" si="4"/>
        <v>3.1085639999999999</v>
      </c>
      <c r="Q45" s="291">
        <f t="shared" si="4"/>
        <v>3.1085639999999999</v>
      </c>
      <c r="R45" s="186"/>
    </row>
    <row r="46" spans="2:18" x14ac:dyDescent="0.25">
      <c r="B46" s="187"/>
      <c r="C46" s="3"/>
      <c r="D46" s="3"/>
      <c r="E46" s="3"/>
      <c r="F46" s="3"/>
      <c r="G46" s="3"/>
      <c r="H46" s="3"/>
      <c r="I46" s="3"/>
      <c r="J46" s="3"/>
      <c r="K46" s="3"/>
      <c r="L46" s="3"/>
      <c r="M46" s="3"/>
      <c r="N46" s="3"/>
      <c r="O46" s="3"/>
      <c r="P46" s="3"/>
      <c r="Q46" s="3"/>
      <c r="R46" s="186"/>
    </row>
    <row r="47" spans="2:18" x14ac:dyDescent="0.25">
      <c r="B47" s="187"/>
      <c r="C47" s="3"/>
      <c r="D47" s="3"/>
      <c r="E47" s="3"/>
      <c r="F47" s="3"/>
      <c r="G47" s="3"/>
      <c r="H47" s="3"/>
      <c r="I47" s="3"/>
      <c r="J47" s="3"/>
      <c r="K47" s="3"/>
      <c r="L47" s="3"/>
      <c r="M47" s="3"/>
      <c r="N47" s="3"/>
      <c r="O47" s="3"/>
      <c r="P47" s="3"/>
      <c r="Q47" s="3"/>
      <c r="R47" s="186"/>
    </row>
    <row r="48" spans="2:18" x14ac:dyDescent="0.25">
      <c r="B48" s="352" t="s">
        <v>9</v>
      </c>
      <c r="C48" s="287">
        <v>2015</v>
      </c>
      <c r="D48" s="287">
        <f t="shared" ref="D48:Q48" si="5">C48+1</f>
        <v>2016</v>
      </c>
      <c r="E48" s="287">
        <f t="shared" si="5"/>
        <v>2017</v>
      </c>
      <c r="F48" s="287">
        <f t="shared" si="5"/>
        <v>2018</v>
      </c>
      <c r="G48" s="287">
        <f t="shared" si="5"/>
        <v>2019</v>
      </c>
      <c r="H48" s="287">
        <f t="shared" si="5"/>
        <v>2020</v>
      </c>
      <c r="I48" s="287">
        <f t="shared" si="5"/>
        <v>2021</v>
      </c>
      <c r="J48" s="287">
        <f t="shared" si="5"/>
        <v>2022</v>
      </c>
      <c r="K48" s="287">
        <f t="shared" si="5"/>
        <v>2023</v>
      </c>
      <c r="L48" s="287">
        <f t="shared" si="5"/>
        <v>2024</v>
      </c>
      <c r="M48" s="287">
        <f t="shared" si="5"/>
        <v>2025</v>
      </c>
      <c r="N48" s="287">
        <f t="shared" si="5"/>
        <v>2026</v>
      </c>
      <c r="O48" s="287">
        <f t="shared" si="5"/>
        <v>2027</v>
      </c>
      <c r="P48" s="287">
        <f t="shared" si="5"/>
        <v>2028</v>
      </c>
      <c r="Q48" s="287">
        <f t="shared" si="5"/>
        <v>2029</v>
      </c>
      <c r="R48" s="186"/>
    </row>
    <row r="49" spans="2:18" x14ac:dyDescent="0.25">
      <c r="B49" s="352">
        <v>2015</v>
      </c>
      <c r="C49" s="293">
        <f t="shared" ref="C49:Q49" si="6">HLOOKUP($B49,$C$44:$Q$45,2,FALSE)*$C$32*(1-IF(ROUNDDOWN((C$44-$B49)/$D$32,0)&lt;1,0,IF(ROUNDDOWN((C$44-$B49)/$D$32,0)&lt;2,0.5,IF(ROUNDDOWN((C$44-$B49)/$D$32,0)&lt;3,0.75,IF(ROUNDDOWN((C$44-$B49)/$D$32,0)&lt;4,0.875,0.9375)))))+HLOOKUP($B49,$C$44:$Q$45,2,FALSE)*$C$33*(1-IF(ROUNDDOWN((C$44-$B49)/$D$33,0)&lt;1,0,IF(ROUNDDOWN((C$44-$B49)/$D$33,0)&lt;2,0.5,IF(ROUNDDOWN((C$44-$B49)/$D$33,0)&lt;3,0.75,IF(ROUNDDOWN((C$44-$B49)/$D$33,0)&lt;4,0.875,0.9375)))))+HLOOKUP($B49,$C$44:$Q$45,2,FALSE)*$C$34*(1-IF(ROUNDDOWN((C$44-$B49)/$D$34,0)&lt;1,0,IF(ROUNDDOWN((C$44-$B49)/$D$34,0)&lt;2,0.5,IF(ROUNDDOWN((C$44-$B49)/$D$34,0)&lt;3,0.75,IF(ROUNDDOWN((C$44-$B49)/$D$34,0)&lt;4,0.875,0.9375)))))+HLOOKUP($B49,$C$44:$Q$45,2,FALSE)*$C$35*(1-IF(ROUNDDOWN((C$44-$B49)/$D$35,0)&lt;1,0,IF(ROUNDDOWN((C$44-$B49)/$D$35,0)&lt;2,0.5,IF(ROUNDDOWN((C$44-$B49)/$D$35,0)&lt;3,0.75,IF(ROUNDDOWN((C$44-$B49)/$D$35,0)&lt;4,0.875,0.9375)))))+HLOOKUP($B49,$C$44:$Q$45,2,FALSE)*$C$36*(1-IF(ROUNDDOWN((C$44-$B49)/$D$36,0)&lt;1,0,IF(ROUNDDOWN((C$44-$B49)/$D$36,0)&lt;2,0.5,IF(ROUNDDOWN((C$44-$B49)/$D$36,0)&lt;3,0.75,IF(ROUNDDOWN((C$44-$B49)/$D$36,0)&lt;4,0.875,0.9375)))))+HLOOKUP($B49,$C$44:$Q$45,2,FALSE)*$C$37*(1-IF(ROUNDDOWN((C$44-$B49)/$D$37,0)&lt;1,0,IF(ROUNDDOWN((C$44-$B49)/$D$37,0)&lt;2,0.5,IF(ROUNDDOWN((C$44-$B49)/$D$37,0)&lt;3,0.75,IF(ROUNDDOWN((C$44-$B49)/$D$37,0)&lt;4,0.875,0.9375)))))</f>
        <v>0</v>
      </c>
      <c r="D49" s="293">
        <f>HLOOKUP($B49,$C$44:$Q$45,2,FALSE)*$C$32*(1-IF(ROUNDDOWN((D$44-$B49)/$D$32,0)&lt;1,0,IF(ROUNDDOWN((D$44-$B49)/$D$32,0)&lt;2,0.5,IF(ROUNDDOWN((D$44-$B49)/$D$32,0)&lt;3,0.75,IF(ROUNDDOWN((D$44-$B49)/$D$32,0)&lt;4,0.875,0.9375)))))+HLOOKUP($B49,$C$44:$Q$45,2,FALSE)*$C$33*(1-IF(ROUNDDOWN((D$44-$B49)/$D$33,0)&lt;1,0,IF(ROUNDDOWN((D$44-$B49)/$D$33,0)&lt;2,0.5,IF(ROUNDDOWN((D$44-$B49)/$D$33,0)&lt;3,0.75,IF(ROUNDDOWN((D$44-$B49)/$D$33,0)&lt;4,0.875,0.9375)))))+HLOOKUP($B49,$C$44:$Q$45,2,FALSE)*$C$34*(1-IF(ROUNDDOWN((D$44-$B49)/$D$34,0)&lt;1,0,IF(ROUNDDOWN((D$44-$B49)/$D$34,0)&lt;2,0.5,IF(ROUNDDOWN((D$44-$B49)/$D$34,0)&lt;3,0.75,IF(ROUNDDOWN((D$44-$B49)/$D$34,0)&lt;4,0.875,0.9375)))))+HLOOKUP($B49,$C$44:$Q$45,2,FALSE)*$C$35*(1-IF(ROUNDDOWN((D$44-$B49)/$D$35,0)&lt;1,0,IF(ROUNDDOWN((D$44-$B49)/$D$35,0)&lt;2,0.5,IF(ROUNDDOWN((D$44-$B49)/$D$35,0)&lt;3,0.75,IF(ROUNDDOWN((D$44-$B49)/$D$35,0)&lt;4,0.875,0.9375)))))+HLOOKUP($B49,$C$44:$Q$45,2,FALSE)*$C$36*(1-IF(ROUNDDOWN((D$44-$B49)/$D$36,0)&lt;1,0,IF(ROUNDDOWN((D$44-$B49)/$D$36,0)&lt;2,0.5,IF(ROUNDDOWN((D$44-$B49)/$D$36,0)&lt;3,0.75,IF(ROUNDDOWN((D$44-$B49)/$D$36,0)&lt;4,0.875,0.9375)))))+HLOOKUP($B49,$C$44:$Q$45,2,FALSE)*$C$37*(1-IF(ROUNDDOWN((D$44-$B49)/$D$37,0)&lt;1,0,IF(ROUNDDOWN((D$44-$B49)/$D$37,0)&lt;2,0.5,IF(ROUNDDOWN((D$44-$B49)/$D$37,0)&lt;3,0.75,IF(ROUNDDOWN((D$44-$B49)/$D$37,0)&lt;4,0.875,0.9375)))))</f>
        <v>0</v>
      </c>
      <c r="E49" s="293">
        <f t="shared" si="6"/>
        <v>0</v>
      </c>
      <c r="F49" s="293">
        <f t="shared" si="6"/>
        <v>0</v>
      </c>
      <c r="G49" s="293">
        <f t="shared" si="6"/>
        <v>0</v>
      </c>
      <c r="H49" s="293">
        <f t="shared" si="6"/>
        <v>0</v>
      </c>
      <c r="I49" s="293">
        <f t="shared" si="6"/>
        <v>0</v>
      </c>
      <c r="J49" s="293">
        <f t="shared" si="6"/>
        <v>0</v>
      </c>
      <c r="K49" s="293">
        <f t="shared" si="6"/>
        <v>0</v>
      </c>
      <c r="L49" s="293">
        <f t="shared" si="6"/>
        <v>0</v>
      </c>
      <c r="M49" s="293">
        <f t="shared" si="6"/>
        <v>0</v>
      </c>
      <c r="N49" s="293">
        <f t="shared" si="6"/>
        <v>0</v>
      </c>
      <c r="O49" s="293">
        <f t="shared" si="6"/>
        <v>0</v>
      </c>
      <c r="P49" s="293">
        <f t="shared" si="6"/>
        <v>0</v>
      </c>
      <c r="Q49" s="293">
        <f t="shared" si="6"/>
        <v>0</v>
      </c>
      <c r="R49" s="186"/>
    </row>
    <row r="50" spans="2:18" x14ac:dyDescent="0.25">
      <c r="B50" s="352">
        <f t="shared" ref="B50:B64" si="7">B49+1</f>
        <v>2016</v>
      </c>
      <c r="C50" s="293"/>
      <c r="D50" s="293">
        <f t="shared" ref="D50:Q58" si="8">HLOOKUP($B50,$C$44:$Q$45,2,FALSE)*$C$32*(1-IF(ROUNDDOWN((D$44-$B50)/$D$32,0)&lt;1,0,IF(ROUNDDOWN((D$44-$B50)/$D$32,0)&lt;2,0.5,IF(ROUNDDOWN((D$44-$B50)/$D$32,0)&lt;3,0.75,IF(ROUNDDOWN((D$44-$B50)/$D$32,0)&lt;4,0.875,0.9375)))))+HLOOKUP($B50,$C$44:$Q$45,2,FALSE)*$C$33*(1-IF(ROUNDDOWN((D$44-$B50)/$D$33,0)&lt;1,0,IF(ROUNDDOWN((D$44-$B50)/$D$33,0)&lt;2,0.5,IF(ROUNDDOWN((D$44-$B50)/$D$33,0)&lt;3,0.75,IF(ROUNDDOWN((D$44-$B50)/$D$33,0)&lt;4,0.875,0.9375)))))+HLOOKUP($B50,$C$44:$Q$45,2,FALSE)*$C$34*(1-IF(ROUNDDOWN((D$44-$B50)/$D$34,0)&lt;1,0,IF(ROUNDDOWN((D$44-$B50)/$D$34,0)&lt;2,0.5,IF(ROUNDDOWN((D$44-$B50)/$D$34,0)&lt;3,0.75,IF(ROUNDDOWN((D$44-$B50)/$D$34,0)&lt;4,0.875,0.9375)))))+HLOOKUP($B50,$C$44:$Q$45,2,FALSE)*$C$35*(1-IF(ROUNDDOWN((D$44-$B50)/$D$35,0)&lt;1,0,IF(ROUNDDOWN((D$44-$B50)/$D$35,0)&lt;2,0.5,IF(ROUNDDOWN((D$44-$B50)/$D$35,0)&lt;3,0.75,IF(ROUNDDOWN((D$44-$B50)/$D$35,0)&lt;4,0.875,0.9375)))))+HLOOKUP($B50,$C$44:$Q$45,2,FALSE)*$C$36*(1-IF(ROUNDDOWN((D$44-$B50)/$D$36,0)&lt;1,0,IF(ROUNDDOWN((D$44-$B50)/$D$36,0)&lt;2,0.5,IF(ROUNDDOWN((D$44-$B50)/$D$36,0)&lt;3,0.75,IF(ROUNDDOWN((D$44-$B50)/$D$36,0)&lt;4,0.875,0.9375)))))+HLOOKUP($B50,$C$44:$Q$45,2,FALSE)*$C$37*(1-IF(ROUNDDOWN((D$44-$B50)/$D$37,0)&lt;1,0,IF(ROUNDDOWN((D$44-$B50)/$D$37,0)&lt;2,0.5,IF(ROUNDDOWN((D$44-$B50)/$D$37,0)&lt;3,0.75,IF(ROUNDDOWN((D$44-$B50)/$D$37,0)&lt;4,0.875,0.9375)))))</f>
        <v>0</v>
      </c>
      <c r="E50" s="293">
        <f t="shared" si="8"/>
        <v>0</v>
      </c>
      <c r="F50" s="293">
        <f t="shared" si="8"/>
        <v>0</v>
      </c>
      <c r="G50" s="293">
        <f t="shared" si="8"/>
        <v>0</v>
      </c>
      <c r="H50" s="293">
        <f t="shared" si="8"/>
        <v>0</v>
      </c>
      <c r="I50" s="293">
        <f t="shared" si="8"/>
        <v>0</v>
      </c>
      <c r="J50" s="293">
        <f t="shared" si="8"/>
        <v>0</v>
      </c>
      <c r="K50" s="293">
        <f t="shared" si="8"/>
        <v>0</v>
      </c>
      <c r="L50" s="293">
        <f t="shared" si="8"/>
        <v>0</v>
      </c>
      <c r="M50" s="293">
        <f t="shared" si="8"/>
        <v>0</v>
      </c>
      <c r="N50" s="293">
        <f t="shared" si="8"/>
        <v>0</v>
      </c>
      <c r="O50" s="293">
        <f t="shared" si="8"/>
        <v>0</v>
      </c>
      <c r="P50" s="293">
        <f t="shared" si="8"/>
        <v>0</v>
      </c>
      <c r="Q50" s="293">
        <f t="shared" si="8"/>
        <v>0</v>
      </c>
      <c r="R50" s="186"/>
    </row>
    <row r="51" spans="2:18" x14ac:dyDescent="0.25">
      <c r="B51" s="352">
        <f t="shared" si="7"/>
        <v>2017</v>
      </c>
      <c r="C51" s="293"/>
      <c r="D51" s="293"/>
      <c r="E51" s="293">
        <f t="shared" si="8"/>
        <v>0</v>
      </c>
      <c r="F51" s="293">
        <f t="shared" si="8"/>
        <v>0</v>
      </c>
      <c r="G51" s="293">
        <f t="shared" si="8"/>
        <v>0</v>
      </c>
      <c r="H51" s="293">
        <f>HLOOKUP($B51,$C$44:$Q$45,2,FALSE)*$C$32*(1-IF(ROUNDDOWN((H$44-$B51)/$D$32,0)&lt;1,0,IF(ROUNDDOWN((H$44-$B51)/$D$32,0)&lt;2,0.5,IF(ROUNDDOWN((H$44-$B51)/$D$32,0)&lt;3,0.75,IF(ROUNDDOWN((H$44-$B51)/$D$32,0)&lt;4,0.875,0.9375)))))+HLOOKUP($B51,$C$44:$Q$45,2,FALSE)*$C$33*(1-IF(ROUNDDOWN((H$44-$B51)/$D$33,0)&lt;1,0,IF(ROUNDDOWN((H$44-$B51)/$D$33,0)&lt;2,0.5,IF(ROUNDDOWN((H$44-$B51)/$D$33,0)&lt;3,0.75,IF(ROUNDDOWN((H$44-$B51)/$D$33,0)&lt;4,0.875,0.9375)))))+HLOOKUP($B51,$C$44:$Q$45,2,FALSE)*$C$34*(1-IF(ROUNDDOWN((H$44-$B51)/$D$34,0)&lt;1,0,IF(ROUNDDOWN((H$44-$B51)/$D$34,0)&lt;2,0.5,IF(ROUNDDOWN((H$44-$B51)/$D$34,0)&lt;3,0.75,IF(ROUNDDOWN((H$44-$B51)/$D$34,0)&lt;4,0.875,0.9375)))))+HLOOKUP($B51,$C$44:$Q$45,2,FALSE)*$C$35*(1-IF(ROUNDDOWN((H$44-$B51)/$D$35,0)&lt;1,0,IF(ROUNDDOWN((H$44-$B51)/$D$35,0)&lt;2,0.5,IF(ROUNDDOWN((H$44-$B51)/$D$35,0)&lt;3,0.75,IF(ROUNDDOWN((H$44-$B51)/$D$35,0)&lt;4,0.875,0.9375)))))+HLOOKUP($B51,$C$44:$Q$45,2,FALSE)*$C$36*(1-IF(ROUNDDOWN((H$44-$B51)/$D$36,0)&lt;1,0,IF(ROUNDDOWN((H$44-$B51)/$D$36,0)&lt;2,0.5,IF(ROUNDDOWN((H$44-$B51)/$D$36,0)&lt;3,0.75,IF(ROUNDDOWN((H$44-$B51)/$D$36,0)&lt;4,0.875,0.9375)))))+HLOOKUP($B51,$C$44:$Q$45,2,FALSE)*$C$37*(1-IF(ROUNDDOWN((H$44-$B51)/$D$37,0)&lt;1,0,IF(ROUNDDOWN((H$44-$B51)/$D$37,0)&lt;2,0.5,IF(ROUNDDOWN((H$44-$B51)/$D$37,0)&lt;3,0.75,IF(ROUNDDOWN((H$44-$B51)/$D$37,0)&lt;4,0.875,0.9375)))))</f>
        <v>0</v>
      </c>
      <c r="I51" s="293">
        <f t="shared" si="8"/>
        <v>0</v>
      </c>
      <c r="J51" s="293">
        <f t="shared" si="8"/>
        <v>0</v>
      </c>
      <c r="K51" s="293">
        <f t="shared" si="8"/>
        <v>0</v>
      </c>
      <c r="L51" s="293">
        <f t="shared" si="8"/>
        <v>0</v>
      </c>
      <c r="M51" s="293">
        <f t="shared" si="8"/>
        <v>0</v>
      </c>
      <c r="N51" s="293">
        <f t="shared" si="8"/>
        <v>0</v>
      </c>
      <c r="O51" s="293">
        <f t="shared" si="8"/>
        <v>0</v>
      </c>
      <c r="P51" s="293">
        <f t="shared" si="8"/>
        <v>0</v>
      </c>
      <c r="Q51" s="293">
        <f t="shared" si="8"/>
        <v>0</v>
      </c>
      <c r="R51" s="186"/>
    </row>
    <row r="52" spans="2:18" x14ac:dyDescent="0.25">
      <c r="B52" s="352">
        <f t="shared" si="7"/>
        <v>2018</v>
      </c>
      <c r="C52" s="293"/>
      <c r="D52" s="293"/>
      <c r="E52" s="293"/>
      <c r="F52" s="293">
        <f t="shared" si="8"/>
        <v>0</v>
      </c>
      <c r="G52" s="293">
        <f t="shared" si="8"/>
        <v>0</v>
      </c>
      <c r="H52" s="293">
        <f>HLOOKUP($B52,$C$44:$Q$45,2,FALSE)*$C$32*(1-IF(ROUNDDOWN((H$44-$B52)/$D$32,0)&lt;1,0,IF(ROUNDDOWN((H$44-$B52)/$D$32,0)&lt;2,0.5,IF(ROUNDDOWN((H$44-$B52)/$D$32,0)&lt;3,0.75,IF(ROUNDDOWN((H$44-$B52)/$D$32,0)&lt;4,0.875,0.9375)))))+HLOOKUP($B52,$C$44:$Q$45,2,FALSE)*$C$33*(1-IF(ROUNDDOWN((H$44-$B52)/$D$33,0)&lt;1,0,IF(ROUNDDOWN((H$44-$B52)/$D$33,0)&lt;2,0.5,IF(ROUNDDOWN((H$44-$B52)/$D$33,0)&lt;3,0.75,IF(ROUNDDOWN((H$44-$B52)/$D$33,0)&lt;4,0.875,0.9375)))))+HLOOKUP($B52,$C$44:$Q$45,2,FALSE)*$C$34*(1-IF(ROUNDDOWN((H$44-$B52)/$D$34,0)&lt;1,0,IF(ROUNDDOWN((H$44-$B52)/$D$34,0)&lt;2,0.5,IF(ROUNDDOWN((H$44-$B52)/$D$34,0)&lt;3,0.75,IF(ROUNDDOWN((H$44-$B52)/$D$34,0)&lt;4,0.875,0.9375)))))+HLOOKUP($B52,$C$44:$Q$45,2,FALSE)*$C$35*(1-IF(ROUNDDOWN((H$44-$B52)/$D$35,0)&lt;1,0,IF(ROUNDDOWN((H$44-$B52)/$D$35,0)&lt;2,0.5,IF(ROUNDDOWN((H$44-$B52)/$D$35,0)&lt;3,0.75,IF(ROUNDDOWN((H$44-$B52)/$D$35,0)&lt;4,0.875,0.9375)))))+HLOOKUP($B52,$C$44:$Q$45,2,FALSE)*$C$36*(1-IF(ROUNDDOWN((H$44-$B52)/$D$36,0)&lt;1,0,IF(ROUNDDOWN((H$44-$B52)/$D$36,0)&lt;2,0.5,IF(ROUNDDOWN((H$44-$B52)/$D$36,0)&lt;3,0.75,IF(ROUNDDOWN((H$44-$B52)/$D$36,0)&lt;4,0.875,0.9375)))))+HLOOKUP($B52,$C$44:$Q$45,2,FALSE)*$C$37*(1-IF(ROUNDDOWN((H$44-$B52)/$D$37,0)&lt;1,0,IF(ROUNDDOWN((H$44-$B52)/$D$37,0)&lt;2,0.5,IF(ROUNDDOWN((H$44-$B52)/$D$37,0)&lt;3,0.75,IF(ROUNDDOWN((H$44-$B52)/$D$37,0)&lt;4,0.875,0.9375)))))</f>
        <v>0</v>
      </c>
      <c r="I52" s="293">
        <f t="shared" si="8"/>
        <v>0</v>
      </c>
      <c r="J52" s="293">
        <f t="shared" si="8"/>
        <v>0</v>
      </c>
      <c r="K52" s="293">
        <f t="shared" si="8"/>
        <v>0</v>
      </c>
      <c r="L52" s="293">
        <f t="shared" si="8"/>
        <v>0</v>
      </c>
      <c r="M52" s="293">
        <f t="shared" si="8"/>
        <v>0</v>
      </c>
      <c r="N52" s="293">
        <f t="shared" si="8"/>
        <v>0</v>
      </c>
      <c r="O52" s="293">
        <f t="shared" si="8"/>
        <v>0</v>
      </c>
      <c r="P52" s="293">
        <f t="shared" si="8"/>
        <v>0</v>
      </c>
      <c r="Q52" s="293">
        <f t="shared" si="8"/>
        <v>0</v>
      </c>
      <c r="R52" s="186"/>
    </row>
    <row r="53" spans="2:18" x14ac:dyDescent="0.25">
      <c r="B53" s="352">
        <f t="shared" si="7"/>
        <v>2019</v>
      </c>
      <c r="C53" s="293"/>
      <c r="D53" s="293"/>
      <c r="E53" s="293"/>
      <c r="F53" s="293"/>
      <c r="G53" s="293">
        <f t="shared" si="8"/>
        <v>3.1085640000000003</v>
      </c>
      <c r="H53" s="293">
        <f t="shared" si="8"/>
        <v>3.1085640000000003</v>
      </c>
      <c r="I53" s="293">
        <f t="shared" si="8"/>
        <v>3.1085640000000003</v>
      </c>
      <c r="J53" s="293">
        <f t="shared" si="8"/>
        <v>2.9748957480000002</v>
      </c>
      <c r="K53" s="293">
        <f t="shared" si="8"/>
        <v>2.9748957480000002</v>
      </c>
      <c r="L53" s="293">
        <f t="shared" si="8"/>
        <v>2.9748957480000002</v>
      </c>
      <c r="M53" s="293">
        <f t="shared" si="8"/>
        <v>2.908061622</v>
      </c>
      <c r="N53" s="293">
        <f t="shared" si="8"/>
        <v>2.908061622</v>
      </c>
      <c r="O53" s="293">
        <f t="shared" si="8"/>
        <v>2.7837190620000003</v>
      </c>
      <c r="P53" s="293">
        <f t="shared" si="8"/>
        <v>2.7503019990000004</v>
      </c>
      <c r="Q53" s="293">
        <f t="shared" si="8"/>
        <v>2.6259594390000003</v>
      </c>
      <c r="R53" s="186"/>
    </row>
    <row r="54" spans="2:18" x14ac:dyDescent="0.25">
      <c r="B54" s="352">
        <f t="shared" si="7"/>
        <v>2020</v>
      </c>
      <c r="C54" s="293"/>
      <c r="D54" s="293"/>
      <c r="E54" s="293"/>
      <c r="F54" s="293"/>
      <c r="G54" s="293"/>
      <c r="H54" s="293">
        <f t="shared" si="8"/>
        <v>3.1085640000000003</v>
      </c>
      <c r="I54" s="293">
        <f t="shared" si="8"/>
        <v>3.1085640000000003</v>
      </c>
      <c r="J54" s="293">
        <f t="shared" si="8"/>
        <v>3.1085640000000003</v>
      </c>
      <c r="K54" s="293">
        <f t="shared" si="8"/>
        <v>2.9748957480000002</v>
      </c>
      <c r="L54" s="293">
        <f t="shared" si="8"/>
        <v>2.9748957480000002</v>
      </c>
      <c r="M54" s="293">
        <f t="shared" si="8"/>
        <v>2.9748957480000002</v>
      </c>
      <c r="N54" s="293">
        <f t="shared" si="8"/>
        <v>2.908061622</v>
      </c>
      <c r="O54" s="293">
        <f t="shared" si="8"/>
        <v>2.908061622</v>
      </c>
      <c r="P54" s="293">
        <f t="shared" si="8"/>
        <v>2.7837190620000003</v>
      </c>
      <c r="Q54" s="293">
        <f t="shared" si="8"/>
        <v>2.7503019990000004</v>
      </c>
      <c r="R54" s="186"/>
    </row>
    <row r="55" spans="2:18" x14ac:dyDescent="0.25">
      <c r="B55" s="352">
        <f t="shared" si="7"/>
        <v>2021</v>
      </c>
      <c r="C55" s="293"/>
      <c r="D55" s="293"/>
      <c r="E55" s="293"/>
      <c r="F55" s="293"/>
      <c r="G55" s="293"/>
      <c r="H55" s="293"/>
      <c r="I55" s="293">
        <f t="shared" si="8"/>
        <v>3.1085640000000003</v>
      </c>
      <c r="J55" s="293">
        <f t="shared" si="8"/>
        <v>3.1085640000000003</v>
      </c>
      <c r="K55" s="293">
        <f t="shared" si="8"/>
        <v>3.1085640000000003</v>
      </c>
      <c r="L55" s="293">
        <f t="shared" si="8"/>
        <v>2.9748957480000002</v>
      </c>
      <c r="M55" s="293">
        <f t="shared" si="8"/>
        <v>2.9748957480000002</v>
      </c>
      <c r="N55" s="293">
        <f t="shared" si="8"/>
        <v>2.9748957480000002</v>
      </c>
      <c r="O55" s="293">
        <f t="shared" si="8"/>
        <v>2.908061622</v>
      </c>
      <c r="P55" s="293">
        <f t="shared" si="8"/>
        <v>2.908061622</v>
      </c>
      <c r="Q55" s="293">
        <f t="shared" si="8"/>
        <v>2.7837190620000003</v>
      </c>
      <c r="R55" s="186"/>
    </row>
    <row r="56" spans="2:18" x14ac:dyDescent="0.25">
      <c r="B56" s="352">
        <f t="shared" si="7"/>
        <v>2022</v>
      </c>
      <c r="C56" s="293"/>
      <c r="D56" s="293"/>
      <c r="E56" s="293"/>
      <c r="F56" s="293"/>
      <c r="G56" s="293"/>
      <c r="H56" s="293"/>
      <c r="I56" s="293"/>
      <c r="J56" s="293">
        <f t="shared" si="8"/>
        <v>3.1085640000000003</v>
      </c>
      <c r="K56" s="293">
        <f t="shared" si="8"/>
        <v>3.1085640000000003</v>
      </c>
      <c r="L56" s="293">
        <f t="shared" si="8"/>
        <v>3.1085640000000003</v>
      </c>
      <c r="M56" s="293">
        <f t="shared" si="8"/>
        <v>2.9748957480000002</v>
      </c>
      <c r="N56" s="293">
        <f t="shared" si="8"/>
        <v>2.9748957480000002</v>
      </c>
      <c r="O56" s="293">
        <f t="shared" si="8"/>
        <v>2.9748957480000002</v>
      </c>
      <c r="P56" s="293">
        <f t="shared" si="8"/>
        <v>2.908061622</v>
      </c>
      <c r="Q56" s="293">
        <f t="shared" si="8"/>
        <v>2.908061622</v>
      </c>
      <c r="R56" s="186"/>
    </row>
    <row r="57" spans="2:18" x14ac:dyDescent="0.25">
      <c r="B57" s="352">
        <f t="shared" si="7"/>
        <v>2023</v>
      </c>
      <c r="C57" s="293"/>
      <c r="D57" s="293"/>
      <c r="E57" s="293"/>
      <c r="F57" s="293"/>
      <c r="G57" s="293"/>
      <c r="H57" s="293"/>
      <c r="I57" s="293"/>
      <c r="J57" s="293"/>
      <c r="K57" s="293">
        <f t="shared" si="8"/>
        <v>3.1085640000000003</v>
      </c>
      <c r="L57" s="293">
        <f t="shared" si="8"/>
        <v>3.1085640000000003</v>
      </c>
      <c r="M57" s="293">
        <f t="shared" si="8"/>
        <v>3.1085640000000003</v>
      </c>
      <c r="N57" s="293">
        <f t="shared" si="8"/>
        <v>2.9748957480000002</v>
      </c>
      <c r="O57" s="293">
        <f t="shared" si="8"/>
        <v>2.9748957480000002</v>
      </c>
      <c r="P57" s="293">
        <f t="shared" si="8"/>
        <v>2.9748957480000002</v>
      </c>
      <c r="Q57" s="293">
        <f t="shared" si="8"/>
        <v>2.908061622</v>
      </c>
      <c r="R57" s="186"/>
    </row>
    <row r="58" spans="2:18" x14ac:dyDescent="0.25">
      <c r="B58" s="352">
        <f t="shared" si="7"/>
        <v>2024</v>
      </c>
      <c r="C58" s="293"/>
      <c r="D58" s="293"/>
      <c r="E58" s="293"/>
      <c r="F58" s="293"/>
      <c r="G58" s="293"/>
      <c r="H58" s="293"/>
      <c r="I58" s="293"/>
      <c r="J58" s="293"/>
      <c r="K58" s="293"/>
      <c r="L58" s="293">
        <f t="shared" si="8"/>
        <v>3.1085640000000003</v>
      </c>
      <c r="M58" s="293">
        <f t="shared" si="8"/>
        <v>3.1085640000000003</v>
      </c>
      <c r="N58" s="293">
        <f t="shared" si="8"/>
        <v>3.1085640000000003</v>
      </c>
      <c r="O58" s="293">
        <f t="shared" si="8"/>
        <v>2.9748957480000002</v>
      </c>
      <c r="P58" s="293">
        <f t="shared" si="8"/>
        <v>2.9748957480000002</v>
      </c>
      <c r="Q58" s="293">
        <f t="shared" si="8"/>
        <v>2.9748957480000002</v>
      </c>
      <c r="R58" s="186"/>
    </row>
    <row r="59" spans="2:18" x14ac:dyDescent="0.25">
      <c r="B59" s="352">
        <f t="shared" si="7"/>
        <v>2025</v>
      </c>
      <c r="C59" s="293"/>
      <c r="D59" s="293"/>
      <c r="E59" s="293"/>
      <c r="F59" s="293"/>
      <c r="G59" s="293"/>
      <c r="H59" s="293"/>
      <c r="I59" s="293"/>
      <c r="J59" s="293"/>
      <c r="K59" s="293"/>
      <c r="L59" s="293"/>
      <c r="M59" s="293">
        <f>HLOOKUP($B59,$C$44:$Q$45,2,FALSE)*$C$32*(1-IF(ROUNDDOWN((M$44-$B59)/$D$32,0)&lt;1,0,IF(ROUNDDOWN((M$44-$B59)/$D$32,0)&lt;2,0.5,IF(ROUNDDOWN((M$44-$B59)/$D$32,0)&lt;3,0.75,IF(ROUNDDOWN((M$44-$B59)/$D$32,0)&lt;4,0.875,0.9375)))))+HLOOKUP($B59,$C$44:$Q$45,2,FALSE)*$C$33*(1-IF(ROUNDDOWN((M$44-$B59)/$D$33,0)&lt;1,0,IF(ROUNDDOWN((M$44-$B59)/$D$33,0)&lt;2,0.5,IF(ROUNDDOWN((M$44-$B59)/$D$33,0)&lt;3,0.75,IF(ROUNDDOWN((M$44-$B59)/$D$33,0)&lt;4,0.875,0.9375)))))+HLOOKUP($B59,$C$44:$Q$45,2,FALSE)*$C$34*(1-IF(ROUNDDOWN((M$44-$B59)/$D$34,0)&lt;1,0,IF(ROUNDDOWN((M$44-$B59)/$D$34,0)&lt;2,0.5,IF(ROUNDDOWN((M$44-$B59)/$D$34,0)&lt;3,0.75,IF(ROUNDDOWN((M$44-$B59)/$D$34,0)&lt;4,0.875,0.9375)))))+HLOOKUP($B59,$C$44:$Q$45,2,FALSE)*$C$35*(1-IF(ROUNDDOWN((M$44-$B59)/$D$35,0)&lt;1,0,IF(ROUNDDOWN((M$44-$B59)/$D$35,0)&lt;2,0.5,IF(ROUNDDOWN((M$44-$B59)/$D$35,0)&lt;3,0.75,IF(ROUNDDOWN((M$44-$B59)/$D$35,0)&lt;4,0.875,0.9375)))))+HLOOKUP($B59,$C$44:$Q$45,2,FALSE)*$C$36*(1-IF(ROUNDDOWN((M$44-$B59)/$D$36,0)&lt;1,0,IF(ROUNDDOWN((M$44-$B59)/$D$36,0)&lt;2,0.5,IF(ROUNDDOWN((M$44-$B59)/$D$36,0)&lt;3,0.75,IF(ROUNDDOWN((M$44-$B59)/$D$36,0)&lt;4,0.875,0.9375)))))+HLOOKUP($B59,$C$44:$Q$45,2,FALSE)*$C$37*(1-IF(ROUNDDOWN((M$44-$B59)/$D$37,0)&lt;1,0,IF(ROUNDDOWN((M$44-$B59)/$D$37,0)&lt;2,0.5,IF(ROUNDDOWN((M$44-$B59)/$D$37,0)&lt;3,0.75,IF(ROUNDDOWN((M$44-$B59)/$D$37,0)&lt;4,0.875,0.9375)))))</f>
        <v>3.1085640000000003</v>
      </c>
      <c r="N59" s="293">
        <f>HLOOKUP($B59,$C$44:$Q$45,2,FALSE)*$C$32*(1-IF(ROUNDDOWN((N$44-$B59)/$D$32,0)&lt;1,0,IF(ROUNDDOWN((N$44-$B59)/$D$32,0)&lt;2,0.5,IF(ROUNDDOWN((N$44-$B59)/$D$32,0)&lt;3,0.75,IF(ROUNDDOWN((N$44-$B59)/$D$32,0)&lt;4,0.875,0.9375)))))+HLOOKUP($B59,$C$44:$Q$45,2,FALSE)*$C$33*(1-IF(ROUNDDOWN((N$44-$B59)/$D$33,0)&lt;1,0,IF(ROUNDDOWN((N$44-$B59)/$D$33,0)&lt;2,0.5,IF(ROUNDDOWN((N$44-$B59)/$D$33,0)&lt;3,0.75,IF(ROUNDDOWN((N$44-$B59)/$D$33,0)&lt;4,0.875,0.9375)))))+HLOOKUP($B59,$C$44:$Q$45,2,FALSE)*$C$34*(1-IF(ROUNDDOWN((N$44-$B59)/$D$34,0)&lt;1,0,IF(ROUNDDOWN((N$44-$B59)/$D$34,0)&lt;2,0.5,IF(ROUNDDOWN((N$44-$B59)/$D$34,0)&lt;3,0.75,IF(ROUNDDOWN((N$44-$B59)/$D$34,0)&lt;4,0.875,0.9375)))))+HLOOKUP($B59,$C$44:$Q$45,2,FALSE)*$C$35*(1-IF(ROUNDDOWN((N$44-$B59)/$D$35,0)&lt;1,0,IF(ROUNDDOWN((N$44-$B59)/$D$35,0)&lt;2,0.5,IF(ROUNDDOWN((N$44-$B59)/$D$35,0)&lt;3,0.75,IF(ROUNDDOWN((N$44-$B59)/$D$35,0)&lt;4,0.875,0.9375)))))+HLOOKUP($B59,$C$44:$Q$45,2,FALSE)*$C$36*(1-IF(ROUNDDOWN((N$44-$B59)/$D$36,0)&lt;1,0,IF(ROUNDDOWN((N$44-$B59)/$D$36,0)&lt;2,0.5,IF(ROUNDDOWN((N$44-$B59)/$D$36,0)&lt;3,0.75,IF(ROUNDDOWN((N$44-$B59)/$D$36,0)&lt;4,0.875,0.9375)))))+HLOOKUP($B59,$C$44:$Q$45,2,FALSE)*$C$37*(1-IF(ROUNDDOWN((N$44-$B59)/$D$37,0)&lt;1,0,IF(ROUNDDOWN((N$44-$B59)/$D$37,0)&lt;2,0.5,IF(ROUNDDOWN((N$44-$B59)/$D$37,0)&lt;3,0.75,IF(ROUNDDOWN((N$44-$B59)/$D$37,0)&lt;4,0.875,0.9375)))))</f>
        <v>3.1085640000000003</v>
      </c>
      <c r="O59" s="293">
        <f>HLOOKUP($B59,$C$44:$Q$45,2,FALSE)*$C$32*(1-IF(ROUNDDOWN((O$44-$B59)/$D$32,0)&lt;1,0,IF(ROUNDDOWN((O$44-$B59)/$D$32,0)&lt;2,0.5,IF(ROUNDDOWN((O$44-$B59)/$D$32,0)&lt;3,0.75,IF(ROUNDDOWN((O$44-$B59)/$D$32,0)&lt;4,0.875,0.9375)))))+HLOOKUP($B59,$C$44:$Q$45,2,FALSE)*$C$33*(1-IF(ROUNDDOWN((O$44-$B59)/$D$33,0)&lt;1,0,IF(ROUNDDOWN((O$44-$B59)/$D$33,0)&lt;2,0.5,IF(ROUNDDOWN((O$44-$B59)/$D$33,0)&lt;3,0.75,IF(ROUNDDOWN((O$44-$B59)/$D$33,0)&lt;4,0.875,0.9375)))))+HLOOKUP($B59,$C$44:$Q$45,2,FALSE)*$C$34*(1-IF(ROUNDDOWN((O$44-$B59)/$D$34,0)&lt;1,0,IF(ROUNDDOWN((O$44-$B59)/$D$34,0)&lt;2,0.5,IF(ROUNDDOWN((O$44-$B59)/$D$34,0)&lt;3,0.75,IF(ROUNDDOWN((O$44-$B59)/$D$34,0)&lt;4,0.875,0.9375)))))+HLOOKUP($B59,$C$44:$Q$45,2,FALSE)*$C$35*(1-IF(ROUNDDOWN((O$44-$B59)/$D$35,0)&lt;1,0,IF(ROUNDDOWN((O$44-$B59)/$D$35,0)&lt;2,0.5,IF(ROUNDDOWN((O$44-$B59)/$D$35,0)&lt;3,0.75,IF(ROUNDDOWN((O$44-$B59)/$D$35,0)&lt;4,0.875,0.9375)))))+HLOOKUP($B59,$C$44:$Q$45,2,FALSE)*$C$36*(1-IF(ROUNDDOWN((O$44-$B59)/$D$36,0)&lt;1,0,IF(ROUNDDOWN((O$44-$B59)/$D$36,0)&lt;2,0.5,IF(ROUNDDOWN((O$44-$B59)/$D$36,0)&lt;3,0.75,IF(ROUNDDOWN((O$44-$B59)/$D$36,0)&lt;4,0.875,0.9375)))))+HLOOKUP($B59,$C$44:$Q$45,2,FALSE)*$C$37*(1-IF(ROUNDDOWN((O$44-$B59)/$D$37,0)&lt;1,0,IF(ROUNDDOWN((O$44-$B59)/$D$37,0)&lt;2,0.5,IF(ROUNDDOWN((O$44-$B59)/$D$37,0)&lt;3,0.75,IF(ROUNDDOWN((O$44-$B59)/$D$37,0)&lt;4,0.875,0.9375)))))</f>
        <v>3.1085640000000003</v>
      </c>
      <c r="P59" s="293">
        <f>HLOOKUP($B59,$C$44:$Q$45,2,FALSE)*$C$32*(1-IF(ROUNDDOWN((P$44-$B59)/$D$32,0)&lt;1,0,IF(ROUNDDOWN((P$44-$B59)/$D$32,0)&lt;2,0.5,IF(ROUNDDOWN((P$44-$B59)/$D$32,0)&lt;3,0.75,IF(ROUNDDOWN((P$44-$B59)/$D$32,0)&lt;4,0.875,0.9375)))))+HLOOKUP($B59,$C$44:$Q$45,2,FALSE)*$C$33*(1-IF(ROUNDDOWN((P$44-$B59)/$D$33,0)&lt;1,0,IF(ROUNDDOWN((P$44-$B59)/$D$33,0)&lt;2,0.5,IF(ROUNDDOWN((P$44-$B59)/$D$33,0)&lt;3,0.75,IF(ROUNDDOWN((P$44-$B59)/$D$33,0)&lt;4,0.875,0.9375)))))+HLOOKUP($B59,$C$44:$Q$45,2,FALSE)*$C$34*(1-IF(ROUNDDOWN((P$44-$B59)/$D$34,0)&lt;1,0,IF(ROUNDDOWN((P$44-$B59)/$D$34,0)&lt;2,0.5,IF(ROUNDDOWN((P$44-$B59)/$D$34,0)&lt;3,0.75,IF(ROUNDDOWN((P$44-$B59)/$D$34,0)&lt;4,0.875,0.9375)))))+HLOOKUP($B59,$C$44:$Q$45,2,FALSE)*$C$35*(1-IF(ROUNDDOWN((P$44-$B59)/$D$35,0)&lt;1,0,IF(ROUNDDOWN((P$44-$B59)/$D$35,0)&lt;2,0.5,IF(ROUNDDOWN((P$44-$B59)/$D$35,0)&lt;3,0.75,IF(ROUNDDOWN((P$44-$B59)/$D$35,0)&lt;4,0.875,0.9375)))))+HLOOKUP($B59,$C$44:$Q$45,2,FALSE)*$C$36*(1-IF(ROUNDDOWN((P$44-$B59)/$D$36,0)&lt;1,0,IF(ROUNDDOWN((P$44-$B59)/$D$36,0)&lt;2,0.5,IF(ROUNDDOWN((P$44-$B59)/$D$36,0)&lt;3,0.75,IF(ROUNDDOWN((P$44-$B59)/$D$36,0)&lt;4,0.875,0.9375)))))+HLOOKUP($B59,$C$44:$Q$45,2,FALSE)*$C$37*(1-IF(ROUNDDOWN((P$44-$B59)/$D$37,0)&lt;1,0,IF(ROUNDDOWN((P$44-$B59)/$D$37,0)&lt;2,0.5,IF(ROUNDDOWN((P$44-$B59)/$D$37,0)&lt;3,0.75,IF(ROUNDDOWN((P$44-$B59)/$D$37,0)&lt;4,0.875,0.9375)))))</f>
        <v>2.9748957480000002</v>
      </c>
      <c r="Q59" s="293">
        <f>HLOOKUP($B59,$C$44:$Q$45,2,FALSE)*$C$32*(1-IF(ROUNDDOWN((Q$44-$B59)/$D$32,0)&lt;1,0,IF(ROUNDDOWN((Q$44-$B59)/$D$32,0)&lt;2,0.5,IF(ROUNDDOWN((Q$44-$B59)/$D$32,0)&lt;3,0.75,IF(ROUNDDOWN((Q$44-$B59)/$D$32,0)&lt;4,0.875,0.9375)))))+HLOOKUP($B59,$C$44:$Q$45,2,FALSE)*$C$33*(1-IF(ROUNDDOWN((Q$44-$B59)/$D$33,0)&lt;1,0,IF(ROUNDDOWN((Q$44-$B59)/$D$33,0)&lt;2,0.5,IF(ROUNDDOWN((Q$44-$B59)/$D$33,0)&lt;3,0.75,IF(ROUNDDOWN((Q$44-$B59)/$D$33,0)&lt;4,0.875,0.9375)))))+HLOOKUP($B59,$C$44:$Q$45,2,FALSE)*$C$34*(1-IF(ROUNDDOWN((Q$44-$B59)/$D$34,0)&lt;1,0,IF(ROUNDDOWN((Q$44-$B59)/$D$34,0)&lt;2,0.5,IF(ROUNDDOWN((Q$44-$B59)/$D$34,0)&lt;3,0.75,IF(ROUNDDOWN((Q$44-$B59)/$D$34,0)&lt;4,0.875,0.9375)))))+HLOOKUP($B59,$C$44:$Q$45,2,FALSE)*$C$35*(1-IF(ROUNDDOWN((Q$44-$B59)/$D$35,0)&lt;1,0,IF(ROUNDDOWN((Q$44-$B59)/$D$35,0)&lt;2,0.5,IF(ROUNDDOWN((Q$44-$B59)/$D$35,0)&lt;3,0.75,IF(ROUNDDOWN((Q$44-$B59)/$D$35,0)&lt;4,0.875,0.9375)))))+HLOOKUP($B59,$C$44:$Q$45,2,FALSE)*$C$36*(1-IF(ROUNDDOWN((Q$44-$B59)/$D$36,0)&lt;1,0,IF(ROUNDDOWN((Q$44-$B59)/$D$36,0)&lt;2,0.5,IF(ROUNDDOWN((Q$44-$B59)/$D$36,0)&lt;3,0.75,IF(ROUNDDOWN((Q$44-$B59)/$D$36,0)&lt;4,0.875,0.9375)))))+HLOOKUP($B59,$C$44:$Q$45,2,FALSE)*$C$37*(1-IF(ROUNDDOWN((Q$44-$B59)/$D$37,0)&lt;1,0,IF(ROUNDDOWN((Q$44-$B59)/$D$37,0)&lt;2,0.5,IF(ROUNDDOWN((Q$44-$B59)/$D$37,0)&lt;3,0.75,IF(ROUNDDOWN((Q$44-$B59)/$D$37,0)&lt;4,0.875,0.9375)))))</f>
        <v>2.9748957480000002</v>
      </c>
      <c r="R59" s="186"/>
    </row>
    <row r="60" spans="2:18" x14ac:dyDescent="0.25">
      <c r="B60" s="352">
        <f t="shared" si="7"/>
        <v>2026</v>
      </c>
      <c r="C60" s="293"/>
      <c r="D60" s="293"/>
      <c r="E60" s="293"/>
      <c r="F60" s="293"/>
      <c r="G60" s="293"/>
      <c r="H60" s="293"/>
      <c r="I60" s="293"/>
      <c r="J60" s="293"/>
      <c r="K60" s="293"/>
      <c r="L60" s="293"/>
      <c r="M60" s="293"/>
      <c r="N60" s="293">
        <f>HLOOKUP($B60,$C$44:$Q$45,2,FALSE)*$C$32*(1-IF(ROUNDDOWN((N$44-$B60)/$D$32,0)&lt;1,0,IF(ROUNDDOWN((N$44-$B60)/$D$32,0)&lt;2,0.5,IF(ROUNDDOWN((N$44-$B60)/$D$32,0)&lt;3,0.75,IF(ROUNDDOWN((N$44-$B60)/$D$32,0)&lt;4,0.875,0.9375)))))+HLOOKUP($B60,$C$44:$Q$45,2,FALSE)*$C$33*(1-IF(ROUNDDOWN((N$44-$B60)/$D$33,0)&lt;1,0,IF(ROUNDDOWN((N$44-$B60)/$D$33,0)&lt;2,0.5,IF(ROUNDDOWN((N$44-$B60)/$D$33,0)&lt;3,0.75,IF(ROUNDDOWN((N$44-$B60)/$D$33,0)&lt;4,0.875,0.9375)))))+HLOOKUP($B60,$C$44:$Q$45,2,FALSE)*$C$34*(1-IF(ROUNDDOWN((N$44-$B60)/$D$34,0)&lt;1,0,IF(ROUNDDOWN((N$44-$B60)/$D$34,0)&lt;2,0.5,IF(ROUNDDOWN((N$44-$B60)/$D$34,0)&lt;3,0.75,IF(ROUNDDOWN((N$44-$B60)/$D$34,0)&lt;4,0.875,0.9375)))))+HLOOKUP($B60,$C$44:$Q$45,2,FALSE)*$C$35*(1-IF(ROUNDDOWN((N$44-$B60)/$D$35,0)&lt;1,0,IF(ROUNDDOWN((N$44-$B60)/$D$35,0)&lt;2,0.5,IF(ROUNDDOWN((N$44-$B60)/$D$35,0)&lt;3,0.75,IF(ROUNDDOWN((N$44-$B60)/$D$35,0)&lt;4,0.875,0.9375)))))+HLOOKUP($B60,$C$44:$Q$45,2,FALSE)*$C$36*(1-IF(ROUNDDOWN((N$44-$B60)/$D$36,0)&lt;1,0,IF(ROUNDDOWN((N$44-$B60)/$D$36,0)&lt;2,0.5,IF(ROUNDDOWN((N$44-$B60)/$D$36,0)&lt;3,0.75,IF(ROUNDDOWN((N$44-$B60)/$D$36,0)&lt;4,0.875,0.9375)))))+HLOOKUP($B60,$C$44:$Q$45,2,FALSE)*$C$37*(1-IF(ROUNDDOWN((N$44-$B60)/$D$37,0)&lt;1,0,IF(ROUNDDOWN((N$44-$B60)/$D$37,0)&lt;2,0.5,IF(ROUNDDOWN((N$44-$B60)/$D$37,0)&lt;3,0.75,IF(ROUNDDOWN((N$44-$B60)/$D$37,0)&lt;4,0.875,0.9375)))))</f>
        <v>3.1085640000000003</v>
      </c>
      <c r="O60" s="293">
        <f>HLOOKUP($B60,$C$44:$Q$45,2,FALSE)*$C$32*(1-IF(ROUNDDOWN((O$44-$B60)/$D$32,0)&lt;1,0,IF(ROUNDDOWN((O$44-$B60)/$D$32,0)&lt;2,0.5,IF(ROUNDDOWN((O$44-$B60)/$D$32,0)&lt;3,0.75,IF(ROUNDDOWN((O$44-$B60)/$D$32,0)&lt;4,0.875,0.9375)))))+HLOOKUP($B60,$C$44:$Q$45,2,FALSE)*$C$33*(1-IF(ROUNDDOWN((O$44-$B60)/$D$33,0)&lt;1,0,IF(ROUNDDOWN((O$44-$B60)/$D$33,0)&lt;2,0.5,IF(ROUNDDOWN((O$44-$B60)/$D$33,0)&lt;3,0.75,IF(ROUNDDOWN((O$44-$B60)/$D$33,0)&lt;4,0.875,0.9375)))))+HLOOKUP($B60,$C$44:$Q$45,2,FALSE)*$C$34*(1-IF(ROUNDDOWN((O$44-$B60)/$D$34,0)&lt;1,0,IF(ROUNDDOWN((O$44-$B60)/$D$34,0)&lt;2,0.5,IF(ROUNDDOWN((O$44-$B60)/$D$34,0)&lt;3,0.75,IF(ROUNDDOWN((O$44-$B60)/$D$34,0)&lt;4,0.875,0.9375)))))+HLOOKUP($B60,$C$44:$Q$45,2,FALSE)*$C$35*(1-IF(ROUNDDOWN((O$44-$B60)/$D$35,0)&lt;1,0,IF(ROUNDDOWN((O$44-$B60)/$D$35,0)&lt;2,0.5,IF(ROUNDDOWN((O$44-$B60)/$D$35,0)&lt;3,0.75,IF(ROUNDDOWN((O$44-$B60)/$D$35,0)&lt;4,0.875,0.9375)))))+HLOOKUP($B60,$C$44:$Q$45,2,FALSE)*$C$36*(1-IF(ROUNDDOWN((O$44-$B60)/$D$36,0)&lt;1,0,IF(ROUNDDOWN((O$44-$B60)/$D$36,0)&lt;2,0.5,IF(ROUNDDOWN((O$44-$B60)/$D$36,0)&lt;3,0.75,IF(ROUNDDOWN((O$44-$B60)/$D$36,0)&lt;4,0.875,0.9375)))))+HLOOKUP($B60,$C$44:$Q$45,2,FALSE)*$C$37*(1-IF(ROUNDDOWN((O$44-$B60)/$D$37,0)&lt;1,0,IF(ROUNDDOWN((O$44-$B60)/$D$37,0)&lt;2,0.5,IF(ROUNDDOWN((O$44-$B60)/$D$37,0)&lt;3,0.75,IF(ROUNDDOWN((O$44-$B60)/$D$37,0)&lt;4,0.875,0.9375)))))</f>
        <v>3.1085640000000003</v>
      </c>
      <c r="P60" s="293">
        <f>HLOOKUP($B60,$C$44:$Q$45,2,FALSE)*$C$32*(1-IF(ROUNDDOWN((P$44-$B60)/$D$32,0)&lt;1,0,IF(ROUNDDOWN((P$44-$B60)/$D$32,0)&lt;2,0.5,IF(ROUNDDOWN((P$44-$B60)/$D$32,0)&lt;3,0.75,IF(ROUNDDOWN((P$44-$B60)/$D$32,0)&lt;4,0.875,0.9375)))))+HLOOKUP($B60,$C$44:$Q$45,2,FALSE)*$C$33*(1-IF(ROUNDDOWN((P$44-$B60)/$D$33,0)&lt;1,0,IF(ROUNDDOWN((P$44-$B60)/$D$33,0)&lt;2,0.5,IF(ROUNDDOWN((P$44-$B60)/$D$33,0)&lt;3,0.75,IF(ROUNDDOWN((P$44-$B60)/$D$33,0)&lt;4,0.875,0.9375)))))+HLOOKUP($B60,$C$44:$Q$45,2,FALSE)*$C$34*(1-IF(ROUNDDOWN((P$44-$B60)/$D$34,0)&lt;1,0,IF(ROUNDDOWN((P$44-$B60)/$D$34,0)&lt;2,0.5,IF(ROUNDDOWN((P$44-$B60)/$D$34,0)&lt;3,0.75,IF(ROUNDDOWN((P$44-$B60)/$D$34,0)&lt;4,0.875,0.9375)))))+HLOOKUP($B60,$C$44:$Q$45,2,FALSE)*$C$35*(1-IF(ROUNDDOWN((P$44-$B60)/$D$35,0)&lt;1,0,IF(ROUNDDOWN((P$44-$B60)/$D$35,0)&lt;2,0.5,IF(ROUNDDOWN((P$44-$B60)/$D$35,0)&lt;3,0.75,IF(ROUNDDOWN((P$44-$B60)/$D$35,0)&lt;4,0.875,0.9375)))))+HLOOKUP($B60,$C$44:$Q$45,2,FALSE)*$C$36*(1-IF(ROUNDDOWN((P$44-$B60)/$D$36,0)&lt;1,0,IF(ROUNDDOWN((P$44-$B60)/$D$36,0)&lt;2,0.5,IF(ROUNDDOWN((P$44-$B60)/$D$36,0)&lt;3,0.75,IF(ROUNDDOWN((P$44-$B60)/$D$36,0)&lt;4,0.875,0.9375)))))+HLOOKUP($B60,$C$44:$Q$45,2,FALSE)*$C$37*(1-IF(ROUNDDOWN((P$44-$B60)/$D$37,0)&lt;1,0,IF(ROUNDDOWN((P$44-$B60)/$D$37,0)&lt;2,0.5,IF(ROUNDDOWN((P$44-$B60)/$D$37,0)&lt;3,0.75,IF(ROUNDDOWN((P$44-$B60)/$D$37,0)&lt;4,0.875,0.9375)))))</f>
        <v>3.1085640000000003</v>
      </c>
      <c r="Q60" s="293">
        <f>HLOOKUP($B60,$C$44:$Q$45,2,FALSE)*$C$32*(1-IF(ROUNDDOWN((Q$44-$B60)/$D$32,0)&lt;1,0,IF(ROUNDDOWN((Q$44-$B60)/$D$32,0)&lt;2,0.5,IF(ROUNDDOWN((Q$44-$B60)/$D$32,0)&lt;3,0.75,IF(ROUNDDOWN((Q$44-$B60)/$D$32,0)&lt;4,0.875,0.9375)))))+HLOOKUP($B60,$C$44:$Q$45,2,FALSE)*$C$33*(1-IF(ROUNDDOWN((Q$44-$B60)/$D$33,0)&lt;1,0,IF(ROUNDDOWN((Q$44-$B60)/$D$33,0)&lt;2,0.5,IF(ROUNDDOWN((Q$44-$B60)/$D$33,0)&lt;3,0.75,IF(ROUNDDOWN((Q$44-$B60)/$D$33,0)&lt;4,0.875,0.9375)))))+HLOOKUP($B60,$C$44:$Q$45,2,FALSE)*$C$34*(1-IF(ROUNDDOWN((Q$44-$B60)/$D$34,0)&lt;1,0,IF(ROUNDDOWN((Q$44-$B60)/$D$34,0)&lt;2,0.5,IF(ROUNDDOWN((Q$44-$B60)/$D$34,0)&lt;3,0.75,IF(ROUNDDOWN((Q$44-$B60)/$D$34,0)&lt;4,0.875,0.9375)))))+HLOOKUP($B60,$C$44:$Q$45,2,FALSE)*$C$35*(1-IF(ROUNDDOWN((Q$44-$B60)/$D$35,0)&lt;1,0,IF(ROUNDDOWN((Q$44-$B60)/$D$35,0)&lt;2,0.5,IF(ROUNDDOWN((Q$44-$B60)/$D$35,0)&lt;3,0.75,IF(ROUNDDOWN((Q$44-$B60)/$D$35,0)&lt;4,0.875,0.9375)))))+HLOOKUP($B60,$C$44:$Q$45,2,FALSE)*$C$36*(1-IF(ROUNDDOWN((Q$44-$B60)/$D$36,0)&lt;1,0,IF(ROUNDDOWN((Q$44-$B60)/$D$36,0)&lt;2,0.5,IF(ROUNDDOWN((Q$44-$B60)/$D$36,0)&lt;3,0.75,IF(ROUNDDOWN((Q$44-$B60)/$D$36,0)&lt;4,0.875,0.9375)))))+HLOOKUP($B60,$C$44:$Q$45,2,FALSE)*$C$37*(1-IF(ROUNDDOWN((Q$44-$B60)/$D$37,0)&lt;1,0,IF(ROUNDDOWN((Q$44-$B60)/$D$37,0)&lt;2,0.5,IF(ROUNDDOWN((Q$44-$B60)/$D$37,0)&lt;3,0.75,IF(ROUNDDOWN((Q$44-$B60)/$D$37,0)&lt;4,0.875,0.9375)))))</f>
        <v>2.9748957480000002</v>
      </c>
      <c r="R60" s="186"/>
    </row>
    <row r="61" spans="2:18" x14ac:dyDescent="0.25">
      <c r="B61" s="352">
        <f t="shared" si="7"/>
        <v>2027</v>
      </c>
      <c r="C61" s="293"/>
      <c r="D61" s="293"/>
      <c r="E61" s="293"/>
      <c r="F61" s="293"/>
      <c r="G61" s="293"/>
      <c r="H61" s="293"/>
      <c r="I61" s="293"/>
      <c r="J61" s="293"/>
      <c r="K61" s="293"/>
      <c r="L61" s="293"/>
      <c r="M61" s="293"/>
      <c r="N61" s="293"/>
      <c r="O61" s="293">
        <f>HLOOKUP($B61,$C$44:$Q$45,2,FALSE)*$C$32*(1-IF(ROUNDDOWN((O$44-$B61)/$D$32,0)&lt;1,0,IF(ROUNDDOWN((O$44-$B61)/$D$32,0)&lt;2,0.5,IF(ROUNDDOWN((O$44-$B61)/$D$32,0)&lt;3,0.75,IF(ROUNDDOWN((O$44-$B61)/$D$32,0)&lt;4,0.875,0.9375)))))+HLOOKUP($B61,$C$44:$Q$45,2,FALSE)*$C$33*(1-IF(ROUNDDOWN((O$44-$B61)/$D$33,0)&lt;1,0,IF(ROUNDDOWN((O$44-$B61)/$D$33,0)&lt;2,0.5,IF(ROUNDDOWN((O$44-$B61)/$D$33,0)&lt;3,0.75,IF(ROUNDDOWN((O$44-$B61)/$D$33,0)&lt;4,0.875,0.9375)))))+HLOOKUP($B61,$C$44:$Q$45,2,FALSE)*$C$34*(1-IF(ROUNDDOWN((O$44-$B61)/$D$34,0)&lt;1,0,IF(ROUNDDOWN((O$44-$B61)/$D$34,0)&lt;2,0.5,IF(ROUNDDOWN((O$44-$B61)/$D$34,0)&lt;3,0.75,IF(ROUNDDOWN((O$44-$B61)/$D$34,0)&lt;4,0.875,0.9375)))))+HLOOKUP($B61,$C$44:$Q$45,2,FALSE)*$C$35*(1-IF(ROUNDDOWN((O$44-$B61)/$D$35,0)&lt;1,0,IF(ROUNDDOWN((O$44-$B61)/$D$35,0)&lt;2,0.5,IF(ROUNDDOWN((O$44-$B61)/$D$35,0)&lt;3,0.75,IF(ROUNDDOWN((O$44-$B61)/$D$35,0)&lt;4,0.875,0.9375)))))+HLOOKUP($B61,$C$44:$Q$45,2,FALSE)*$C$36*(1-IF(ROUNDDOWN((O$44-$B61)/$D$36,0)&lt;1,0,IF(ROUNDDOWN((O$44-$B61)/$D$36,0)&lt;2,0.5,IF(ROUNDDOWN((O$44-$B61)/$D$36,0)&lt;3,0.75,IF(ROUNDDOWN((O$44-$B61)/$D$36,0)&lt;4,0.875,0.9375)))))+HLOOKUP($B61,$C$44:$Q$45,2,FALSE)*$C$37*(1-IF(ROUNDDOWN((O$44-$B61)/$D$37,0)&lt;1,0,IF(ROUNDDOWN((O$44-$B61)/$D$37,0)&lt;2,0.5,IF(ROUNDDOWN((O$44-$B61)/$D$37,0)&lt;3,0.75,IF(ROUNDDOWN((O$44-$B61)/$D$37,0)&lt;4,0.875,0.9375)))))</f>
        <v>3.1085640000000003</v>
      </c>
      <c r="P61" s="293">
        <f>HLOOKUP($B61,$C$44:$Q$45,2,FALSE)*$C$32*(1-IF(ROUNDDOWN((P$44-$B61)/$D$32,0)&lt;1,0,IF(ROUNDDOWN((P$44-$B61)/$D$32,0)&lt;2,0.5,IF(ROUNDDOWN((P$44-$B61)/$D$32,0)&lt;3,0.75,IF(ROUNDDOWN((P$44-$B61)/$D$32,0)&lt;4,0.875,0.9375)))))+HLOOKUP($B61,$C$44:$Q$45,2,FALSE)*$C$33*(1-IF(ROUNDDOWN((P$44-$B61)/$D$33,0)&lt;1,0,IF(ROUNDDOWN((P$44-$B61)/$D$33,0)&lt;2,0.5,IF(ROUNDDOWN((P$44-$B61)/$D$33,0)&lt;3,0.75,IF(ROUNDDOWN((P$44-$B61)/$D$33,0)&lt;4,0.875,0.9375)))))+HLOOKUP($B61,$C$44:$Q$45,2,FALSE)*$C$34*(1-IF(ROUNDDOWN((P$44-$B61)/$D$34,0)&lt;1,0,IF(ROUNDDOWN((P$44-$B61)/$D$34,0)&lt;2,0.5,IF(ROUNDDOWN((P$44-$B61)/$D$34,0)&lt;3,0.75,IF(ROUNDDOWN((P$44-$B61)/$D$34,0)&lt;4,0.875,0.9375)))))+HLOOKUP($B61,$C$44:$Q$45,2,FALSE)*$C$35*(1-IF(ROUNDDOWN((P$44-$B61)/$D$35,0)&lt;1,0,IF(ROUNDDOWN((P$44-$B61)/$D$35,0)&lt;2,0.5,IF(ROUNDDOWN((P$44-$B61)/$D$35,0)&lt;3,0.75,IF(ROUNDDOWN((P$44-$B61)/$D$35,0)&lt;4,0.875,0.9375)))))+HLOOKUP($B61,$C$44:$Q$45,2,FALSE)*$C$36*(1-IF(ROUNDDOWN((P$44-$B61)/$D$36,0)&lt;1,0,IF(ROUNDDOWN((P$44-$B61)/$D$36,0)&lt;2,0.5,IF(ROUNDDOWN((P$44-$B61)/$D$36,0)&lt;3,0.75,IF(ROUNDDOWN((P$44-$B61)/$D$36,0)&lt;4,0.875,0.9375)))))+HLOOKUP($B61,$C$44:$Q$45,2,FALSE)*$C$37*(1-IF(ROUNDDOWN((P$44-$B61)/$D$37,0)&lt;1,0,IF(ROUNDDOWN((P$44-$B61)/$D$37,0)&lt;2,0.5,IF(ROUNDDOWN((P$44-$B61)/$D$37,0)&lt;3,0.75,IF(ROUNDDOWN((P$44-$B61)/$D$37,0)&lt;4,0.875,0.9375)))))</f>
        <v>3.1085640000000003</v>
      </c>
      <c r="Q61" s="293">
        <f>HLOOKUP($B61,$C$44:$Q$45,2,FALSE)*$C$32*(1-IF(ROUNDDOWN((Q$44-$B61)/$D$32,0)&lt;1,0,IF(ROUNDDOWN((Q$44-$B61)/$D$32,0)&lt;2,0.5,IF(ROUNDDOWN((Q$44-$B61)/$D$32,0)&lt;3,0.75,IF(ROUNDDOWN((Q$44-$B61)/$D$32,0)&lt;4,0.875,0.9375)))))+HLOOKUP($B61,$C$44:$Q$45,2,FALSE)*$C$33*(1-IF(ROUNDDOWN((Q$44-$B61)/$D$33,0)&lt;1,0,IF(ROUNDDOWN((Q$44-$B61)/$D$33,0)&lt;2,0.5,IF(ROUNDDOWN((Q$44-$B61)/$D$33,0)&lt;3,0.75,IF(ROUNDDOWN((Q$44-$B61)/$D$33,0)&lt;4,0.875,0.9375)))))+HLOOKUP($B61,$C$44:$Q$45,2,FALSE)*$C$34*(1-IF(ROUNDDOWN((Q$44-$B61)/$D$34,0)&lt;1,0,IF(ROUNDDOWN((Q$44-$B61)/$D$34,0)&lt;2,0.5,IF(ROUNDDOWN((Q$44-$B61)/$D$34,0)&lt;3,0.75,IF(ROUNDDOWN((Q$44-$B61)/$D$34,0)&lt;4,0.875,0.9375)))))+HLOOKUP($B61,$C$44:$Q$45,2,FALSE)*$C$35*(1-IF(ROUNDDOWN((Q$44-$B61)/$D$35,0)&lt;1,0,IF(ROUNDDOWN((Q$44-$B61)/$D$35,0)&lt;2,0.5,IF(ROUNDDOWN((Q$44-$B61)/$D$35,0)&lt;3,0.75,IF(ROUNDDOWN((Q$44-$B61)/$D$35,0)&lt;4,0.875,0.9375)))))+HLOOKUP($B61,$C$44:$Q$45,2,FALSE)*$C$36*(1-IF(ROUNDDOWN((Q$44-$B61)/$D$36,0)&lt;1,0,IF(ROUNDDOWN((Q$44-$B61)/$D$36,0)&lt;2,0.5,IF(ROUNDDOWN((Q$44-$B61)/$D$36,0)&lt;3,0.75,IF(ROUNDDOWN((Q$44-$B61)/$D$36,0)&lt;4,0.875,0.9375)))))+HLOOKUP($B61,$C$44:$Q$45,2,FALSE)*$C$37*(1-IF(ROUNDDOWN((Q$44-$B61)/$D$37,0)&lt;1,0,IF(ROUNDDOWN((Q$44-$B61)/$D$37,0)&lt;2,0.5,IF(ROUNDDOWN((Q$44-$B61)/$D$37,0)&lt;3,0.75,IF(ROUNDDOWN((Q$44-$B61)/$D$37,0)&lt;4,0.875,0.9375)))))</f>
        <v>3.1085640000000003</v>
      </c>
      <c r="R61" s="186"/>
    </row>
    <row r="62" spans="2:18" x14ac:dyDescent="0.25">
      <c r="B62" s="352">
        <f t="shared" si="7"/>
        <v>2028</v>
      </c>
      <c r="C62" s="293"/>
      <c r="D62" s="293"/>
      <c r="E62" s="293"/>
      <c r="F62" s="293"/>
      <c r="G62" s="293"/>
      <c r="H62" s="293"/>
      <c r="I62" s="293"/>
      <c r="J62" s="293"/>
      <c r="K62" s="293"/>
      <c r="L62" s="293"/>
      <c r="M62" s="293"/>
      <c r="N62" s="293"/>
      <c r="O62" s="293"/>
      <c r="P62" s="293">
        <f>HLOOKUP($B62,$C$44:$Q$45,2,FALSE)*$C$32*(1-IF(ROUNDDOWN((P$44-$B62)/$D$32,0)&lt;1,0,IF(ROUNDDOWN((P$44-$B62)/$D$32,0)&lt;2,0.5,IF(ROUNDDOWN((P$44-$B62)/$D$32,0)&lt;3,0.75,IF(ROUNDDOWN((P$44-$B62)/$D$32,0)&lt;4,0.875,0.9375)))))+HLOOKUP($B62,$C$44:$Q$45,2,FALSE)*$C$33*(1-IF(ROUNDDOWN((P$44-$B62)/$D$33,0)&lt;1,0,IF(ROUNDDOWN((P$44-$B62)/$D$33,0)&lt;2,0.5,IF(ROUNDDOWN((P$44-$B62)/$D$33,0)&lt;3,0.75,IF(ROUNDDOWN((P$44-$B62)/$D$33,0)&lt;4,0.875,0.9375)))))+HLOOKUP($B62,$C$44:$Q$45,2,FALSE)*$C$34*(1-IF(ROUNDDOWN((P$44-$B62)/$D$34,0)&lt;1,0,IF(ROUNDDOWN((P$44-$B62)/$D$34,0)&lt;2,0.5,IF(ROUNDDOWN((P$44-$B62)/$D$34,0)&lt;3,0.75,IF(ROUNDDOWN((P$44-$B62)/$D$34,0)&lt;4,0.875,0.9375)))))+HLOOKUP($B62,$C$44:$Q$45,2,FALSE)*$C$35*(1-IF(ROUNDDOWN((P$44-$B62)/$D$35,0)&lt;1,0,IF(ROUNDDOWN((P$44-$B62)/$D$35,0)&lt;2,0.5,IF(ROUNDDOWN((P$44-$B62)/$D$35,0)&lt;3,0.75,IF(ROUNDDOWN((P$44-$B62)/$D$35,0)&lt;4,0.875,0.9375)))))+HLOOKUP($B62,$C$44:$Q$45,2,FALSE)*$C$36*(1-IF(ROUNDDOWN((P$44-$B62)/$D$36,0)&lt;1,0,IF(ROUNDDOWN((P$44-$B62)/$D$36,0)&lt;2,0.5,IF(ROUNDDOWN((P$44-$B62)/$D$36,0)&lt;3,0.75,IF(ROUNDDOWN((P$44-$B62)/$D$36,0)&lt;4,0.875,0.9375)))))+HLOOKUP($B62,$C$44:$Q$45,2,FALSE)*$C$37*(1-IF(ROUNDDOWN((P$44-$B62)/$D$37,0)&lt;1,0,IF(ROUNDDOWN((P$44-$B62)/$D$37,0)&lt;2,0.5,IF(ROUNDDOWN((P$44-$B62)/$D$37,0)&lt;3,0.75,IF(ROUNDDOWN((P$44-$B62)/$D$37,0)&lt;4,0.875,0.9375)))))</f>
        <v>3.1085640000000003</v>
      </c>
      <c r="Q62" s="293">
        <f>HLOOKUP($B62,$C$44:$Q$45,2,FALSE)*$C$32*(1-IF(ROUNDDOWN((Q$44-$B62)/$D$32,0)&lt;1,0,IF(ROUNDDOWN((Q$44-$B62)/$D$32,0)&lt;2,0.5,IF(ROUNDDOWN((Q$44-$B62)/$D$32,0)&lt;3,0.75,IF(ROUNDDOWN((Q$44-$B62)/$D$32,0)&lt;4,0.875,0.9375)))))+HLOOKUP($B62,$C$44:$Q$45,2,FALSE)*$C$33*(1-IF(ROUNDDOWN((Q$44-$B62)/$D$33,0)&lt;1,0,IF(ROUNDDOWN((Q$44-$B62)/$D$33,0)&lt;2,0.5,IF(ROUNDDOWN((Q$44-$B62)/$D$33,0)&lt;3,0.75,IF(ROUNDDOWN((Q$44-$B62)/$D$33,0)&lt;4,0.875,0.9375)))))+HLOOKUP($B62,$C$44:$Q$45,2,FALSE)*$C$34*(1-IF(ROUNDDOWN((Q$44-$B62)/$D$34,0)&lt;1,0,IF(ROUNDDOWN((Q$44-$B62)/$D$34,0)&lt;2,0.5,IF(ROUNDDOWN((Q$44-$B62)/$D$34,0)&lt;3,0.75,IF(ROUNDDOWN((Q$44-$B62)/$D$34,0)&lt;4,0.875,0.9375)))))+HLOOKUP($B62,$C$44:$Q$45,2,FALSE)*$C$35*(1-IF(ROUNDDOWN((Q$44-$B62)/$D$35,0)&lt;1,0,IF(ROUNDDOWN((Q$44-$B62)/$D$35,0)&lt;2,0.5,IF(ROUNDDOWN((Q$44-$B62)/$D$35,0)&lt;3,0.75,IF(ROUNDDOWN((Q$44-$B62)/$D$35,0)&lt;4,0.875,0.9375)))))+HLOOKUP($B62,$C$44:$Q$45,2,FALSE)*$C$36*(1-IF(ROUNDDOWN((Q$44-$B62)/$D$36,0)&lt;1,0,IF(ROUNDDOWN((Q$44-$B62)/$D$36,0)&lt;2,0.5,IF(ROUNDDOWN((Q$44-$B62)/$D$36,0)&lt;3,0.75,IF(ROUNDDOWN((Q$44-$B62)/$D$36,0)&lt;4,0.875,0.9375)))))+HLOOKUP($B62,$C$44:$Q$45,2,FALSE)*$C$37*(1-IF(ROUNDDOWN((Q$44-$B62)/$D$37,0)&lt;1,0,IF(ROUNDDOWN((Q$44-$B62)/$D$37,0)&lt;2,0.5,IF(ROUNDDOWN((Q$44-$B62)/$D$37,0)&lt;3,0.75,IF(ROUNDDOWN((Q$44-$B62)/$D$37,0)&lt;4,0.875,0.9375)))))</f>
        <v>3.1085640000000003</v>
      </c>
      <c r="R62" s="186"/>
    </row>
    <row r="63" spans="2:18" x14ac:dyDescent="0.25">
      <c r="B63" s="352">
        <f t="shared" si="7"/>
        <v>2029</v>
      </c>
      <c r="C63" s="293"/>
      <c r="D63" s="293"/>
      <c r="E63" s="293"/>
      <c r="F63" s="293"/>
      <c r="G63" s="293"/>
      <c r="H63" s="293"/>
      <c r="I63" s="293"/>
      <c r="J63" s="293"/>
      <c r="K63" s="293"/>
      <c r="L63" s="293"/>
      <c r="M63" s="293"/>
      <c r="N63" s="293"/>
      <c r="O63" s="293"/>
      <c r="P63" s="293"/>
      <c r="Q63" s="293">
        <f>HLOOKUP($B63,$C$44:$Q$45,2,FALSE)*$C$32*(1-IF(ROUNDDOWN((Q$44-$B63)/$D$32,0)&lt;1,0,IF(ROUNDDOWN((Q$44-$B63)/$D$32,0)&lt;2,0.5,IF(ROUNDDOWN((Q$44-$B63)/$D$32,0)&lt;3,0.75,IF(ROUNDDOWN((Q$44-$B63)/$D$32,0)&lt;4,0.875,0.9375)))))+HLOOKUP($B63,$C$44:$Q$45,2,FALSE)*$C$33*(1-IF(ROUNDDOWN((Q$44-$B63)/$D$33,0)&lt;1,0,IF(ROUNDDOWN((Q$44-$B63)/$D$33,0)&lt;2,0.5,IF(ROUNDDOWN((Q$44-$B63)/$D$33,0)&lt;3,0.75,IF(ROUNDDOWN((Q$44-$B63)/$D$33,0)&lt;4,0.875,0.9375)))))+HLOOKUP($B63,$C$44:$Q$45,2,FALSE)*$C$34*(1-IF(ROUNDDOWN((Q$44-$B63)/$D$34,0)&lt;1,0,IF(ROUNDDOWN((Q$44-$B63)/$D$34,0)&lt;2,0.5,IF(ROUNDDOWN((Q$44-$B63)/$D$34,0)&lt;3,0.75,IF(ROUNDDOWN((Q$44-$B63)/$D$34,0)&lt;4,0.875,0.9375)))))+HLOOKUP($B63,$C$44:$Q$45,2,FALSE)*$C$35*(1-IF(ROUNDDOWN((Q$44-$B63)/$D$35,0)&lt;1,0,IF(ROUNDDOWN((Q$44-$B63)/$D$35,0)&lt;2,0.5,IF(ROUNDDOWN((Q$44-$B63)/$D$35,0)&lt;3,0.75,IF(ROUNDDOWN((Q$44-$B63)/$D$35,0)&lt;4,0.875,0.9375)))))+HLOOKUP($B63,$C$44:$Q$45,2,FALSE)*$C$36*(1-IF(ROUNDDOWN((Q$44-$B63)/$D$36,0)&lt;1,0,IF(ROUNDDOWN((Q$44-$B63)/$D$36,0)&lt;2,0.5,IF(ROUNDDOWN((Q$44-$B63)/$D$36,0)&lt;3,0.75,IF(ROUNDDOWN((Q$44-$B63)/$D$36,0)&lt;4,0.875,0.9375)))))+HLOOKUP($B63,$C$44:$Q$45,2,FALSE)*$C$37*(1-IF(ROUNDDOWN((Q$44-$B63)/$D$37,0)&lt;1,0,IF(ROUNDDOWN((Q$44-$B63)/$D$37,0)&lt;2,0.5,IF(ROUNDDOWN((Q$44-$B63)/$D$37,0)&lt;3,0.75,IF(ROUNDDOWN((Q$44-$B63)/$D$37,0)&lt;4,0.875,0.9375)))))</f>
        <v>3.1085640000000003</v>
      </c>
      <c r="R63" s="186"/>
    </row>
    <row r="64" spans="2:18" x14ac:dyDescent="0.25">
      <c r="B64" s="352">
        <f t="shared" si="7"/>
        <v>2030</v>
      </c>
      <c r="C64" s="293"/>
      <c r="D64" s="293"/>
      <c r="E64" s="293"/>
      <c r="F64" s="293"/>
      <c r="G64" s="293"/>
      <c r="H64" s="293"/>
      <c r="I64" s="293"/>
      <c r="J64" s="293"/>
      <c r="K64" s="293"/>
      <c r="L64" s="293"/>
      <c r="M64" s="293"/>
      <c r="N64" s="293"/>
      <c r="O64" s="293"/>
      <c r="P64" s="293"/>
      <c r="Q64" s="293"/>
      <c r="R64" s="186"/>
    </row>
    <row r="65" spans="2:18" x14ac:dyDescent="0.25">
      <c r="B65" s="187"/>
      <c r="C65" s="354"/>
      <c r="D65" s="354"/>
      <c r="E65" s="354"/>
      <c r="F65" s="354"/>
      <c r="G65" s="354"/>
      <c r="H65" s="354"/>
      <c r="I65" s="354"/>
      <c r="J65" s="354"/>
      <c r="K65" s="354"/>
      <c r="L65" s="354"/>
      <c r="M65" s="354"/>
      <c r="N65" s="354"/>
      <c r="O65" s="354"/>
      <c r="P65" s="354"/>
      <c r="Q65" s="354"/>
      <c r="R65" s="186"/>
    </row>
    <row r="66" spans="2:18" x14ac:dyDescent="0.25">
      <c r="B66" s="355" t="s">
        <v>1652</v>
      </c>
      <c r="C66" s="356">
        <f t="shared" ref="C66:Q66" si="9">SUM(C49:C64)</f>
        <v>0</v>
      </c>
      <c r="D66" s="356">
        <f t="shared" si="9"/>
        <v>0</v>
      </c>
      <c r="E66" s="356">
        <f t="shared" si="9"/>
        <v>0</v>
      </c>
      <c r="F66" s="356">
        <f t="shared" si="9"/>
        <v>0</v>
      </c>
      <c r="G66" s="356">
        <f>SUM(G49:G64)</f>
        <v>3.1085640000000003</v>
      </c>
      <c r="H66" s="356">
        <f t="shared" si="9"/>
        <v>6.2171280000000007</v>
      </c>
      <c r="I66" s="356">
        <f t="shared" si="9"/>
        <v>9.3256920000000001</v>
      </c>
      <c r="J66" s="356">
        <f t="shared" si="9"/>
        <v>12.300587748000002</v>
      </c>
      <c r="K66" s="356">
        <f t="shared" si="9"/>
        <v>15.275483496000003</v>
      </c>
      <c r="L66" s="356">
        <f t="shared" si="9"/>
        <v>18.250379244000005</v>
      </c>
      <c r="M66" s="356">
        <f t="shared" si="9"/>
        <v>21.158440866000003</v>
      </c>
      <c r="N66" s="356">
        <f t="shared" si="9"/>
        <v>24.066502488000001</v>
      </c>
      <c r="O66" s="356">
        <f t="shared" si="9"/>
        <v>26.850221550000004</v>
      </c>
      <c r="P66" s="356">
        <f t="shared" si="9"/>
        <v>29.600523549000005</v>
      </c>
      <c r="Q66" s="356">
        <f t="shared" si="9"/>
        <v>32.226482988000008</v>
      </c>
      <c r="R66" s="186"/>
    </row>
    <row r="67" spans="2:18" x14ac:dyDescent="0.25">
      <c r="B67" s="187"/>
      <c r="C67" s="3"/>
      <c r="D67" s="3"/>
      <c r="E67" s="3"/>
      <c r="F67" s="3"/>
      <c r="G67" s="3"/>
      <c r="H67" s="3"/>
      <c r="I67" s="3"/>
      <c r="J67" s="3"/>
      <c r="K67" s="3"/>
      <c r="L67" s="3"/>
      <c r="M67" s="3"/>
      <c r="N67" s="3"/>
      <c r="O67" s="3"/>
      <c r="P67" s="3"/>
      <c r="Q67" s="3"/>
      <c r="R67" s="186"/>
    </row>
    <row r="68" spans="2:18" x14ac:dyDescent="0.25">
      <c r="B68" s="187"/>
      <c r="C68" s="3"/>
      <c r="D68" s="3"/>
      <c r="E68" s="3"/>
      <c r="F68" s="3"/>
      <c r="G68" s="3"/>
      <c r="H68" s="3"/>
      <c r="I68" s="3"/>
      <c r="J68" s="3"/>
      <c r="K68" s="3"/>
      <c r="L68" s="3"/>
      <c r="M68" s="3"/>
      <c r="N68" s="3"/>
      <c r="O68" s="3"/>
      <c r="P68" s="3"/>
      <c r="Q68" s="3"/>
      <c r="R68" s="186"/>
    </row>
    <row r="69" spans="2:18" x14ac:dyDescent="0.25">
      <c r="B69" s="187" t="s">
        <v>1647</v>
      </c>
      <c r="C69" s="3" t="s">
        <v>1653</v>
      </c>
      <c r="D69" s="3"/>
      <c r="E69" s="3"/>
      <c r="F69" s="3"/>
      <c r="G69" s="3"/>
      <c r="H69" s="3"/>
      <c r="I69" s="3"/>
      <c r="J69" s="3"/>
      <c r="K69" s="3"/>
      <c r="L69" s="3"/>
      <c r="M69" s="3"/>
      <c r="N69" s="3"/>
      <c r="O69" s="3"/>
      <c r="P69" s="3"/>
      <c r="Q69" s="3"/>
      <c r="R69" s="186"/>
    </row>
    <row r="70" spans="2:18" x14ac:dyDescent="0.25">
      <c r="B70" s="187"/>
      <c r="C70" s="287">
        <f t="shared" ref="C70:Q70" si="10">C73</f>
        <v>2015</v>
      </c>
      <c r="D70" s="287">
        <f t="shared" si="10"/>
        <v>2016</v>
      </c>
      <c r="E70" s="287">
        <f t="shared" si="10"/>
        <v>2017</v>
      </c>
      <c r="F70" s="287">
        <f t="shared" si="10"/>
        <v>2018</v>
      </c>
      <c r="G70" s="287">
        <f t="shared" si="10"/>
        <v>2019</v>
      </c>
      <c r="H70" s="287">
        <f t="shared" si="10"/>
        <v>2020</v>
      </c>
      <c r="I70" s="287">
        <f t="shared" si="10"/>
        <v>2021</v>
      </c>
      <c r="J70" s="287">
        <f t="shared" si="10"/>
        <v>2022</v>
      </c>
      <c r="K70" s="287">
        <f t="shared" si="10"/>
        <v>2023</v>
      </c>
      <c r="L70" s="287">
        <f t="shared" si="10"/>
        <v>2024</v>
      </c>
      <c r="M70" s="287">
        <f t="shared" si="10"/>
        <v>2025</v>
      </c>
      <c r="N70" s="287">
        <f t="shared" si="10"/>
        <v>2026</v>
      </c>
      <c r="O70" s="287">
        <f t="shared" si="10"/>
        <v>2027</v>
      </c>
      <c r="P70" s="287">
        <f t="shared" si="10"/>
        <v>2028</v>
      </c>
      <c r="Q70" s="287">
        <f t="shared" si="10"/>
        <v>2029</v>
      </c>
      <c r="R70" s="186"/>
    </row>
    <row r="71" spans="2:18" x14ac:dyDescent="0.25">
      <c r="B71" s="187"/>
      <c r="C71" s="291">
        <f>C26</f>
        <v>0</v>
      </c>
      <c r="D71" s="291">
        <f t="shared" ref="D71:Q71" si="11">D26</f>
        <v>0</v>
      </c>
      <c r="E71" s="291">
        <f t="shared" si="11"/>
        <v>0</v>
      </c>
      <c r="F71" s="291">
        <f t="shared" si="11"/>
        <v>0</v>
      </c>
      <c r="G71" s="291">
        <f t="shared" si="11"/>
        <v>1.7319650400000001E-2</v>
      </c>
      <c r="H71" s="291">
        <f t="shared" si="11"/>
        <v>1.7319650400000001E-2</v>
      </c>
      <c r="I71" s="291">
        <f t="shared" si="11"/>
        <v>1.7319650400000001E-2</v>
      </c>
      <c r="J71" s="291">
        <f t="shared" si="11"/>
        <v>1.7319650400000001E-2</v>
      </c>
      <c r="K71" s="291">
        <f t="shared" si="11"/>
        <v>1.7319650400000001E-2</v>
      </c>
      <c r="L71" s="291">
        <f t="shared" si="11"/>
        <v>1.7319650400000001E-2</v>
      </c>
      <c r="M71" s="291">
        <f t="shared" si="11"/>
        <v>1.7319650400000001E-2</v>
      </c>
      <c r="N71" s="291">
        <f t="shared" si="11"/>
        <v>1.7319650400000001E-2</v>
      </c>
      <c r="O71" s="291">
        <f t="shared" si="11"/>
        <v>1.7319650400000001E-2</v>
      </c>
      <c r="P71" s="291">
        <f t="shared" si="11"/>
        <v>1.7319650400000001E-2</v>
      </c>
      <c r="Q71" s="291">
        <f t="shared" si="11"/>
        <v>1.7319650400000001E-2</v>
      </c>
      <c r="R71" s="186"/>
    </row>
    <row r="72" spans="2:18" x14ac:dyDescent="0.25">
      <c r="B72" s="187"/>
      <c r="C72" s="3"/>
      <c r="D72" s="3"/>
      <c r="E72" s="3"/>
      <c r="F72" s="3"/>
      <c r="G72" s="3"/>
      <c r="H72" s="3"/>
      <c r="I72" s="3"/>
      <c r="J72" s="3"/>
      <c r="K72" s="3"/>
      <c r="L72" s="3"/>
      <c r="M72" s="3"/>
      <c r="N72" s="3"/>
      <c r="O72" s="3"/>
      <c r="P72" s="3"/>
      <c r="Q72" s="3"/>
      <c r="R72" s="186"/>
    </row>
    <row r="73" spans="2:18" x14ac:dyDescent="0.25">
      <c r="B73" s="352" t="s">
        <v>9</v>
      </c>
      <c r="C73" s="287">
        <v>2015</v>
      </c>
      <c r="D73" s="287">
        <f t="shared" ref="D73:Q73" si="12">C73+1</f>
        <v>2016</v>
      </c>
      <c r="E73" s="287">
        <f t="shared" si="12"/>
        <v>2017</v>
      </c>
      <c r="F73" s="287">
        <f t="shared" si="12"/>
        <v>2018</v>
      </c>
      <c r="G73" s="287">
        <f t="shared" si="12"/>
        <v>2019</v>
      </c>
      <c r="H73" s="287">
        <f t="shared" si="12"/>
        <v>2020</v>
      </c>
      <c r="I73" s="287">
        <f t="shared" si="12"/>
        <v>2021</v>
      </c>
      <c r="J73" s="287">
        <f t="shared" si="12"/>
        <v>2022</v>
      </c>
      <c r="K73" s="287">
        <f t="shared" si="12"/>
        <v>2023</v>
      </c>
      <c r="L73" s="287">
        <f t="shared" si="12"/>
        <v>2024</v>
      </c>
      <c r="M73" s="287">
        <f t="shared" si="12"/>
        <v>2025</v>
      </c>
      <c r="N73" s="287">
        <f t="shared" si="12"/>
        <v>2026</v>
      </c>
      <c r="O73" s="287">
        <f t="shared" si="12"/>
        <v>2027</v>
      </c>
      <c r="P73" s="287">
        <f t="shared" si="12"/>
        <v>2028</v>
      </c>
      <c r="Q73" s="287">
        <f t="shared" si="12"/>
        <v>2029</v>
      </c>
      <c r="R73" s="186"/>
    </row>
    <row r="74" spans="2:18" x14ac:dyDescent="0.25">
      <c r="B74" s="352">
        <v>2015</v>
      </c>
      <c r="C74" s="293">
        <f t="shared" ref="C74:Q83" si="13">HLOOKUP($B74,$C$70:$Q$71,2,FALSE)*$C$32*(1-IF(ROUNDDOWN((C$70-$B74)/$D$32,0)&lt;1,0,IF(ROUNDDOWN((C$70-$B74)/$D$32,0)&lt;2,0.5,IF(ROUNDDOWN((C$70-$B74)/$D$32,0)&lt;3,0.75,IF(ROUNDDOWN((C$70-$B74)/$D$32,0)&lt;4,0.875,0.9375)))))+HLOOKUP($B74,$C$70:$Q$71,2,FALSE)*$C$33*(1-IF(ROUNDDOWN((C$70-$B74)/$D$33,0)&lt;1,0,IF(ROUNDDOWN((C$70-$B74)/$D$33,0)&lt;2,0.5,IF(ROUNDDOWN((C$70-$B74)/$D$33,0)&lt;3,0.75,IF(ROUNDDOWN((C$70-$B74)/$D$33,0)&lt;4,0.875,0.9375)))))+HLOOKUP($B74,$C$70:$Q$71,2,FALSE)*$C$34*(1-IF(ROUNDDOWN((C$70-$B74)/$D$34,0)&lt;1,0,IF(ROUNDDOWN((C$70-$B74)/$D$34,0)&lt;2,0.5,IF(ROUNDDOWN((C$70-$B74)/$D$34,0)&lt;3,0.75,IF(ROUNDDOWN((C$70-$B74)/$D$34,0)&lt;4,0.875,0.9375)))))+HLOOKUP($B74,$C$70:$Q$71,2,FALSE)*$C$35*(1-IF(ROUNDDOWN((C$70-$B74)/$D$35,0)&lt;1,0,IF(ROUNDDOWN((C$70-$B74)/$D$35,0)&lt;2,0.5,IF(ROUNDDOWN((C$70-$B74)/$D$35,0)&lt;3,0.75,IF(ROUNDDOWN((C$70-$B74)/$D$35,0)&lt;4,0.875,0.9375)))))+HLOOKUP($B74,$C$70:$Q$71,2,FALSE)*$C$36*(1-IF(ROUNDDOWN((C$70-$B74)/$D$36,0)&lt;1,0,IF(ROUNDDOWN((C$70-$B74)/$D$36,0)&lt;2,0.5,IF(ROUNDDOWN((C$70-$B74)/$D$36,0)&lt;3,0.75,IF(ROUNDDOWN((C$70-$B74)/$D$36,0)&lt;4,0.875,0.9375)))))+HLOOKUP($B74,$C$70:$Q$71,2,FALSE)*$C$37*(1-IF(ROUNDDOWN((C$70-$B74)/$D$37,0)&lt;1,0,IF(ROUNDDOWN((C$70-$B74)/$D$37,0)&lt;2,0.5,IF(ROUNDDOWN((C$70-$B74)/$D$37,0)&lt;3,0.75,IF(ROUNDDOWN((C$70-$B74)/$D$37,0)&lt;4,0.875,0.9375)))))</f>
        <v>0</v>
      </c>
      <c r="D74" s="293">
        <f t="shared" si="13"/>
        <v>0</v>
      </c>
      <c r="E74" s="293">
        <f t="shared" si="13"/>
        <v>0</v>
      </c>
      <c r="F74" s="293">
        <f t="shared" si="13"/>
        <v>0</v>
      </c>
      <c r="G74" s="293">
        <f t="shared" si="13"/>
        <v>0</v>
      </c>
      <c r="H74" s="293">
        <f t="shared" si="13"/>
        <v>0</v>
      </c>
      <c r="I74" s="293">
        <f t="shared" si="13"/>
        <v>0</v>
      </c>
      <c r="J74" s="293">
        <f t="shared" si="13"/>
        <v>0</v>
      </c>
      <c r="K74" s="293">
        <f t="shared" si="13"/>
        <v>0</v>
      </c>
      <c r="L74" s="293">
        <f t="shared" si="13"/>
        <v>0</v>
      </c>
      <c r="M74" s="293">
        <f t="shared" si="13"/>
        <v>0</v>
      </c>
      <c r="N74" s="293">
        <f t="shared" si="13"/>
        <v>0</v>
      </c>
      <c r="O74" s="293">
        <f t="shared" si="13"/>
        <v>0</v>
      </c>
      <c r="P74" s="293">
        <f t="shared" si="13"/>
        <v>0</v>
      </c>
      <c r="Q74" s="293">
        <f t="shared" si="13"/>
        <v>0</v>
      </c>
      <c r="R74" s="186"/>
    </row>
    <row r="75" spans="2:18" x14ac:dyDescent="0.25">
      <c r="B75" s="352">
        <f t="shared" ref="B75:B89" si="14">B74+1</f>
        <v>2016</v>
      </c>
      <c r="C75" s="293"/>
      <c r="D75" s="293">
        <f t="shared" si="13"/>
        <v>0</v>
      </c>
      <c r="E75" s="293">
        <f t="shared" si="13"/>
        <v>0</v>
      </c>
      <c r="F75" s="293">
        <f t="shared" si="13"/>
        <v>0</v>
      </c>
      <c r="G75" s="293">
        <f t="shared" si="13"/>
        <v>0</v>
      </c>
      <c r="H75" s="293">
        <f t="shared" si="13"/>
        <v>0</v>
      </c>
      <c r="I75" s="293">
        <f t="shared" si="13"/>
        <v>0</v>
      </c>
      <c r="J75" s="293">
        <f t="shared" si="13"/>
        <v>0</v>
      </c>
      <c r="K75" s="293">
        <f t="shared" si="13"/>
        <v>0</v>
      </c>
      <c r="L75" s="293">
        <f t="shared" si="13"/>
        <v>0</v>
      </c>
      <c r="M75" s="293">
        <f t="shared" si="13"/>
        <v>0</v>
      </c>
      <c r="N75" s="293">
        <f t="shared" si="13"/>
        <v>0</v>
      </c>
      <c r="O75" s="293">
        <f t="shared" si="13"/>
        <v>0</v>
      </c>
      <c r="P75" s="293">
        <f t="shared" si="13"/>
        <v>0</v>
      </c>
      <c r="Q75" s="293">
        <f t="shared" si="13"/>
        <v>0</v>
      </c>
      <c r="R75" s="186"/>
    </row>
    <row r="76" spans="2:18" x14ac:dyDescent="0.25">
      <c r="B76" s="352">
        <f t="shared" si="14"/>
        <v>2017</v>
      </c>
      <c r="C76" s="293"/>
      <c r="D76" s="293"/>
      <c r="E76" s="293">
        <f t="shared" si="13"/>
        <v>0</v>
      </c>
      <c r="F76" s="293">
        <f t="shared" si="13"/>
        <v>0</v>
      </c>
      <c r="G76" s="293">
        <f t="shared" si="13"/>
        <v>0</v>
      </c>
      <c r="H76" s="293">
        <f t="shared" si="13"/>
        <v>0</v>
      </c>
      <c r="I76" s="293">
        <f t="shared" si="13"/>
        <v>0</v>
      </c>
      <c r="J76" s="293">
        <f t="shared" si="13"/>
        <v>0</v>
      </c>
      <c r="K76" s="293">
        <f t="shared" si="13"/>
        <v>0</v>
      </c>
      <c r="L76" s="293">
        <f t="shared" si="13"/>
        <v>0</v>
      </c>
      <c r="M76" s="293">
        <f t="shared" si="13"/>
        <v>0</v>
      </c>
      <c r="N76" s="293">
        <f t="shared" si="13"/>
        <v>0</v>
      </c>
      <c r="O76" s="293">
        <f t="shared" si="13"/>
        <v>0</v>
      </c>
      <c r="P76" s="293">
        <f t="shared" si="13"/>
        <v>0</v>
      </c>
      <c r="Q76" s="293">
        <f t="shared" si="13"/>
        <v>0</v>
      </c>
      <c r="R76" s="186"/>
    </row>
    <row r="77" spans="2:18" x14ac:dyDescent="0.25">
      <c r="B77" s="352">
        <f t="shared" si="14"/>
        <v>2018</v>
      </c>
      <c r="C77" s="293"/>
      <c r="D77" s="293"/>
      <c r="E77" s="293"/>
      <c r="F77" s="293">
        <f t="shared" si="13"/>
        <v>0</v>
      </c>
      <c r="G77" s="293">
        <f t="shared" si="13"/>
        <v>0</v>
      </c>
      <c r="H77" s="293">
        <f t="shared" si="13"/>
        <v>0</v>
      </c>
      <c r="I77" s="293">
        <f t="shared" si="13"/>
        <v>0</v>
      </c>
      <c r="J77" s="293">
        <f t="shared" si="13"/>
        <v>0</v>
      </c>
      <c r="K77" s="293">
        <f t="shared" si="13"/>
        <v>0</v>
      </c>
      <c r="L77" s="293">
        <f t="shared" si="13"/>
        <v>0</v>
      </c>
      <c r="M77" s="293">
        <f t="shared" si="13"/>
        <v>0</v>
      </c>
      <c r="N77" s="293">
        <f t="shared" si="13"/>
        <v>0</v>
      </c>
      <c r="O77" s="293">
        <f t="shared" si="13"/>
        <v>0</v>
      </c>
      <c r="P77" s="293">
        <f t="shared" si="13"/>
        <v>0</v>
      </c>
      <c r="Q77" s="293">
        <f t="shared" si="13"/>
        <v>0</v>
      </c>
      <c r="R77" s="186"/>
    </row>
    <row r="78" spans="2:18" x14ac:dyDescent="0.25">
      <c r="B78" s="352">
        <f t="shared" si="14"/>
        <v>2019</v>
      </c>
      <c r="C78" s="293"/>
      <c r="D78" s="293"/>
      <c r="E78" s="293"/>
      <c r="F78" s="293"/>
      <c r="G78" s="293">
        <f t="shared" si="13"/>
        <v>1.7319650400000004E-2</v>
      </c>
      <c r="H78" s="293">
        <f t="shared" si="13"/>
        <v>1.7319650400000004E-2</v>
      </c>
      <c r="I78" s="293">
        <f t="shared" si="13"/>
        <v>1.7319650400000004E-2</v>
      </c>
      <c r="J78" s="293">
        <f t="shared" si="13"/>
        <v>1.6574905432800002E-2</v>
      </c>
      <c r="K78" s="293">
        <f t="shared" si="13"/>
        <v>1.6574905432800002E-2</v>
      </c>
      <c r="L78" s="293">
        <f t="shared" si="13"/>
        <v>1.6574905432800002E-2</v>
      </c>
      <c r="M78" s="293">
        <f t="shared" si="13"/>
        <v>1.6202532949200002E-2</v>
      </c>
      <c r="N78" s="293">
        <f t="shared" si="13"/>
        <v>1.6202532949200002E-2</v>
      </c>
      <c r="O78" s="293">
        <f t="shared" si="13"/>
        <v>1.5509746933200001E-2</v>
      </c>
      <c r="P78" s="293">
        <f t="shared" si="13"/>
        <v>1.5323560691400001E-2</v>
      </c>
      <c r="Q78" s="293">
        <f t="shared" si="13"/>
        <v>1.4630774675400002E-2</v>
      </c>
      <c r="R78" s="186"/>
    </row>
    <row r="79" spans="2:18" x14ac:dyDescent="0.25">
      <c r="B79" s="352">
        <f t="shared" si="14"/>
        <v>2020</v>
      </c>
      <c r="C79" s="293"/>
      <c r="D79" s="293"/>
      <c r="E79" s="293"/>
      <c r="F79" s="293"/>
      <c r="G79" s="293"/>
      <c r="H79" s="293">
        <f t="shared" si="13"/>
        <v>1.7319650400000004E-2</v>
      </c>
      <c r="I79" s="293">
        <f t="shared" si="13"/>
        <v>1.7319650400000004E-2</v>
      </c>
      <c r="J79" s="293">
        <f t="shared" si="13"/>
        <v>1.7319650400000004E-2</v>
      </c>
      <c r="K79" s="293">
        <f t="shared" si="13"/>
        <v>1.6574905432800002E-2</v>
      </c>
      <c r="L79" s="293">
        <f t="shared" si="13"/>
        <v>1.6574905432800002E-2</v>
      </c>
      <c r="M79" s="293">
        <f t="shared" si="13"/>
        <v>1.6574905432800002E-2</v>
      </c>
      <c r="N79" s="293">
        <f t="shared" si="13"/>
        <v>1.6202532949200002E-2</v>
      </c>
      <c r="O79" s="293">
        <f t="shared" si="13"/>
        <v>1.6202532949200002E-2</v>
      </c>
      <c r="P79" s="293">
        <f t="shared" si="13"/>
        <v>1.5509746933200001E-2</v>
      </c>
      <c r="Q79" s="293">
        <f t="shared" si="13"/>
        <v>1.5323560691400001E-2</v>
      </c>
      <c r="R79" s="186"/>
    </row>
    <row r="80" spans="2:18" x14ac:dyDescent="0.25">
      <c r="B80" s="352">
        <f t="shared" si="14"/>
        <v>2021</v>
      </c>
      <c r="C80" s="293"/>
      <c r="D80" s="293"/>
      <c r="E80" s="293"/>
      <c r="F80" s="293"/>
      <c r="G80" s="293"/>
      <c r="H80" s="293"/>
      <c r="I80" s="293">
        <f t="shared" si="13"/>
        <v>1.7319650400000004E-2</v>
      </c>
      <c r="J80" s="293">
        <f t="shared" si="13"/>
        <v>1.7319650400000004E-2</v>
      </c>
      <c r="K80" s="293">
        <f t="shared" si="13"/>
        <v>1.7319650400000004E-2</v>
      </c>
      <c r="L80" s="293">
        <f t="shared" si="13"/>
        <v>1.6574905432800002E-2</v>
      </c>
      <c r="M80" s="293">
        <f t="shared" si="13"/>
        <v>1.6574905432800002E-2</v>
      </c>
      <c r="N80" s="293">
        <f t="shared" si="13"/>
        <v>1.6574905432800002E-2</v>
      </c>
      <c r="O80" s="293">
        <f t="shared" si="13"/>
        <v>1.6202532949200002E-2</v>
      </c>
      <c r="P80" s="293">
        <f t="shared" si="13"/>
        <v>1.6202532949200002E-2</v>
      </c>
      <c r="Q80" s="293">
        <f t="shared" si="13"/>
        <v>1.5509746933200001E-2</v>
      </c>
      <c r="R80" s="186"/>
    </row>
    <row r="81" spans="2:18" x14ac:dyDescent="0.25">
      <c r="B81" s="352">
        <f t="shared" si="14"/>
        <v>2022</v>
      </c>
      <c r="C81" s="293"/>
      <c r="D81" s="293"/>
      <c r="E81" s="293"/>
      <c r="F81" s="293"/>
      <c r="G81" s="293"/>
      <c r="H81" s="293"/>
      <c r="I81" s="293"/>
      <c r="J81" s="293">
        <f t="shared" si="13"/>
        <v>1.7319650400000004E-2</v>
      </c>
      <c r="K81" s="293">
        <f t="shared" si="13"/>
        <v>1.7319650400000004E-2</v>
      </c>
      <c r="L81" s="293">
        <f t="shared" si="13"/>
        <v>1.7319650400000004E-2</v>
      </c>
      <c r="M81" s="293">
        <f t="shared" si="13"/>
        <v>1.6574905432800002E-2</v>
      </c>
      <c r="N81" s="293">
        <f t="shared" si="13"/>
        <v>1.6574905432800002E-2</v>
      </c>
      <c r="O81" s="293">
        <f t="shared" si="13"/>
        <v>1.6574905432800002E-2</v>
      </c>
      <c r="P81" s="293">
        <f t="shared" si="13"/>
        <v>1.6202532949200002E-2</v>
      </c>
      <c r="Q81" s="293">
        <f t="shared" si="13"/>
        <v>1.6202532949200002E-2</v>
      </c>
      <c r="R81" s="186"/>
    </row>
    <row r="82" spans="2:18" x14ac:dyDescent="0.25">
      <c r="B82" s="352">
        <f t="shared" si="14"/>
        <v>2023</v>
      </c>
      <c r="C82" s="293"/>
      <c r="D82" s="293"/>
      <c r="E82" s="293"/>
      <c r="F82" s="293"/>
      <c r="G82" s="293"/>
      <c r="H82" s="293"/>
      <c r="I82" s="293"/>
      <c r="J82" s="293"/>
      <c r="K82" s="293">
        <f t="shared" si="13"/>
        <v>1.7319650400000004E-2</v>
      </c>
      <c r="L82" s="293">
        <f t="shared" si="13"/>
        <v>1.7319650400000004E-2</v>
      </c>
      <c r="M82" s="293">
        <f t="shared" si="13"/>
        <v>1.7319650400000004E-2</v>
      </c>
      <c r="N82" s="293">
        <f t="shared" si="13"/>
        <v>1.6574905432800002E-2</v>
      </c>
      <c r="O82" s="293">
        <f t="shared" si="13"/>
        <v>1.6574905432800002E-2</v>
      </c>
      <c r="P82" s="293">
        <f t="shared" si="13"/>
        <v>1.6574905432800002E-2</v>
      </c>
      <c r="Q82" s="293">
        <f t="shared" si="13"/>
        <v>1.6202532949200002E-2</v>
      </c>
      <c r="R82" s="186"/>
    </row>
    <row r="83" spans="2:18" x14ac:dyDescent="0.25">
      <c r="B83" s="352">
        <f t="shared" si="14"/>
        <v>2024</v>
      </c>
      <c r="C83" s="293"/>
      <c r="D83" s="293"/>
      <c r="E83" s="293"/>
      <c r="F83" s="293"/>
      <c r="G83" s="293"/>
      <c r="H83" s="293"/>
      <c r="I83" s="293"/>
      <c r="J83" s="293"/>
      <c r="K83" s="293"/>
      <c r="L83" s="293">
        <f t="shared" si="13"/>
        <v>1.7319650400000004E-2</v>
      </c>
      <c r="M83" s="293">
        <f t="shared" si="13"/>
        <v>1.7319650400000004E-2</v>
      </c>
      <c r="N83" s="293">
        <f t="shared" si="13"/>
        <v>1.7319650400000004E-2</v>
      </c>
      <c r="O83" s="293">
        <f t="shared" si="13"/>
        <v>1.6574905432800002E-2</v>
      </c>
      <c r="P83" s="293">
        <f t="shared" si="13"/>
        <v>1.6574905432800002E-2</v>
      </c>
      <c r="Q83" s="293">
        <f t="shared" si="13"/>
        <v>1.6574905432800002E-2</v>
      </c>
      <c r="R83" s="186"/>
    </row>
    <row r="84" spans="2:18" x14ac:dyDescent="0.25">
      <c r="B84" s="352">
        <f t="shared" si="14"/>
        <v>2025</v>
      </c>
      <c r="C84" s="293"/>
      <c r="D84" s="293"/>
      <c r="E84" s="293"/>
      <c r="F84" s="293"/>
      <c r="G84" s="293"/>
      <c r="H84" s="293"/>
      <c r="I84" s="293"/>
      <c r="J84" s="293"/>
      <c r="K84" s="293"/>
      <c r="L84" s="293"/>
      <c r="M84" s="293">
        <f>HLOOKUP($B84,$C$70:$Q$71,2,FALSE)*$C$32*(1-IF(ROUNDDOWN((M$70-$B84)/$D$32,0)&lt;1,0,IF(ROUNDDOWN((M$70-$B84)/$D$32,0)&lt;2,0.5,IF(ROUNDDOWN((M$70-$B84)/$D$32,0)&lt;3,0.75,IF(ROUNDDOWN((M$70-$B84)/$D$32,0)&lt;4,0.875,0.9375)))))+HLOOKUP($B84,$C$70:$Q$71,2,FALSE)*$C$33*(1-IF(ROUNDDOWN((M$70-$B84)/$D$33,0)&lt;1,0,IF(ROUNDDOWN((M$70-$B84)/$D$33,0)&lt;2,0.5,IF(ROUNDDOWN((M$70-$B84)/$D$33,0)&lt;3,0.75,IF(ROUNDDOWN((M$70-$B84)/$D$33,0)&lt;4,0.875,0.9375)))))+HLOOKUP($B84,$C$70:$Q$71,2,FALSE)*$C$34*(1-IF(ROUNDDOWN((M$70-$B84)/$D$34,0)&lt;1,0,IF(ROUNDDOWN((M$70-$B84)/$D$34,0)&lt;2,0.5,IF(ROUNDDOWN((M$70-$B84)/$D$34,0)&lt;3,0.75,IF(ROUNDDOWN((M$70-$B84)/$D$34,0)&lt;4,0.875,0.9375)))))+HLOOKUP($B84,$C$70:$Q$71,2,FALSE)*$C$35*(1-IF(ROUNDDOWN((M$70-$B84)/$D$35,0)&lt;1,0,IF(ROUNDDOWN((M$70-$B84)/$D$35,0)&lt;2,0.5,IF(ROUNDDOWN((M$70-$B84)/$D$35,0)&lt;3,0.75,IF(ROUNDDOWN((M$70-$B84)/$D$35,0)&lt;4,0.875,0.9375)))))+HLOOKUP($B84,$C$70:$Q$71,2,FALSE)*$C$36*(1-IF(ROUNDDOWN((M$70-$B84)/$D$36,0)&lt;1,0,IF(ROUNDDOWN((M$70-$B84)/$D$36,0)&lt;2,0.5,IF(ROUNDDOWN((M$70-$B84)/$D$36,0)&lt;3,0.75,IF(ROUNDDOWN((M$70-$B84)/$D$36,0)&lt;4,0.875,0.9375)))))+HLOOKUP($B84,$C$70:$Q$71,2,FALSE)*$C$37*(1-IF(ROUNDDOWN((M$70-$B84)/$D$37,0)&lt;1,0,IF(ROUNDDOWN((M$70-$B84)/$D$37,0)&lt;2,0.5,IF(ROUNDDOWN((M$70-$B84)/$D$37,0)&lt;3,0.75,IF(ROUNDDOWN((M$70-$B84)/$D$37,0)&lt;4,0.875,0.9375)))))</f>
        <v>1.7319650400000004E-2</v>
      </c>
      <c r="N84" s="293">
        <f>HLOOKUP($B84,$C$70:$Q$71,2,FALSE)*$C$32*(1-IF(ROUNDDOWN((N$70-$B84)/$D$32,0)&lt;1,0,IF(ROUNDDOWN((N$70-$B84)/$D$32,0)&lt;2,0.5,IF(ROUNDDOWN((N$70-$B84)/$D$32,0)&lt;3,0.75,IF(ROUNDDOWN((N$70-$B84)/$D$32,0)&lt;4,0.875,0.9375)))))+HLOOKUP($B84,$C$70:$Q$71,2,FALSE)*$C$33*(1-IF(ROUNDDOWN((N$70-$B84)/$D$33,0)&lt;1,0,IF(ROUNDDOWN((N$70-$B84)/$D$33,0)&lt;2,0.5,IF(ROUNDDOWN((N$70-$B84)/$D$33,0)&lt;3,0.75,IF(ROUNDDOWN((N$70-$B84)/$D$33,0)&lt;4,0.875,0.9375)))))+HLOOKUP($B84,$C$70:$Q$71,2,FALSE)*$C$34*(1-IF(ROUNDDOWN((N$70-$B84)/$D$34,0)&lt;1,0,IF(ROUNDDOWN((N$70-$B84)/$D$34,0)&lt;2,0.5,IF(ROUNDDOWN((N$70-$B84)/$D$34,0)&lt;3,0.75,IF(ROUNDDOWN((N$70-$B84)/$D$34,0)&lt;4,0.875,0.9375)))))+HLOOKUP($B84,$C$70:$Q$71,2,FALSE)*$C$35*(1-IF(ROUNDDOWN((N$70-$B84)/$D$35,0)&lt;1,0,IF(ROUNDDOWN((N$70-$B84)/$D$35,0)&lt;2,0.5,IF(ROUNDDOWN((N$70-$B84)/$D$35,0)&lt;3,0.75,IF(ROUNDDOWN((N$70-$B84)/$D$35,0)&lt;4,0.875,0.9375)))))+HLOOKUP($B84,$C$70:$Q$71,2,FALSE)*$C$36*(1-IF(ROUNDDOWN((N$70-$B84)/$D$36,0)&lt;1,0,IF(ROUNDDOWN((N$70-$B84)/$D$36,0)&lt;2,0.5,IF(ROUNDDOWN((N$70-$B84)/$D$36,0)&lt;3,0.75,IF(ROUNDDOWN((N$70-$B84)/$D$36,0)&lt;4,0.875,0.9375)))))+HLOOKUP($B84,$C$70:$Q$71,2,FALSE)*$C$37*(1-IF(ROUNDDOWN((N$70-$B84)/$D$37,0)&lt;1,0,IF(ROUNDDOWN((N$70-$B84)/$D$37,0)&lt;2,0.5,IF(ROUNDDOWN((N$70-$B84)/$D$37,0)&lt;3,0.75,IF(ROUNDDOWN((N$70-$B84)/$D$37,0)&lt;4,0.875,0.9375)))))</f>
        <v>1.7319650400000004E-2</v>
      </c>
      <c r="O84" s="293">
        <f>HLOOKUP($B84,$C$70:$Q$71,2,FALSE)*$C$32*(1-IF(ROUNDDOWN((O$70-$B84)/$D$32,0)&lt;1,0,IF(ROUNDDOWN((O$70-$B84)/$D$32,0)&lt;2,0.5,IF(ROUNDDOWN((O$70-$B84)/$D$32,0)&lt;3,0.75,IF(ROUNDDOWN((O$70-$B84)/$D$32,0)&lt;4,0.875,0.9375)))))+HLOOKUP($B84,$C$70:$Q$71,2,FALSE)*$C$33*(1-IF(ROUNDDOWN((O$70-$B84)/$D$33,0)&lt;1,0,IF(ROUNDDOWN((O$70-$B84)/$D$33,0)&lt;2,0.5,IF(ROUNDDOWN((O$70-$B84)/$D$33,0)&lt;3,0.75,IF(ROUNDDOWN((O$70-$B84)/$D$33,0)&lt;4,0.875,0.9375)))))+HLOOKUP($B84,$C$70:$Q$71,2,FALSE)*$C$34*(1-IF(ROUNDDOWN((O$70-$B84)/$D$34,0)&lt;1,0,IF(ROUNDDOWN((O$70-$B84)/$D$34,0)&lt;2,0.5,IF(ROUNDDOWN((O$70-$B84)/$D$34,0)&lt;3,0.75,IF(ROUNDDOWN((O$70-$B84)/$D$34,0)&lt;4,0.875,0.9375)))))+HLOOKUP($B84,$C$70:$Q$71,2,FALSE)*$C$35*(1-IF(ROUNDDOWN((O$70-$B84)/$D$35,0)&lt;1,0,IF(ROUNDDOWN((O$70-$B84)/$D$35,0)&lt;2,0.5,IF(ROUNDDOWN((O$70-$B84)/$D$35,0)&lt;3,0.75,IF(ROUNDDOWN((O$70-$B84)/$D$35,0)&lt;4,0.875,0.9375)))))+HLOOKUP($B84,$C$70:$Q$71,2,FALSE)*$C$36*(1-IF(ROUNDDOWN((O$70-$B84)/$D$36,0)&lt;1,0,IF(ROUNDDOWN((O$70-$B84)/$D$36,0)&lt;2,0.5,IF(ROUNDDOWN((O$70-$B84)/$D$36,0)&lt;3,0.75,IF(ROUNDDOWN((O$70-$B84)/$D$36,0)&lt;4,0.875,0.9375)))))+HLOOKUP($B84,$C$70:$Q$71,2,FALSE)*$C$37*(1-IF(ROUNDDOWN((O$70-$B84)/$D$37,0)&lt;1,0,IF(ROUNDDOWN((O$70-$B84)/$D$37,0)&lt;2,0.5,IF(ROUNDDOWN((O$70-$B84)/$D$37,0)&lt;3,0.75,IF(ROUNDDOWN((O$70-$B84)/$D$37,0)&lt;4,0.875,0.9375)))))</f>
        <v>1.7319650400000004E-2</v>
      </c>
      <c r="P84" s="293">
        <f>HLOOKUP($B84,$C$70:$Q$71,2,FALSE)*$C$32*(1-IF(ROUNDDOWN((P$70-$B84)/$D$32,0)&lt;1,0,IF(ROUNDDOWN((P$70-$B84)/$D$32,0)&lt;2,0.5,IF(ROUNDDOWN((P$70-$B84)/$D$32,0)&lt;3,0.75,IF(ROUNDDOWN((P$70-$B84)/$D$32,0)&lt;4,0.875,0.9375)))))+HLOOKUP($B84,$C$70:$Q$71,2,FALSE)*$C$33*(1-IF(ROUNDDOWN((P$70-$B84)/$D$33,0)&lt;1,0,IF(ROUNDDOWN((P$70-$B84)/$D$33,0)&lt;2,0.5,IF(ROUNDDOWN((P$70-$B84)/$D$33,0)&lt;3,0.75,IF(ROUNDDOWN((P$70-$B84)/$D$33,0)&lt;4,0.875,0.9375)))))+HLOOKUP($B84,$C$70:$Q$71,2,FALSE)*$C$34*(1-IF(ROUNDDOWN((P$70-$B84)/$D$34,0)&lt;1,0,IF(ROUNDDOWN((P$70-$B84)/$D$34,0)&lt;2,0.5,IF(ROUNDDOWN((P$70-$B84)/$D$34,0)&lt;3,0.75,IF(ROUNDDOWN((P$70-$B84)/$D$34,0)&lt;4,0.875,0.9375)))))+HLOOKUP($B84,$C$70:$Q$71,2,FALSE)*$C$35*(1-IF(ROUNDDOWN((P$70-$B84)/$D$35,0)&lt;1,0,IF(ROUNDDOWN((P$70-$B84)/$D$35,0)&lt;2,0.5,IF(ROUNDDOWN((P$70-$B84)/$D$35,0)&lt;3,0.75,IF(ROUNDDOWN((P$70-$B84)/$D$35,0)&lt;4,0.875,0.9375)))))+HLOOKUP($B84,$C$70:$Q$71,2,FALSE)*$C$36*(1-IF(ROUNDDOWN((P$70-$B84)/$D$36,0)&lt;1,0,IF(ROUNDDOWN((P$70-$B84)/$D$36,0)&lt;2,0.5,IF(ROUNDDOWN((P$70-$B84)/$D$36,0)&lt;3,0.75,IF(ROUNDDOWN((P$70-$B84)/$D$36,0)&lt;4,0.875,0.9375)))))+HLOOKUP($B84,$C$70:$Q$71,2,FALSE)*$C$37*(1-IF(ROUNDDOWN((P$70-$B84)/$D$37,0)&lt;1,0,IF(ROUNDDOWN((P$70-$B84)/$D$37,0)&lt;2,0.5,IF(ROUNDDOWN((P$70-$B84)/$D$37,0)&lt;3,0.75,IF(ROUNDDOWN((P$70-$B84)/$D$37,0)&lt;4,0.875,0.9375)))))</f>
        <v>1.6574905432800002E-2</v>
      </c>
      <c r="Q84" s="293">
        <f>HLOOKUP($B84,$C$70:$Q$71,2,FALSE)*$C$32*(1-IF(ROUNDDOWN((Q$70-$B84)/$D$32,0)&lt;1,0,IF(ROUNDDOWN((Q$70-$B84)/$D$32,0)&lt;2,0.5,IF(ROUNDDOWN((Q$70-$B84)/$D$32,0)&lt;3,0.75,IF(ROUNDDOWN((Q$70-$B84)/$D$32,0)&lt;4,0.875,0.9375)))))+HLOOKUP($B84,$C$70:$Q$71,2,FALSE)*$C$33*(1-IF(ROUNDDOWN((Q$70-$B84)/$D$33,0)&lt;1,0,IF(ROUNDDOWN((Q$70-$B84)/$D$33,0)&lt;2,0.5,IF(ROUNDDOWN((Q$70-$B84)/$D$33,0)&lt;3,0.75,IF(ROUNDDOWN((Q$70-$B84)/$D$33,0)&lt;4,0.875,0.9375)))))+HLOOKUP($B84,$C$70:$Q$71,2,FALSE)*$C$34*(1-IF(ROUNDDOWN((Q$70-$B84)/$D$34,0)&lt;1,0,IF(ROUNDDOWN((Q$70-$B84)/$D$34,0)&lt;2,0.5,IF(ROUNDDOWN((Q$70-$B84)/$D$34,0)&lt;3,0.75,IF(ROUNDDOWN((Q$70-$B84)/$D$34,0)&lt;4,0.875,0.9375)))))+HLOOKUP($B84,$C$70:$Q$71,2,FALSE)*$C$35*(1-IF(ROUNDDOWN((Q$70-$B84)/$D$35,0)&lt;1,0,IF(ROUNDDOWN((Q$70-$B84)/$D$35,0)&lt;2,0.5,IF(ROUNDDOWN((Q$70-$B84)/$D$35,0)&lt;3,0.75,IF(ROUNDDOWN((Q$70-$B84)/$D$35,0)&lt;4,0.875,0.9375)))))+HLOOKUP($B84,$C$70:$Q$71,2,FALSE)*$C$36*(1-IF(ROUNDDOWN((Q$70-$B84)/$D$36,0)&lt;1,0,IF(ROUNDDOWN((Q$70-$B84)/$D$36,0)&lt;2,0.5,IF(ROUNDDOWN((Q$70-$B84)/$D$36,0)&lt;3,0.75,IF(ROUNDDOWN((Q$70-$B84)/$D$36,0)&lt;4,0.875,0.9375)))))+HLOOKUP($B84,$C$70:$Q$71,2,FALSE)*$C$37*(1-IF(ROUNDDOWN((Q$70-$B84)/$D$37,0)&lt;1,0,IF(ROUNDDOWN((Q$70-$B84)/$D$37,0)&lt;2,0.5,IF(ROUNDDOWN((Q$70-$B84)/$D$37,0)&lt;3,0.75,IF(ROUNDDOWN((Q$70-$B84)/$D$37,0)&lt;4,0.875,0.9375)))))</f>
        <v>1.6574905432800002E-2</v>
      </c>
      <c r="R84" s="186"/>
    </row>
    <row r="85" spans="2:18" x14ac:dyDescent="0.25">
      <c r="B85" s="352">
        <f t="shared" si="14"/>
        <v>2026</v>
      </c>
      <c r="C85" s="293"/>
      <c r="D85" s="293"/>
      <c r="E85" s="293"/>
      <c r="F85" s="293"/>
      <c r="G85" s="293"/>
      <c r="H85" s="293"/>
      <c r="I85" s="293"/>
      <c r="J85" s="293"/>
      <c r="K85" s="293"/>
      <c r="L85" s="293"/>
      <c r="M85" s="293"/>
      <c r="N85" s="293">
        <f>HLOOKUP($B85,$C$70:$Q$71,2,FALSE)*$C$32*(1-IF(ROUNDDOWN((N$70-$B85)/$D$32,0)&lt;1,0,IF(ROUNDDOWN((N$70-$B85)/$D$32,0)&lt;2,0.5,IF(ROUNDDOWN((N$70-$B85)/$D$32,0)&lt;3,0.75,IF(ROUNDDOWN((N$70-$B85)/$D$32,0)&lt;4,0.875,0.9375)))))+HLOOKUP($B85,$C$70:$Q$71,2,FALSE)*$C$33*(1-IF(ROUNDDOWN((N$70-$B85)/$D$33,0)&lt;1,0,IF(ROUNDDOWN((N$70-$B85)/$D$33,0)&lt;2,0.5,IF(ROUNDDOWN((N$70-$B85)/$D$33,0)&lt;3,0.75,IF(ROUNDDOWN((N$70-$B85)/$D$33,0)&lt;4,0.875,0.9375)))))+HLOOKUP($B85,$C$70:$Q$71,2,FALSE)*$C$34*(1-IF(ROUNDDOWN((N$70-$B85)/$D$34,0)&lt;1,0,IF(ROUNDDOWN((N$70-$B85)/$D$34,0)&lt;2,0.5,IF(ROUNDDOWN((N$70-$B85)/$D$34,0)&lt;3,0.75,IF(ROUNDDOWN((N$70-$B85)/$D$34,0)&lt;4,0.875,0.9375)))))+HLOOKUP($B85,$C$70:$Q$71,2,FALSE)*$C$35*(1-IF(ROUNDDOWN((N$70-$B85)/$D$35,0)&lt;1,0,IF(ROUNDDOWN((N$70-$B85)/$D$35,0)&lt;2,0.5,IF(ROUNDDOWN((N$70-$B85)/$D$35,0)&lt;3,0.75,IF(ROUNDDOWN((N$70-$B85)/$D$35,0)&lt;4,0.875,0.9375)))))+HLOOKUP($B85,$C$70:$Q$71,2,FALSE)*$C$36*(1-IF(ROUNDDOWN((N$70-$B85)/$D$36,0)&lt;1,0,IF(ROUNDDOWN((N$70-$B85)/$D$36,0)&lt;2,0.5,IF(ROUNDDOWN((N$70-$B85)/$D$36,0)&lt;3,0.75,IF(ROUNDDOWN((N$70-$B85)/$D$36,0)&lt;4,0.875,0.9375)))))+HLOOKUP($B85,$C$70:$Q$71,2,FALSE)*$C$37*(1-IF(ROUNDDOWN((N$70-$B85)/$D$37,0)&lt;1,0,IF(ROUNDDOWN((N$70-$B85)/$D$37,0)&lt;2,0.5,IF(ROUNDDOWN((N$70-$B85)/$D$37,0)&lt;3,0.75,IF(ROUNDDOWN((N$70-$B85)/$D$37,0)&lt;4,0.875,0.9375)))))</f>
        <v>1.7319650400000004E-2</v>
      </c>
      <c r="O85" s="293">
        <f>HLOOKUP($B85,$C$70:$Q$71,2,FALSE)*$C$32*(1-IF(ROUNDDOWN((O$70-$B85)/$D$32,0)&lt;1,0,IF(ROUNDDOWN((O$70-$B85)/$D$32,0)&lt;2,0.5,IF(ROUNDDOWN((O$70-$B85)/$D$32,0)&lt;3,0.75,IF(ROUNDDOWN((O$70-$B85)/$D$32,0)&lt;4,0.875,0.9375)))))+HLOOKUP($B85,$C$70:$Q$71,2,FALSE)*$C$33*(1-IF(ROUNDDOWN((O$70-$B85)/$D$33,0)&lt;1,0,IF(ROUNDDOWN((O$70-$B85)/$D$33,0)&lt;2,0.5,IF(ROUNDDOWN((O$70-$B85)/$D$33,0)&lt;3,0.75,IF(ROUNDDOWN((O$70-$B85)/$D$33,0)&lt;4,0.875,0.9375)))))+HLOOKUP($B85,$C$70:$Q$71,2,FALSE)*$C$34*(1-IF(ROUNDDOWN((O$70-$B85)/$D$34,0)&lt;1,0,IF(ROUNDDOWN((O$70-$B85)/$D$34,0)&lt;2,0.5,IF(ROUNDDOWN((O$70-$B85)/$D$34,0)&lt;3,0.75,IF(ROUNDDOWN((O$70-$B85)/$D$34,0)&lt;4,0.875,0.9375)))))+HLOOKUP($B85,$C$70:$Q$71,2,FALSE)*$C$35*(1-IF(ROUNDDOWN((O$70-$B85)/$D$35,0)&lt;1,0,IF(ROUNDDOWN((O$70-$B85)/$D$35,0)&lt;2,0.5,IF(ROUNDDOWN((O$70-$B85)/$D$35,0)&lt;3,0.75,IF(ROUNDDOWN((O$70-$B85)/$D$35,0)&lt;4,0.875,0.9375)))))+HLOOKUP($B85,$C$70:$Q$71,2,FALSE)*$C$36*(1-IF(ROUNDDOWN((O$70-$B85)/$D$36,0)&lt;1,0,IF(ROUNDDOWN((O$70-$B85)/$D$36,0)&lt;2,0.5,IF(ROUNDDOWN((O$70-$B85)/$D$36,0)&lt;3,0.75,IF(ROUNDDOWN((O$70-$B85)/$D$36,0)&lt;4,0.875,0.9375)))))+HLOOKUP($B85,$C$70:$Q$71,2,FALSE)*$C$37*(1-IF(ROUNDDOWN((O$70-$B85)/$D$37,0)&lt;1,0,IF(ROUNDDOWN((O$70-$B85)/$D$37,0)&lt;2,0.5,IF(ROUNDDOWN((O$70-$B85)/$D$37,0)&lt;3,0.75,IF(ROUNDDOWN((O$70-$B85)/$D$37,0)&lt;4,0.875,0.9375)))))</f>
        <v>1.7319650400000004E-2</v>
      </c>
      <c r="P85" s="293">
        <f>HLOOKUP($B85,$C$70:$Q$71,2,FALSE)*$C$32*(1-IF(ROUNDDOWN((P$70-$B85)/$D$32,0)&lt;1,0,IF(ROUNDDOWN((P$70-$B85)/$D$32,0)&lt;2,0.5,IF(ROUNDDOWN((P$70-$B85)/$D$32,0)&lt;3,0.75,IF(ROUNDDOWN((P$70-$B85)/$D$32,0)&lt;4,0.875,0.9375)))))+HLOOKUP($B85,$C$70:$Q$71,2,FALSE)*$C$33*(1-IF(ROUNDDOWN((P$70-$B85)/$D$33,0)&lt;1,0,IF(ROUNDDOWN((P$70-$B85)/$D$33,0)&lt;2,0.5,IF(ROUNDDOWN((P$70-$B85)/$D$33,0)&lt;3,0.75,IF(ROUNDDOWN((P$70-$B85)/$D$33,0)&lt;4,0.875,0.9375)))))+HLOOKUP($B85,$C$70:$Q$71,2,FALSE)*$C$34*(1-IF(ROUNDDOWN((P$70-$B85)/$D$34,0)&lt;1,0,IF(ROUNDDOWN((P$70-$B85)/$D$34,0)&lt;2,0.5,IF(ROUNDDOWN((P$70-$B85)/$D$34,0)&lt;3,0.75,IF(ROUNDDOWN((P$70-$B85)/$D$34,0)&lt;4,0.875,0.9375)))))+HLOOKUP($B85,$C$70:$Q$71,2,FALSE)*$C$35*(1-IF(ROUNDDOWN((P$70-$B85)/$D$35,0)&lt;1,0,IF(ROUNDDOWN((P$70-$B85)/$D$35,0)&lt;2,0.5,IF(ROUNDDOWN((P$70-$B85)/$D$35,0)&lt;3,0.75,IF(ROUNDDOWN((P$70-$B85)/$D$35,0)&lt;4,0.875,0.9375)))))+HLOOKUP($B85,$C$70:$Q$71,2,FALSE)*$C$36*(1-IF(ROUNDDOWN((P$70-$B85)/$D$36,0)&lt;1,0,IF(ROUNDDOWN((P$70-$B85)/$D$36,0)&lt;2,0.5,IF(ROUNDDOWN((P$70-$B85)/$D$36,0)&lt;3,0.75,IF(ROUNDDOWN((P$70-$B85)/$D$36,0)&lt;4,0.875,0.9375)))))+HLOOKUP($B85,$C$70:$Q$71,2,FALSE)*$C$37*(1-IF(ROUNDDOWN((P$70-$B85)/$D$37,0)&lt;1,0,IF(ROUNDDOWN((P$70-$B85)/$D$37,0)&lt;2,0.5,IF(ROUNDDOWN((P$70-$B85)/$D$37,0)&lt;3,0.75,IF(ROUNDDOWN((P$70-$B85)/$D$37,0)&lt;4,0.875,0.9375)))))</f>
        <v>1.7319650400000004E-2</v>
      </c>
      <c r="Q85" s="293">
        <f>HLOOKUP($B85,$C$70:$Q$71,2,FALSE)*$C$32*(1-IF(ROUNDDOWN((Q$70-$B85)/$D$32,0)&lt;1,0,IF(ROUNDDOWN((Q$70-$B85)/$D$32,0)&lt;2,0.5,IF(ROUNDDOWN((Q$70-$B85)/$D$32,0)&lt;3,0.75,IF(ROUNDDOWN((Q$70-$B85)/$D$32,0)&lt;4,0.875,0.9375)))))+HLOOKUP($B85,$C$70:$Q$71,2,FALSE)*$C$33*(1-IF(ROUNDDOWN((Q$70-$B85)/$D$33,0)&lt;1,0,IF(ROUNDDOWN((Q$70-$B85)/$D$33,0)&lt;2,0.5,IF(ROUNDDOWN((Q$70-$B85)/$D$33,0)&lt;3,0.75,IF(ROUNDDOWN((Q$70-$B85)/$D$33,0)&lt;4,0.875,0.9375)))))+HLOOKUP($B85,$C$70:$Q$71,2,FALSE)*$C$34*(1-IF(ROUNDDOWN((Q$70-$B85)/$D$34,0)&lt;1,0,IF(ROUNDDOWN((Q$70-$B85)/$D$34,0)&lt;2,0.5,IF(ROUNDDOWN((Q$70-$B85)/$D$34,0)&lt;3,0.75,IF(ROUNDDOWN((Q$70-$B85)/$D$34,0)&lt;4,0.875,0.9375)))))+HLOOKUP($B85,$C$70:$Q$71,2,FALSE)*$C$35*(1-IF(ROUNDDOWN((Q$70-$B85)/$D$35,0)&lt;1,0,IF(ROUNDDOWN((Q$70-$B85)/$D$35,0)&lt;2,0.5,IF(ROUNDDOWN((Q$70-$B85)/$D$35,0)&lt;3,0.75,IF(ROUNDDOWN((Q$70-$B85)/$D$35,0)&lt;4,0.875,0.9375)))))+HLOOKUP($B85,$C$70:$Q$71,2,FALSE)*$C$36*(1-IF(ROUNDDOWN((Q$70-$B85)/$D$36,0)&lt;1,0,IF(ROUNDDOWN((Q$70-$B85)/$D$36,0)&lt;2,0.5,IF(ROUNDDOWN((Q$70-$B85)/$D$36,0)&lt;3,0.75,IF(ROUNDDOWN((Q$70-$B85)/$D$36,0)&lt;4,0.875,0.9375)))))+HLOOKUP($B85,$C$70:$Q$71,2,FALSE)*$C$37*(1-IF(ROUNDDOWN((Q$70-$B85)/$D$37,0)&lt;1,0,IF(ROUNDDOWN((Q$70-$B85)/$D$37,0)&lt;2,0.5,IF(ROUNDDOWN((Q$70-$B85)/$D$37,0)&lt;3,0.75,IF(ROUNDDOWN((Q$70-$B85)/$D$37,0)&lt;4,0.875,0.9375)))))</f>
        <v>1.6574905432800002E-2</v>
      </c>
      <c r="R85" s="186"/>
    </row>
    <row r="86" spans="2:18" x14ac:dyDescent="0.25">
      <c r="B86" s="352">
        <f t="shared" si="14"/>
        <v>2027</v>
      </c>
      <c r="C86" s="293"/>
      <c r="D86" s="293"/>
      <c r="E86" s="293"/>
      <c r="F86" s="293"/>
      <c r="G86" s="293"/>
      <c r="H86" s="293"/>
      <c r="I86" s="293"/>
      <c r="J86" s="293"/>
      <c r="K86" s="293"/>
      <c r="L86" s="293"/>
      <c r="M86" s="293"/>
      <c r="N86" s="293"/>
      <c r="O86" s="293">
        <f>HLOOKUP($B86,$C$70:$Q$71,2,FALSE)*$C$32*(1-IF(ROUNDDOWN((O$70-$B86)/$D$32,0)&lt;1,0,IF(ROUNDDOWN((O$70-$B86)/$D$32,0)&lt;2,0.5,IF(ROUNDDOWN((O$70-$B86)/$D$32,0)&lt;3,0.75,IF(ROUNDDOWN((O$70-$B86)/$D$32,0)&lt;4,0.875,0.9375)))))+HLOOKUP($B86,$C$70:$Q$71,2,FALSE)*$C$33*(1-IF(ROUNDDOWN((O$70-$B86)/$D$33,0)&lt;1,0,IF(ROUNDDOWN((O$70-$B86)/$D$33,0)&lt;2,0.5,IF(ROUNDDOWN((O$70-$B86)/$D$33,0)&lt;3,0.75,IF(ROUNDDOWN((O$70-$B86)/$D$33,0)&lt;4,0.875,0.9375)))))+HLOOKUP($B86,$C$70:$Q$71,2,FALSE)*$C$34*(1-IF(ROUNDDOWN((O$70-$B86)/$D$34,0)&lt;1,0,IF(ROUNDDOWN((O$70-$B86)/$D$34,0)&lt;2,0.5,IF(ROUNDDOWN((O$70-$B86)/$D$34,0)&lt;3,0.75,IF(ROUNDDOWN((O$70-$B86)/$D$34,0)&lt;4,0.875,0.9375)))))+HLOOKUP($B86,$C$70:$Q$71,2,FALSE)*$C$35*(1-IF(ROUNDDOWN((O$70-$B86)/$D$35,0)&lt;1,0,IF(ROUNDDOWN((O$70-$B86)/$D$35,0)&lt;2,0.5,IF(ROUNDDOWN((O$70-$B86)/$D$35,0)&lt;3,0.75,IF(ROUNDDOWN((O$70-$B86)/$D$35,0)&lt;4,0.875,0.9375)))))+HLOOKUP($B86,$C$70:$Q$71,2,FALSE)*$C$36*(1-IF(ROUNDDOWN((O$70-$B86)/$D$36,0)&lt;1,0,IF(ROUNDDOWN((O$70-$B86)/$D$36,0)&lt;2,0.5,IF(ROUNDDOWN((O$70-$B86)/$D$36,0)&lt;3,0.75,IF(ROUNDDOWN((O$70-$B86)/$D$36,0)&lt;4,0.875,0.9375)))))+HLOOKUP($B86,$C$70:$Q$71,2,FALSE)*$C$37*(1-IF(ROUNDDOWN((O$70-$B86)/$D$37,0)&lt;1,0,IF(ROUNDDOWN((O$70-$B86)/$D$37,0)&lt;2,0.5,IF(ROUNDDOWN((O$70-$B86)/$D$37,0)&lt;3,0.75,IF(ROUNDDOWN((O$70-$B86)/$D$37,0)&lt;4,0.875,0.9375)))))</f>
        <v>1.7319650400000004E-2</v>
      </c>
      <c r="P86" s="293">
        <f>HLOOKUP($B86,$C$70:$Q$71,2,FALSE)*$C$32*(1-IF(ROUNDDOWN((P$70-$B86)/$D$32,0)&lt;1,0,IF(ROUNDDOWN((P$70-$B86)/$D$32,0)&lt;2,0.5,IF(ROUNDDOWN((P$70-$B86)/$D$32,0)&lt;3,0.75,IF(ROUNDDOWN((P$70-$B86)/$D$32,0)&lt;4,0.875,0.9375)))))+HLOOKUP($B86,$C$70:$Q$71,2,FALSE)*$C$33*(1-IF(ROUNDDOWN((P$70-$B86)/$D$33,0)&lt;1,0,IF(ROUNDDOWN((P$70-$B86)/$D$33,0)&lt;2,0.5,IF(ROUNDDOWN((P$70-$B86)/$D$33,0)&lt;3,0.75,IF(ROUNDDOWN((P$70-$B86)/$D$33,0)&lt;4,0.875,0.9375)))))+HLOOKUP($B86,$C$70:$Q$71,2,FALSE)*$C$34*(1-IF(ROUNDDOWN((P$70-$B86)/$D$34,0)&lt;1,0,IF(ROUNDDOWN((P$70-$B86)/$D$34,0)&lt;2,0.5,IF(ROUNDDOWN((P$70-$B86)/$D$34,0)&lt;3,0.75,IF(ROUNDDOWN((P$70-$B86)/$D$34,0)&lt;4,0.875,0.9375)))))+HLOOKUP($B86,$C$70:$Q$71,2,FALSE)*$C$35*(1-IF(ROUNDDOWN((P$70-$B86)/$D$35,0)&lt;1,0,IF(ROUNDDOWN((P$70-$B86)/$D$35,0)&lt;2,0.5,IF(ROUNDDOWN((P$70-$B86)/$D$35,0)&lt;3,0.75,IF(ROUNDDOWN((P$70-$B86)/$D$35,0)&lt;4,0.875,0.9375)))))+HLOOKUP($B86,$C$70:$Q$71,2,FALSE)*$C$36*(1-IF(ROUNDDOWN((P$70-$B86)/$D$36,0)&lt;1,0,IF(ROUNDDOWN((P$70-$B86)/$D$36,0)&lt;2,0.5,IF(ROUNDDOWN((P$70-$B86)/$D$36,0)&lt;3,0.75,IF(ROUNDDOWN((P$70-$B86)/$D$36,0)&lt;4,0.875,0.9375)))))+HLOOKUP($B86,$C$70:$Q$71,2,FALSE)*$C$37*(1-IF(ROUNDDOWN((P$70-$B86)/$D$37,0)&lt;1,0,IF(ROUNDDOWN((P$70-$B86)/$D$37,0)&lt;2,0.5,IF(ROUNDDOWN((P$70-$B86)/$D$37,0)&lt;3,0.75,IF(ROUNDDOWN((P$70-$B86)/$D$37,0)&lt;4,0.875,0.9375)))))</f>
        <v>1.7319650400000004E-2</v>
      </c>
      <c r="Q86" s="293">
        <f>HLOOKUP($B86,$C$70:$Q$71,2,FALSE)*$C$32*(1-IF(ROUNDDOWN((Q$70-$B86)/$D$32,0)&lt;1,0,IF(ROUNDDOWN((Q$70-$B86)/$D$32,0)&lt;2,0.5,IF(ROUNDDOWN((Q$70-$B86)/$D$32,0)&lt;3,0.75,IF(ROUNDDOWN((Q$70-$B86)/$D$32,0)&lt;4,0.875,0.9375)))))+HLOOKUP($B86,$C$70:$Q$71,2,FALSE)*$C$33*(1-IF(ROUNDDOWN((Q$70-$B86)/$D$33,0)&lt;1,0,IF(ROUNDDOWN((Q$70-$B86)/$D$33,0)&lt;2,0.5,IF(ROUNDDOWN((Q$70-$B86)/$D$33,0)&lt;3,0.75,IF(ROUNDDOWN((Q$70-$B86)/$D$33,0)&lt;4,0.875,0.9375)))))+HLOOKUP($B86,$C$70:$Q$71,2,FALSE)*$C$34*(1-IF(ROUNDDOWN((Q$70-$B86)/$D$34,0)&lt;1,0,IF(ROUNDDOWN((Q$70-$B86)/$D$34,0)&lt;2,0.5,IF(ROUNDDOWN((Q$70-$B86)/$D$34,0)&lt;3,0.75,IF(ROUNDDOWN((Q$70-$B86)/$D$34,0)&lt;4,0.875,0.9375)))))+HLOOKUP($B86,$C$70:$Q$71,2,FALSE)*$C$35*(1-IF(ROUNDDOWN((Q$70-$B86)/$D$35,0)&lt;1,0,IF(ROUNDDOWN((Q$70-$B86)/$D$35,0)&lt;2,0.5,IF(ROUNDDOWN((Q$70-$B86)/$D$35,0)&lt;3,0.75,IF(ROUNDDOWN((Q$70-$B86)/$D$35,0)&lt;4,0.875,0.9375)))))+HLOOKUP($B86,$C$70:$Q$71,2,FALSE)*$C$36*(1-IF(ROUNDDOWN((Q$70-$B86)/$D$36,0)&lt;1,0,IF(ROUNDDOWN((Q$70-$B86)/$D$36,0)&lt;2,0.5,IF(ROUNDDOWN((Q$70-$B86)/$D$36,0)&lt;3,0.75,IF(ROUNDDOWN((Q$70-$B86)/$D$36,0)&lt;4,0.875,0.9375)))))+HLOOKUP($B86,$C$70:$Q$71,2,FALSE)*$C$37*(1-IF(ROUNDDOWN((Q$70-$B86)/$D$37,0)&lt;1,0,IF(ROUNDDOWN((Q$70-$B86)/$D$37,0)&lt;2,0.5,IF(ROUNDDOWN((Q$70-$B86)/$D$37,0)&lt;3,0.75,IF(ROUNDDOWN((Q$70-$B86)/$D$37,0)&lt;4,0.875,0.9375)))))</f>
        <v>1.7319650400000004E-2</v>
      </c>
      <c r="R86" s="186"/>
    </row>
    <row r="87" spans="2:18" x14ac:dyDescent="0.25">
      <c r="B87" s="352">
        <f t="shared" si="14"/>
        <v>2028</v>
      </c>
      <c r="C87" s="293"/>
      <c r="D87" s="293"/>
      <c r="E87" s="293"/>
      <c r="F87" s="293"/>
      <c r="G87" s="293"/>
      <c r="H87" s="293"/>
      <c r="I87" s="293"/>
      <c r="J87" s="293"/>
      <c r="K87" s="293"/>
      <c r="L87" s="293"/>
      <c r="M87" s="293"/>
      <c r="N87" s="293"/>
      <c r="O87" s="293"/>
      <c r="P87" s="293">
        <f>HLOOKUP($B87,$C$70:$Q$71,2,FALSE)*$C$32*(1-IF(ROUNDDOWN((P$70-$B87)/$D$32,0)&lt;1,0,IF(ROUNDDOWN((P$70-$B87)/$D$32,0)&lt;2,0.5,IF(ROUNDDOWN((P$70-$B87)/$D$32,0)&lt;3,0.75,IF(ROUNDDOWN((P$70-$B87)/$D$32,0)&lt;4,0.875,0.9375)))))+HLOOKUP($B87,$C$70:$Q$71,2,FALSE)*$C$33*(1-IF(ROUNDDOWN((P$70-$B87)/$D$33,0)&lt;1,0,IF(ROUNDDOWN((P$70-$B87)/$D$33,0)&lt;2,0.5,IF(ROUNDDOWN((P$70-$B87)/$D$33,0)&lt;3,0.75,IF(ROUNDDOWN((P$70-$B87)/$D$33,0)&lt;4,0.875,0.9375)))))+HLOOKUP($B87,$C$70:$Q$71,2,FALSE)*$C$34*(1-IF(ROUNDDOWN((P$70-$B87)/$D$34,0)&lt;1,0,IF(ROUNDDOWN((P$70-$B87)/$D$34,0)&lt;2,0.5,IF(ROUNDDOWN((P$70-$B87)/$D$34,0)&lt;3,0.75,IF(ROUNDDOWN((P$70-$B87)/$D$34,0)&lt;4,0.875,0.9375)))))+HLOOKUP($B87,$C$70:$Q$71,2,FALSE)*$C$35*(1-IF(ROUNDDOWN((P$70-$B87)/$D$35,0)&lt;1,0,IF(ROUNDDOWN((P$70-$B87)/$D$35,0)&lt;2,0.5,IF(ROUNDDOWN((P$70-$B87)/$D$35,0)&lt;3,0.75,IF(ROUNDDOWN((P$70-$B87)/$D$35,0)&lt;4,0.875,0.9375)))))+HLOOKUP($B87,$C$70:$Q$71,2,FALSE)*$C$36*(1-IF(ROUNDDOWN((P$70-$B87)/$D$36,0)&lt;1,0,IF(ROUNDDOWN((P$70-$B87)/$D$36,0)&lt;2,0.5,IF(ROUNDDOWN((P$70-$B87)/$D$36,0)&lt;3,0.75,IF(ROUNDDOWN((P$70-$B87)/$D$36,0)&lt;4,0.875,0.9375)))))+HLOOKUP($B87,$C$70:$Q$71,2,FALSE)*$C$37*(1-IF(ROUNDDOWN((P$70-$B87)/$D$37,0)&lt;1,0,IF(ROUNDDOWN((P$70-$B87)/$D$37,0)&lt;2,0.5,IF(ROUNDDOWN((P$70-$B87)/$D$37,0)&lt;3,0.75,IF(ROUNDDOWN((P$70-$B87)/$D$37,0)&lt;4,0.875,0.9375)))))</f>
        <v>1.7319650400000004E-2</v>
      </c>
      <c r="Q87" s="293">
        <f>HLOOKUP($B87,$C$70:$Q$71,2,FALSE)*$C$32*(1-IF(ROUNDDOWN((Q$70-$B87)/$D$32,0)&lt;1,0,IF(ROUNDDOWN((Q$70-$B87)/$D$32,0)&lt;2,0.5,IF(ROUNDDOWN((Q$70-$B87)/$D$32,0)&lt;3,0.75,IF(ROUNDDOWN((Q$70-$B87)/$D$32,0)&lt;4,0.875,0.9375)))))+HLOOKUP($B87,$C$70:$Q$71,2,FALSE)*$C$33*(1-IF(ROUNDDOWN((Q$70-$B87)/$D$33,0)&lt;1,0,IF(ROUNDDOWN((Q$70-$B87)/$D$33,0)&lt;2,0.5,IF(ROUNDDOWN((Q$70-$B87)/$D$33,0)&lt;3,0.75,IF(ROUNDDOWN((Q$70-$B87)/$D$33,0)&lt;4,0.875,0.9375)))))+HLOOKUP($B87,$C$70:$Q$71,2,FALSE)*$C$34*(1-IF(ROUNDDOWN((Q$70-$B87)/$D$34,0)&lt;1,0,IF(ROUNDDOWN((Q$70-$B87)/$D$34,0)&lt;2,0.5,IF(ROUNDDOWN((Q$70-$B87)/$D$34,0)&lt;3,0.75,IF(ROUNDDOWN((Q$70-$B87)/$D$34,0)&lt;4,0.875,0.9375)))))+HLOOKUP($B87,$C$70:$Q$71,2,FALSE)*$C$35*(1-IF(ROUNDDOWN((Q$70-$B87)/$D$35,0)&lt;1,0,IF(ROUNDDOWN((Q$70-$B87)/$D$35,0)&lt;2,0.5,IF(ROUNDDOWN((Q$70-$B87)/$D$35,0)&lt;3,0.75,IF(ROUNDDOWN((Q$70-$B87)/$D$35,0)&lt;4,0.875,0.9375)))))+HLOOKUP($B87,$C$70:$Q$71,2,FALSE)*$C$36*(1-IF(ROUNDDOWN((Q$70-$B87)/$D$36,0)&lt;1,0,IF(ROUNDDOWN((Q$70-$B87)/$D$36,0)&lt;2,0.5,IF(ROUNDDOWN((Q$70-$B87)/$D$36,0)&lt;3,0.75,IF(ROUNDDOWN((Q$70-$B87)/$D$36,0)&lt;4,0.875,0.9375)))))+HLOOKUP($B87,$C$70:$Q$71,2,FALSE)*$C$37*(1-IF(ROUNDDOWN((Q$70-$B87)/$D$37,0)&lt;1,0,IF(ROUNDDOWN((Q$70-$B87)/$D$37,0)&lt;2,0.5,IF(ROUNDDOWN((Q$70-$B87)/$D$37,0)&lt;3,0.75,IF(ROUNDDOWN((Q$70-$B87)/$D$37,0)&lt;4,0.875,0.9375)))))</f>
        <v>1.7319650400000004E-2</v>
      </c>
      <c r="R87" s="186"/>
    </row>
    <row r="88" spans="2:18" x14ac:dyDescent="0.25">
      <c r="B88" s="352">
        <f t="shared" si="14"/>
        <v>2029</v>
      </c>
      <c r="C88" s="293"/>
      <c r="D88" s="293"/>
      <c r="E88" s="293"/>
      <c r="F88" s="293"/>
      <c r="G88" s="293"/>
      <c r="H88" s="293"/>
      <c r="I88" s="293"/>
      <c r="J88" s="293"/>
      <c r="K88" s="293"/>
      <c r="L88" s="293"/>
      <c r="M88" s="293"/>
      <c r="N88" s="293"/>
      <c r="O88" s="293"/>
      <c r="P88" s="293"/>
      <c r="Q88" s="293">
        <f>HLOOKUP($B88,$C$70:$Q$71,2,FALSE)*$C$32*(1-IF(ROUNDDOWN((Q$70-$B88)/$D$32,0)&lt;1,0,IF(ROUNDDOWN((Q$70-$B88)/$D$32,0)&lt;2,0.5,IF(ROUNDDOWN((Q$70-$B88)/$D$32,0)&lt;3,0.75,IF(ROUNDDOWN((Q$70-$B88)/$D$32,0)&lt;4,0.875,0.9375)))))+HLOOKUP($B88,$C$70:$Q$71,2,FALSE)*$C$33*(1-IF(ROUNDDOWN((Q$70-$B88)/$D$33,0)&lt;1,0,IF(ROUNDDOWN((Q$70-$B88)/$D$33,0)&lt;2,0.5,IF(ROUNDDOWN((Q$70-$B88)/$D$33,0)&lt;3,0.75,IF(ROUNDDOWN((Q$70-$B88)/$D$33,0)&lt;4,0.875,0.9375)))))+HLOOKUP($B88,$C$70:$Q$71,2,FALSE)*$C$34*(1-IF(ROUNDDOWN((Q$70-$B88)/$D$34,0)&lt;1,0,IF(ROUNDDOWN((Q$70-$B88)/$D$34,0)&lt;2,0.5,IF(ROUNDDOWN((Q$70-$B88)/$D$34,0)&lt;3,0.75,IF(ROUNDDOWN((Q$70-$B88)/$D$34,0)&lt;4,0.875,0.9375)))))+HLOOKUP($B88,$C$70:$Q$71,2,FALSE)*$C$35*(1-IF(ROUNDDOWN((Q$70-$B88)/$D$35,0)&lt;1,0,IF(ROUNDDOWN((Q$70-$B88)/$D$35,0)&lt;2,0.5,IF(ROUNDDOWN((Q$70-$B88)/$D$35,0)&lt;3,0.75,IF(ROUNDDOWN((Q$70-$B88)/$D$35,0)&lt;4,0.875,0.9375)))))+HLOOKUP($B88,$C$70:$Q$71,2,FALSE)*$C$36*(1-IF(ROUNDDOWN((Q$70-$B88)/$D$36,0)&lt;1,0,IF(ROUNDDOWN((Q$70-$B88)/$D$36,0)&lt;2,0.5,IF(ROUNDDOWN((Q$70-$B88)/$D$36,0)&lt;3,0.75,IF(ROUNDDOWN((Q$70-$B88)/$D$36,0)&lt;4,0.875,0.9375)))))+HLOOKUP($B88,$C$70:$Q$71,2,FALSE)*$C$37*(1-IF(ROUNDDOWN((Q$70-$B88)/$D$37,0)&lt;1,0,IF(ROUNDDOWN((Q$70-$B88)/$D$37,0)&lt;2,0.5,IF(ROUNDDOWN((Q$70-$B88)/$D$37,0)&lt;3,0.75,IF(ROUNDDOWN((Q$70-$B88)/$D$37,0)&lt;4,0.875,0.9375)))))</f>
        <v>1.7319650400000004E-2</v>
      </c>
      <c r="R88" s="186"/>
    </row>
    <row r="89" spans="2:18" x14ac:dyDescent="0.25">
      <c r="B89" s="352">
        <f t="shared" si="14"/>
        <v>2030</v>
      </c>
      <c r="C89" s="293"/>
      <c r="D89" s="293"/>
      <c r="E89" s="293"/>
      <c r="F89" s="293"/>
      <c r="G89" s="293"/>
      <c r="H89" s="293"/>
      <c r="I89" s="293"/>
      <c r="J89" s="293"/>
      <c r="K89" s="293"/>
      <c r="L89" s="293"/>
      <c r="M89" s="293"/>
      <c r="N89" s="293"/>
      <c r="O89" s="293"/>
      <c r="P89" s="293"/>
      <c r="Q89" s="293"/>
      <c r="R89" s="186"/>
    </row>
    <row r="90" spans="2:18" x14ac:dyDescent="0.25">
      <c r="B90" s="187"/>
      <c r="C90" s="354"/>
      <c r="D90" s="354"/>
      <c r="E90" s="354"/>
      <c r="F90" s="354"/>
      <c r="G90" s="354"/>
      <c r="H90" s="354"/>
      <c r="I90" s="354"/>
      <c r="J90" s="354"/>
      <c r="K90" s="354"/>
      <c r="L90" s="354"/>
      <c r="M90" s="354"/>
      <c r="N90" s="354"/>
      <c r="O90" s="354"/>
      <c r="P90" s="354"/>
      <c r="Q90" s="354"/>
      <c r="R90" s="186"/>
    </row>
    <row r="91" spans="2:18" x14ac:dyDescent="0.25">
      <c r="B91" s="355" t="s">
        <v>1654</v>
      </c>
      <c r="C91" s="356">
        <f t="shared" ref="C91:Q91" si="15">SUM(C74:C89)</f>
        <v>0</v>
      </c>
      <c r="D91" s="356">
        <f t="shared" si="15"/>
        <v>0</v>
      </c>
      <c r="E91" s="356">
        <f t="shared" si="15"/>
        <v>0</v>
      </c>
      <c r="F91" s="356">
        <f t="shared" si="15"/>
        <v>0</v>
      </c>
      <c r="G91" s="356">
        <f t="shared" si="15"/>
        <v>1.7319650400000004E-2</v>
      </c>
      <c r="H91" s="356">
        <f t="shared" si="15"/>
        <v>3.4639300800000009E-2</v>
      </c>
      <c r="I91" s="356">
        <f t="shared" si="15"/>
        <v>5.1958951200000013E-2</v>
      </c>
      <c r="J91" s="356">
        <f t="shared" si="15"/>
        <v>6.8533856632800011E-2</v>
      </c>
      <c r="K91" s="356">
        <f t="shared" si="15"/>
        <v>8.5108762065600002E-2</v>
      </c>
      <c r="L91" s="356">
        <f t="shared" si="15"/>
        <v>0.10168366749839999</v>
      </c>
      <c r="M91" s="356">
        <f t="shared" si="15"/>
        <v>0.11788620044760001</v>
      </c>
      <c r="N91" s="356">
        <f t="shared" si="15"/>
        <v>0.13408873339680003</v>
      </c>
      <c r="O91" s="356">
        <f t="shared" si="15"/>
        <v>0.14959848033000001</v>
      </c>
      <c r="P91" s="356">
        <f t="shared" si="15"/>
        <v>0.16492204102140001</v>
      </c>
      <c r="Q91" s="356">
        <f t="shared" si="15"/>
        <v>0.17955281569680001</v>
      </c>
      <c r="R91" s="186"/>
    </row>
    <row r="92" spans="2:18" ht="15.75" thickBot="1" x14ac:dyDescent="0.3">
      <c r="B92" s="193"/>
      <c r="C92" s="194"/>
      <c r="D92" s="194"/>
      <c r="E92" s="194"/>
      <c r="F92" s="194"/>
      <c r="G92" s="194"/>
      <c r="H92" s="194"/>
      <c r="I92" s="194"/>
      <c r="J92" s="194"/>
      <c r="K92" s="194"/>
      <c r="L92" s="194"/>
      <c r="M92" s="194"/>
      <c r="N92" s="194"/>
      <c r="O92" s="194"/>
      <c r="P92" s="194"/>
      <c r="Q92" s="194"/>
      <c r="R92" s="195"/>
    </row>
  </sheetData>
  <mergeCells count="1">
    <mergeCell ref="F32:O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P349"/>
  <sheetViews>
    <sheetView topLeftCell="K1" zoomScaleNormal="100" workbookViewId="0">
      <selection activeCell="R20" sqref="R20"/>
    </sheetView>
  </sheetViews>
  <sheetFormatPr defaultColWidth="9.140625" defaultRowHeight="12.75" x14ac:dyDescent="0.2"/>
  <cols>
    <col min="1" max="1" width="16.85546875" style="11" customWidth="1"/>
    <col min="2" max="2" width="16.85546875" style="12" customWidth="1"/>
    <col min="3" max="3" width="16.85546875" style="13" customWidth="1"/>
    <col min="4" max="4" width="37.85546875" style="13" customWidth="1"/>
    <col min="5" max="6" width="12.140625" style="14" customWidth="1"/>
    <col min="7" max="7" width="13.85546875" style="15" customWidth="1"/>
    <col min="8" max="8" width="12.140625" style="15" customWidth="1"/>
    <col min="9" max="10" width="12.140625" style="16" customWidth="1"/>
    <col min="11" max="11" width="14.140625" style="13" bestFit="1" customWidth="1"/>
    <col min="12" max="12" width="15" style="13" bestFit="1" customWidth="1"/>
    <col min="13" max="13" width="18.7109375" style="13" customWidth="1"/>
    <col min="14" max="14" width="17.28515625" style="13" customWidth="1"/>
    <col min="15" max="15" width="18.140625" style="13" customWidth="1"/>
    <col min="16" max="17" width="13.140625" style="13" bestFit="1" customWidth="1"/>
    <col min="18" max="18" width="14.140625" style="13" bestFit="1" customWidth="1"/>
    <col min="19" max="20" width="13.140625" style="13" bestFit="1" customWidth="1"/>
    <col min="21" max="41" width="14.28515625" style="13" bestFit="1" customWidth="1"/>
    <col min="42" max="257" width="9.140625" style="13"/>
    <col min="258" max="260" width="16.85546875" style="13" customWidth="1"/>
    <col min="261" max="261" width="37.85546875" style="13" customWidth="1"/>
    <col min="262" max="263" width="12.140625" style="13" customWidth="1"/>
    <col min="264" max="264" width="13.85546875" style="13" customWidth="1"/>
    <col min="265" max="266" width="12.140625" style="13" customWidth="1"/>
    <col min="267" max="267" width="13.85546875" style="13" bestFit="1" customWidth="1"/>
    <col min="268" max="513" width="9.140625" style="13"/>
    <col min="514" max="516" width="16.85546875" style="13" customWidth="1"/>
    <col min="517" max="517" width="37.85546875" style="13" customWidth="1"/>
    <col min="518" max="519" width="12.140625" style="13" customWidth="1"/>
    <col min="520" max="520" width="13.85546875" style="13" customWidth="1"/>
    <col min="521" max="522" width="12.140625" style="13" customWidth="1"/>
    <col min="523" max="523" width="13.85546875" style="13" bestFit="1" customWidth="1"/>
    <col min="524" max="769" width="9.140625" style="13"/>
    <col min="770" max="772" width="16.85546875" style="13" customWidth="1"/>
    <col min="773" max="773" width="37.85546875" style="13" customWidth="1"/>
    <col min="774" max="775" width="12.140625" style="13" customWidth="1"/>
    <col min="776" max="776" width="13.85546875" style="13" customWidth="1"/>
    <col min="777" max="778" width="12.140625" style="13" customWidth="1"/>
    <col min="779" max="779" width="13.85546875" style="13" bestFit="1" customWidth="1"/>
    <col min="780" max="1025" width="9.140625" style="13"/>
    <col min="1026" max="1028" width="16.85546875" style="13" customWidth="1"/>
    <col min="1029" max="1029" width="37.85546875" style="13" customWidth="1"/>
    <col min="1030" max="1031" width="12.140625" style="13" customWidth="1"/>
    <col min="1032" max="1032" width="13.85546875" style="13" customWidth="1"/>
    <col min="1033" max="1034" width="12.140625" style="13" customWidth="1"/>
    <col min="1035" max="1035" width="13.85546875" style="13" bestFit="1" customWidth="1"/>
    <col min="1036" max="1281" width="9.140625" style="13"/>
    <col min="1282" max="1284" width="16.85546875" style="13" customWidth="1"/>
    <col min="1285" max="1285" width="37.85546875" style="13" customWidth="1"/>
    <col min="1286" max="1287" width="12.140625" style="13" customWidth="1"/>
    <col min="1288" max="1288" width="13.85546875" style="13" customWidth="1"/>
    <col min="1289" max="1290" width="12.140625" style="13" customWidth="1"/>
    <col min="1291" max="1291" width="13.85546875" style="13" bestFit="1" customWidth="1"/>
    <col min="1292" max="1537" width="9.140625" style="13"/>
    <col min="1538" max="1540" width="16.85546875" style="13" customWidth="1"/>
    <col min="1541" max="1541" width="37.85546875" style="13" customWidth="1"/>
    <col min="1542" max="1543" width="12.140625" style="13" customWidth="1"/>
    <col min="1544" max="1544" width="13.85546875" style="13" customWidth="1"/>
    <col min="1545" max="1546" width="12.140625" style="13" customWidth="1"/>
    <col min="1547" max="1547" width="13.85546875" style="13" bestFit="1" customWidth="1"/>
    <col min="1548" max="1793" width="9.140625" style="13"/>
    <col min="1794" max="1796" width="16.85546875" style="13" customWidth="1"/>
    <col min="1797" max="1797" width="37.85546875" style="13" customWidth="1"/>
    <col min="1798" max="1799" width="12.140625" style="13" customWidth="1"/>
    <col min="1800" max="1800" width="13.85546875" style="13" customWidth="1"/>
    <col min="1801" max="1802" width="12.140625" style="13" customWidth="1"/>
    <col min="1803" max="1803" width="13.85546875" style="13" bestFit="1" customWidth="1"/>
    <col min="1804" max="2049" width="9.140625" style="13"/>
    <col min="2050" max="2052" width="16.85546875" style="13" customWidth="1"/>
    <col min="2053" max="2053" width="37.85546875" style="13" customWidth="1"/>
    <col min="2054" max="2055" width="12.140625" style="13" customWidth="1"/>
    <col min="2056" max="2056" width="13.85546875" style="13" customWidth="1"/>
    <col min="2057" max="2058" width="12.140625" style="13" customWidth="1"/>
    <col min="2059" max="2059" width="13.85546875" style="13" bestFit="1" customWidth="1"/>
    <col min="2060" max="2305" width="9.140625" style="13"/>
    <col min="2306" max="2308" width="16.85546875" style="13" customWidth="1"/>
    <col min="2309" max="2309" width="37.85546875" style="13" customWidth="1"/>
    <col min="2310" max="2311" width="12.140625" style="13" customWidth="1"/>
    <col min="2312" max="2312" width="13.85546875" style="13" customWidth="1"/>
    <col min="2313" max="2314" width="12.140625" style="13" customWidth="1"/>
    <col min="2315" max="2315" width="13.85546875" style="13" bestFit="1" customWidth="1"/>
    <col min="2316" max="2561" width="9.140625" style="13"/>
    <col min="2562" max="2564" width="16.85546875" style="13" customWidth="1"/>
    <col min="2565" max="2565" width="37.85546875" style="13" customWidth="1"/>
    <col min="2566" max="2567" width="12.140625" style="13" customWidth="1"/>
    <col min="2568" max="2568" width="13.85546875" style="13" customWidth="1"/>
    <col min="2569" max="2570" width="12.140625" style="13" customWidth="1"/>
    <col min="2571" max="2571" width="13.85546875" style="13" bestFit="1" customWidth="1"/>
    <col min="2572" max="2817" width="9.140625" style="13"/>
    <col min="2818" max="2820" width="16.85546875" style="13" customWidth="1"/>
    <col min="2821" max="2821" width="37.85546875" style="13" customWidth="1"/>
    <col min="2822" max="2823" width="12.140625" style="13" customWidth="1"/>
    <col min="2824" max="2824" width="13.85546875" style="13" customWidth="1"/>
    <col min="2825" max="2826" width="12.140625" style="13" customWidth="1"/>
    <col min="2827" max="2827" width="13.85546875" style="13" bestFit="1" customWidth="1"/>
    <col min="2828" max="3073" width="9.140625" style="13"/>
    <col min="3074" max="3076" width="16.85546875" style="13" customWidth="1"/>
    <col min="3077" max="3077" width="37.85546875" style="13" customWidth="1"/>
    <col min="3078" max="3079" width="12.140625" style="13" customWidth="1"/>
    <col min="3080" max="3080" width="13.85546875" style="13" customWidth="1"/>
    <col min="3081" max="3082" width="12.140625" style="13" customWidth="1"/>
    <col min="3083" max="3083" width="13.85546875" style="13" bestFit="1" customWidth="1"/>
    <col min="3084" max="3329" width="9.140625" style="13"/>
    <col min="3330" max="3332" width="16.85546875" style="13" customWidth="1"/>
    <col min="3333" max="3333" width="37.85546875" style="13" customWidth="1"/>
    <col min="3334" max="3335" width="12.140625" style="13" customWidth="1"/>
    <col min="3336" max="3336" width="13.85546875" style="13" customWidth="1"/>
    <col min="3337" max="3338" width="12.140625" style="13" customWidth="1"/>
    <col min="3339" max="3339" width="13.85546875" style="13" bestFit="1" customWidth="1"/>
    <col min="3340" max="3585" width="9.140625" style="13"/>
    <col min="3586" max="3588" width="16.85546875" style="13" customWidth="1"/>
    <col min="3589" max="3589" width="37.85546875" style="13" customWidth="1"/>
    <col min="3590" max="3591" width="12.140625" style="13" customWidth="1"/>
    <col min="3592" max="3592" width="13.85546875" style="13" customWidth="1"/>
    <col min="3593" max="3594" width="12.140625" style="13" customWidth="1"/>
    <col min="3595" max="3595" width="13.85546875" style="13" bestFit="1" customWidth="1"/>
    <col min="3596" max="3841" width="9.140625" style="13"/>
    <col min="3842" max="3844" width="16.85546875" style="13" customWidth="1"/>
    <col min="3845" max="3845" width="37.85546875" style="13" customWidth="1"/>
    <col min="3846" max="3847" width="12.140625" style="13" customWidth="1"/>
    <col min="3848" max="3848" width="13.85546875" style="13" customWidth="1"/>
    <col min="3849" max="3850" width="12.140625" style="13" customWidth="1"/>
    <col min="3851" max="3851" width="13.85546875" style="13" bestFit="1" customWidth="1"/>
    <col min="3852" max="4097" width="9.140625" style="13"/>
    <col min="4098" max="4100" width="16.85546875" style="13" customWidth="1"/>
    <col min="4101" max="4101" width="37.85546875" style="13" customWidth="1"/>
    <col min="4102" max="4103" width="12.140625" style="13" customWidth="1"/>
    <col min="4104" max="4104" width="13.85546875" style="13" customWidth="1"/>
    <col min="4105" max="4106" width="12.140625" style="13" customWidth="1"/>
    <col min="4107" max="4107" width="13.85546875" style="13" bestFit="1" customWidth="1"/>
    <col min="4108" max="4353" width="9.140625" style="13"/>
    <col min="4354" max="4356" width="16.85546875" style="13" customWidth="1"/>
    <col min="4357" max="4357" width="37.85546875" style="13" customWidth="1"/>
    <col min="4358" max="4359" width="12.140625" style="13" customWidth="1"/>
    <col min="4360" max="4360" width="13.85546875" style="13" customWidth="1"/>
    <col min="4361" max="4362" width="12.140625" style="13" customWidth="1"/>
    <col min="4363" max="4363" width="13.85546875" style="13" bestFit="1" customWidth="1"/>
    <col min="4364" max="4609" width="9.140625" style="13"/>
    <col min="4610" max="4612" width="16.85546875" style="13" customWidth="1"/>
    <col min="4613" max="4613" width="37.85546875" style="13" customWidth="1"/>
    <col min="4614" max="4615" width="12.140625" style="13" customWidth="1"/>
    <col min="4616" max="4616" width="13.85546875" style="13" customWidth="1"/>
    <col min="4617" max="4618" width="12.140625" style="13" customWidth="1"/>
    <col min="4619" max="4619" width="13.85546875" style="13" bestFit="1" customWidth="1"/>
    <col min="4620" max="4865" width="9.140625" style="13"/>
    <col min="4866" max="4868" width="16.85546875" style="13" customWidth="1"/>
    <col min="4869" max="4869" width="37.85546875" style="13" customWidth="1"/>
    <col min="4870" max="4871" width="12.140625" style="13" customWidth="1"/>
    <col min="4872" max="4872" width="13.85546875" style="13" customWidth="1"/>
    <col min="4873" max="4874" width="12.140625" style="13" customWidth="1"/>
    <col min="4875" max="4875" width="13.85546875" style="13" bestFit="1" customWidth="1"/>
    <col min="4876" max="5121" width="9.140625" style="13"/>
    <col min="5122" max="5124" width="16.85546875" style="13" customWidth="1"/>
    <col min="5125" max="5125" width="37.85546875" style="13" customWidth="1"/>
    <col min="5126" max="5127" width="12.140625" style="13" customWidth="1"/>
    <col min="5128" max="5128" width="13.85546875" style="13" customWidth="1"/>
    <col min="5129" max="5130" width="12.140625" style="13" customWidth="1"/>
    <col min="5131" max="5131" width="13.85546875" style="13" bestFit="1" customWidth="1"/>
    <col min="5132" max="5377" width="9.140625" style="13"/>
    <col min="5378" max="5380" width="16.85546875" style="13" customWidth="1"/>
    <col min="5381" max="5381" width="37.85546875" style="13" customWidth="1"/>
    <col min="5382" max="5383" width="12.140625" style="13" customWidth="1"/>
    <col min="5384" max="5384" width="13.85546875" style="13" customWidth="1"/>
    <col min="5385" max="5386" width="12.140625" style="13" customWidth="1"/>
    <col min="5387" max="5387" width="13.85546875" style="13" bestFit="1" customWidth="1"/>
    <col min="5388" max="5633" width="9.140625" style="13"/>
    <col min="5634" max="5636" width="16.85546875" style="13" customWidth="1"/>
    <col min="5637" max="5637" width="37.85546875" style="13" customWidth="1"/>
    <col min="5638" max="5639" width="12.140625" style="13" customWidth="1"/>
    <col min="5640" max="5640" width="13.85546875" style="13" customWidth="1"/>
    <col min="5641" max="5642" width="12.140625" style="13" customWidth="1"/>
    <col min="5643" max="5643" width="13.85546875" style="13" bestFit="1" customWidth="1"/>
    <col min="5644" max="5889" width="9.140625" style="13"/>
    <col min="5890" max="5892" width="16.85546875" style="13" customWidth="1"/>
    <col min="5893" max="5893" width="37.85546875" style="13" customWidth="1"/>
    <col min="5894" max="5895" width="12.140625" style="13" customWidth="1"/>
    <col min="5896" max="5896" width="13.85546875" style="13" customWidth="1"/>
    <col min="5897" max="5898" width="12.140625" style="13" customWidth="1"/>
    <col min="5899" max="5899" width="13.85546875" style="13" bestFit="1" customWidth="1"/>
    <col min="5900" max="6145" width="9.140625" style="13"/>
    <col min="6146" max="6148" width="16.85546875" style="13" customWidth="1"/>
    <col min="6149" max="6149" width="37.85546875" style="13" customWidth="1"/>
    <col min="6150" max="6151" width="12.140625" style="13" customWidth="1"/>
    <col min="6152" max="6152" width="13.85546875" style="13" customWidth="1"/>
    <col min="6153" max="6154" width="12.140625" style="13" customWidth="1"/>
    <col min="6155" max="6155" width="13.85546875" style="13" bestFit="1" customWidth="1"/>
    <col min="6156" max="6401" width="9.140625" style="13"/>
    <col min="6402" max="6404" width="16.85546875" style="13" customWidth="1"/>
    <col min="6405" max="6405" width="37.85546875" style="13" customWidth="1"/>
    <col min="6406" max="6407" width="12.140625" style="13" customWidth="1"/>
    <col min="6408" max="6408" width="13.85546875" style="13" customWidth="1"/>
    <col min="6409" max="6410" width="12.140625" style="13" customWidth="1"/>
    <col min="6411" max="6411" width="13.85546875" style="13" bestFit="1" customWidth="1"/>
    <col min="6412" max="6657" width="9.140625" style="13"/>
    <col min="6658" max="6660" width="16.85546875" style="13" customWidth="1"/>
    <col min="6661" max="6661" width="37.85546875" style="13" customWidth="1"/>
    <col min="6662" max="6663" width="12.140625" style="13" customWidth="1"/>
    <col min="6664" max="6664" width="13.85546875" style="13" customWidth="1"/>
    <col min="6665" max="6666" width="12.140625" style="13" customWidth="1"/>
    <col min="6667" max="6667" width="13.85546875" style="13" bestFit="1" customWidth="1"/>
    <col min="6668" max="6913" width="9.140625" style="13"/>
    <col min="6914" max="6916" width="16.85546875" style="13" customWidth="1"/>
    <col min="6917" max="6917" width="37.85546875" style="13" customWidth="1"/>
    <col min="6918" max="6919" width="12.140625" style="13" customWidth="1"/>
    <col min="6920" max="6920" width="13.85546875" style="13" customWidth="1"/>
    <col min="6921" max="6922" width="12.140625" style="13" customWidth="1"/>
    <col min="6923" max="6923" width="13.85546875" style="13" bestFit="1" customWidth="1"/>
    <col min="6924" max="7169" width="9.140625" style="13"/>
    <col min="7170" max="7172" width="16.85546875" style="13" customWidth="1"/>
    <col min="7173" max="7173" width="37.85546875" style="13" customWidth="1"/>
    <col min="7174" max="7175" width="12.140625" style="13" customWidth="1"/>
    <col min="7176" max="7176" width="13.85546875" style="13" customWidth="1"/>
    <col min="7177" max="7178" width="12.140625" style="13" customWidth="1"/>
    <col min="7179" max="7179" width="13.85546875" style="13" bestFit="1" customWidth="1"/>
    <col min="7180" max="7425" width="9.140625" style="13"/>
    <col min="7426" max="7428" width="16.85546875" style="13" customWidth="1"/>
    <col min="7429" max="7429" width="37.85546875" style="13" customWidth="1"/>
    <col min="7430" max="7431" width="12.140625" style="13" customWidth="1"/>
    <col min="7432" max="7432" width="13.85546875" style="13" customWidth="1"/>
    <col min="7433" max="7434" width="12.140625" style="13" customWidth="1"/>
    <col min="7435" max="7435" width="13.85546875" style="13" bestFit="1" customWidth="1"/>
    <col min="7436" max="7681" width="9.140625" style="13"/>
    <col min="7682" max="7684" width="16.85546875" style="13" customWidth="1"/>
    <col min="7685" max="7685" width="37.85546875" style="13" customWidth="1"/>
    <col min="7686" max="7687" width="12.140625" style="13" customWidth="1"/>
    <col min="7688" max="7688" width="13.85546875" style="13" customWidth="1"/>
    <col min="7689" max="7690" width="12.140625" style="13" customWidth="1"/>
    <col min="7691" max="7691" width="13.85546875" style="13" bestFit="1" customWidth="1"/>
    <col min="7692" max="7937" width="9.140625" style="13"/>
    <col min="7938" max="7940" width="16.85546875" style="13" customWidth="1"/>
    <col min="7941" max="7941" width="37.85546875" style="13" customWidth="1"/>
    <col min="7942" max="7943" width="12.140625" style="13" customWidth="1"/>
    <col min="7944" max="7944" width="13.85546875" style="13" customWidth="1"/>
    <col min="7945" max="7946" width="12.140625" style="13" customWidth="1"/>
    <col min="7947" max="7947" width="13.85546875" style="13" bestFit="1" customWidth="1"/>
    <col min="7948" max="8193" width="9.140625" style="13"/>
    <col min="8194" max="8196" width="16.85546875" style="13" customWidth="1"/>
    <col min="8197" max="8197" width="37.85546875" style="13" customWidth="1"/>
    <col min="8198" max="8199" width="12.140625" style="13" customWidth="1"/>
    <col min="8200" max="8200" width="13.85546875" style="13" customWidth="1"/>
    <col min="8201" max="8202" width="12.140625" style="13" customWidth="1"/>
    <col min="8203" max="8203" width="13.85546875" style="13" bestFit="1" customWidth="1"/>
    <col min="8204" max="8449" width="9.140625" style="13"/>
    <col min="8450" max="8452" width="16.85546875" style="13" customWidth="1"/>
    <col min="8453" max="8453" width="37.85546875" style="13" customWidth="1"/>
    <col min="8454" max="8455" width="12.140625" style="13" customWidth="1"/>
    <col min="8456" max="8456" width="13.85546875" style="13" customWidth="1"/>
    <col min="8457" max="8458" width="12.140625" style="13" customWidth="1"/>
    <col min="8459" max="8459" width="13.85546875" style="13" bestFit="1" customWidth="1"/>
    <col min="8460" max="8705" width="9.140625" style="13"/>
    <col min="8706" max="8708" width="16.85546875" style="13" customWidth="1"/>
    <col min="8709" max="8709" width="37.85546875" style="13" customWidth="1"/>
    <col min="8710" max="8711" width="12.140625" style="13" customWidth="1"/>
    <col min="8712" max="8712" width="13.85546875" style="13" customWidth="1"/>
    <col min="8713" max="8714" width="12.140625" style="13" customWidth="1"/>
    <col min="8715" max="8715" width="13.85546875" style="13" bestFit="1" customWidth="1"/>
    <col min="8716" max="8961" width="9.140625" style="13"/>
    <col min="8962" max="8964" width="16.85546875" style="13" customWidth="1"/>
    <col min="8965" max="8965" width="37.85546875" style="13" customWidth="1"/>
    <col min="8966" max="8967" width="12.140625" style="13" customWidth="1"/>
    <col min="8968" max="8968" width="13.85546875" style="13" customWidth="1"/>
    <col min="8969" max="8970" width="12.140625" style="13" customWidth="1"/>
    <col min="8971" max="8971" width="13.85546875" style="13" bestFit="1" customWidth="1"/>
    <col min="8972" max="9217" width="9.140625" style="13"/>
    <col min="9218" max="9220" width="16.85546875" style="13" customWidth="1"/>
    <col min="9221" max="9221" width="37.85546875" style="13" customWidth="1"/>
    <col min="9222" max="9223" width="12.140625" style="13" customWidth="1"/>
    <col min="9224" max="9224" width="13.85546875" style="13" customWidth="1"/>
    <col min="9225" max="9226" width="12.140625" style="13" customWidth="1"/>
    <col min="9227" max="9227" width="13.85546875" style="13" bestFit="1" customWidth="1"/>
    <col min="9228" max="9473" width="9.140625" style="13"/>
    <col min="9474" max="9476" width="16.85546875" style="13" customWidth="1"/>
    <col min="9477" max="9477" width="37.85546875" style="13" customWidth="1"/>
    <col min="9478" max="9479" width="12.140625" style="13" customWidth="1"/>
    <col min="9480" max="9480" width="13.85546875" style="13" customWidth="1"/>
    <col min="9481" max="9482" width="12.140625" style="13" customWidth="1"/>
    <col min="9483" max="9483" width="13.85546875" style="13" bestFit="1" customWidth="1"/>
    <col min="9484" max="9729" width="9.140625" style="13"/>
    <col min="9730" max="9732" width="16.85546875" style="13" customWidth="1"/>
    <col min="9733" max="9733" width="37.85546875" style="13" customWidth="1"/>
    <col min="9734" max="9735" width="12.140625" style="13" customWidth="1"/>
    <col min="9736" max="9736" width="13.85546875" style="13" customWidth="1"/>
    <col min="9737" max="9738" width="12.140625" style="13" customWidth="1"/>
    <col min="9739" max="9739" width="13.85546875" style="13" bestFit="1" customWidth="1"/>
    <col min="9740" max="9985" width="9.140625" style="13"/>
    <col min="9986" max="9988" width="16.85546875" style="13" customWidth="1"/>
    <col min="9989" max="9989" width="37.85546875" style="13" customWidth="1"/>
    <col min="9990" max="9991" width="12.140625" style="13" customWidth="1"/>
    <col min="9992" max="9992" width="13.85546875" style="13" customWidth="1"/>
    <col min="9993" max="9994" width="12.140625" style="13" customWidth="1"/>
    <col min="9995" max="9995" width="13.85546875" style="13" bestFit="1" customWidth="1"/>
    <col min="9996" max="10241" width="9.140625" style="13"/>
    <col min="10242" max="10244" width="16.85546875" style="13" customWidth="1"/>
    <col min="10245" max="10245" width="37.85546875" style="13" customWidth="1"/>
    <col min="10246" max="10247" width="12.140625" style="13" customWidth="1"/>
    <col min="10248" max="10248" width="13.85546875" style="13" customWidth="1"/>
    <col min="10249" max="10250" width="12.140625" style="13" customWidth="1"/>
    <col min="10251" max="10251" width="13.85546875" style="13" bestFit="1" customWidth="1"/>
    <col min="10252" max="10497" width="9.140625" style="13"/>
    <col min="10498" max="10500" width="16.85546875" style="13" customWidth="1"/>
    <col min="10501" max="10501" width="37.85546875" style="13" customWidth="1"/>
    <col min="10502" max="10503" width="12.140625" style="13" customWidth="1"/>
    <col min="10504" max="10504" width="13.85546875" style="13" customWidth="1"/>
    <col min="10505" max="10506" width="12.140625" style="13" customWidth="1"/>
    <col min="10507" max="10507" width="13.85546875" style="13" bestFit="1" customWidth="1"/>
    <col min="10508" max="10753" width="9.140625" style="13"/>
    <col min="10754" max="10756" width="16.85546875" style="13" customWidth="1"/>
    <col min="10757" max="10757" width="37.85546875" style="13" customWidth="1"/>
    <col min="10758" max="10759" width="12.140625" style="13" customWidth="1"/>
    <col min="10760" max="10760" width="13.85546875" style="13" customWidth="1"/>
    <col min="10761" max="10762" width="12.140625" style="13" customWidth="1"/>
    <col min="10763" max="10763" width="13.85546875" style="13" bestFit="1" customWidth="1"/>
    <col min="10764" max="11009" width="9.140625" style="13"/>
    <col min="11010" max="11012" width="16.85546875" style="13" customWidth="1"/>
    <col min="11013" max="11013" width="37.85546875" style="13" customWidth="1"/>
    <col min="11014" max="11015" width="12.140625" style="13" customWidth="1"/>
    <col min="11016" max="11016" width="13.85546875" style="13" customWidth="1"/>
    <col min="11017" max="11018" width="12.140625" style="13" customWidth="1"/>
    <col min="11019" max="11019" width="13.85546875" style="13" bestFit="1" customWidth="1"/>
    <col min="11020" max="11265" width="9.140625" style="13"/>
    <col min="11266" max="11268" width="16.85546875" style="13" customWidth="1"/>
    <col min="11269" max="11269" width="37.85546875" style="13" customWidth="1"/>
    <col min="11270" max="11271" width="12.140625" style="13" customWidth="1"/>
    <col min="11272" max="11272" width="13.85546875" style="13" customWidth="1"/>
    <col min="11273" max="11274" width="12.140625" style="13" customWidth="1"/>
    <col min="11275" max="11275" width="13.85546875" style="13" bestFit="1" customWidth="1"/>
    <col min="11276" max="11521" width="9.140625" style="13"/>
    <col min="11522" max="11524" width="16.85546875" style="13" customWidth="1"/>
    <col min="11525" max="11525" width="37.85546875" style="13" customWidth="1"/>
    <col min="11526" max="11527" width="12.140625" style="13" customWidth="1"/>
    <col min="11528" max="11528" width="13.85546875" style="13" customWidth="1"/>
    <col min="11529" max="11530" width="12.140625" style="13" customWidth="1"/>
    <col min="11531" max="11531" width="13.85546875" style="13" bestFit="1" customWidth="1"/>
    <col min="11532" max="11777" width="9.140625" style="13"/>
    <col min="11778" max="11780" width="16.85546875" style="13" customWidth="1"/>
    <col min="11781" max="11781" width="37.85546875" style="13" customWidth="1"/>
    <col min="11782" max="11783" width="12.140625" style="13" customWidth="1"/>
    <col min="11784" max="11784" width="13.85546875" style="13" customWidth="1"/>
    <col min="11785" max="11786" width="12.140625" style="13" customWidth="1"/>
    <col min="11787" max="11787" width="13.85546875" style="13" bestFit="1" customWidth="1"/>
    <col min="11788" max="12033" width="9.140625" style="13"/>
    <col min="12034" max="12036" width="16.85546875" style="13" customWidth="1"/>
    <col min="12037" max="12037" width="37.85546875" style="13" customWidth="1"/>
    <col min="12038" max="12039" width="12.140625" style="13" customWidth="1"/>
    <col min="12040" max="12040" width="13.85546875" style="13" customWidth="1"/>
    <col min="12041" max="12042" width="12.140625" style="13" customWidth="1"/>
    <col min="12043" max="12043" width="13.85546875" style="13" bestFit="1" customWidth="1"/>
    <col min="12044" max="12289" width="9.140625" style="13"/>
    <col min="12290" max="12292" width="16.85546875" style="13" customWidth="1"/>
    <col min="12293" max="12293" width="37.85546875" style="13" customWidth="1"/>
    <col min="12294" max="12295" width="12.140625" style="13" customWidth="1"/>
    <col min="12296" max="12296" width="13.85546875" style="13" customWidth="1"/>
    <col min="12297" max="12298" width="12.140625" style="13" customWidth="1"/>
    <col min="12299" max="12299" width="13.85546875" style="13" bestFit="1" customWidth="1"/>
    <col min="12300" max="12545" width="9.140625" style="13"/>
    <col min="12546" max="12548" width="16.85546875" style="13" customWidth="1"/>
    <col min="12549" max="12549" width="37.85546875" style="13" customWidth="1"/>
    <col min="12550" max="12551" width="12.140625" style="13" customWidth="1"/>
    <col min="12552" max="12552" width="13.85546875" style="13" customWidth="1"/>
    <col min="12553" max="12554" width="12.140625" style="13" customWidth="1"/>
    <col min="12555" max="12555" width="13.85546875" style="13" bestFit="1" customWidth="1"/>
    <col min="12556" max="12801" width="9.140625" style="13"/>
    <col min="12802" max="12804" width="16.85546875" style="13" customWidth="1"/>
    <col min="12805" max="12805" width="37.85546875" style="13" customWidth="1"/>
    <col min="12806" max="12807" width="12.140625" style="13" customWidth="1"/>
    <col min="12808" max="12808" width="13.85546875" style="13" customWidth="1"/>
    <col min="12809" max="12810" width="12.140625" style="13" customWidth="1"/>
    <col min="12811" max="12811" width="13.85546875" style="13" bestFit="1" customWidth="1"/>
    <col min="12812" max="13057" width="9.140625" style="13"/>
    <col min="13058" max="13060" width="16.85546875" style="13" customWidth="1"/>
    <col min="13061" max="13061" width="37.85546875" style="13" customWidth="1"/>
    <col min="13062" max="13063" width="12.140625" style="13" customWidth="1"/>
    <col min="13064" max="13064" width="13.85546875" style="13" customWidth="1"/>
    <col min="13065" max="13066" width="12.140625" style="13" customWidth="1"/>
    <col min="13067" max="13067" width="13.85546875" style="13" bestFit="1" customWidth="1"/>
    <col min="13068" max="13313" width="9.140625" style="13"/>
    <col min="13314" max="13316" width="16.85546875" style="13" customWidth="1"/>
    <col min="13317" max="13317" width="37.85546875" style="13" customWidth="1"/>
    <col min="13318" max="13319" width="12.140625" style="13" customWidth="1"/>
    <col min="13320" max="13320" width="13.85546875" style="13" customWidth="1"/>
    <col min="13321" max="13322" width="12.140625" style="13" customWidth="1"/>
    <col min="13323" max="13323" width="13.85546875" style="13" bestFit="1" customWidth="1"/>
    <col min="13324" max="13569" width="9.140625" style="13"/>
    <col min="13570" max="13572" width="16.85546875" style="13" customWidth="1"/>
    <col min="13573" max="13573" width="37.85546875" style="13" customWidth="1"/>
    <col min="13574" max="13575" width="12.140625" style="13" customWidth="1"/>
    <col min="13576" max="13576" width="13.85546875" style="13" customWidth="1"/>
    <col min="13577" max="13578" width="12.140625" style="13" customWidth="1"/>
    <col min="13579" max="13579" width="13.85546875" style="13" bestFit="1" customWidth="1"/>
    <col min="13580" max="13825" width="9.140625" style="13"/>
    <col min="13826" max="13828" width="16.85546875" style="13" customWidth="1"/>
    <col min="13829" max="13829" width="37.85546875" style="13" customWidth="1"/>
    <col min="13830" max="13831" width="12.140625" style="13" customWidth="1"/>
    <col min="13832" max="13832" width="13.85546875" style="13" customWidth="1"/>
    <col min="13833" max="13834" width="12.140625" style="13" customWidth="1"/>
    <col min="13835" max="13835" width="13.85546875" style="13" bestFit="1" customWidth="1"/>
    <col min="13836" max="14081" width="9.140625" style="13"/>
    <col min="14082" max="14084" width="16.85546875" style="13" customWidth="1"/>
    <col min="14085" max="14085" width="37.85546875" style="13" customWidth="1"/>
    <col min="14086" max="14087" width="12.140625" style="13" customWidth="1"/>
    <col min="14088" max="14088" width="13.85546875" style="13" customWidth="1"/>
    <col min="14089" max="14090" width="12.140625" style="13" customWidth="1"/>
    <col min="14091" max="14091" width="13.85546875" style="13" bestFit="1" customWidth="1"/>
    <col min="14092" max="14337" width="9.140625" style="13"/>
    <col min="14338" max="14340" width="16.85546875" style="13" customWidth="1"/>
    <col min="14341" max="14341" width="37.85546875" style="13" customWidth="1"/>
    <col min="14342" max="14343" width="12.140625" style="13" customWidth="1"/>
    <col min="14344" max="14344" width="13.85546875" style="13" customWidth="1"/>
    <col min="14345" max="14346" width="12.140625" style="13" customWidth="1"/>
    <col min="14347" max="14347" width="13.85546875" style="13" bestFit="1" customWidth="1"/>
    <col min="14348" max="14593" width="9.140625" style="13"/>
    <col min="14594" max="14596" width="16.85546875" style="13" customWidth="1"/>
    <col min="14597" max="14597" width="37.85546875" style="13" customWidth="1"/>
    <col min="14598" max="14599" width="12.140625" style="13" customWidth="1"/>
    <col min="14600" max="14600" width="13.85546875" style="13" customWidth="1"/>
    <col min="14601" max="14602" width="12.140625" style="13" customWidth="1"/>
    <col min="14603" max="14603" width="13.85546875" style="13" bestFit="1" customWidth="1"/>
    <col min="14604" max="14849" width="9.140625" style="13"/>
    <col min="14850" max="14852" width="16.85546875" style="13" customWidth="1"/>
    <col min="14853" max="14853" width="37.85546875" style="13" customWidth="1"/>
    <col min="14854" max="14855" width="12.140625" style="13" customWidth="1"/>
    <col min="14856" max="14856" width="13.85546875" style="13" customWidth="1"/>
    <col min="14857" max="14858" width="12.140625" style="13" customWidth="1"/>
    <col min="14859" max="14859" width="13.85546875" style="13" bestFit="1" customWidth="1"/>
    <col min="14860" max="15105" width="9.140625" style="13"/>
    <col min="15106" max="15108" width="16.85546875" style="13" customWidth="1"/>
    <col min="15109" max="15109" width="37.85546875" style="13" customWidth="1"/>
    <col min="15110" max="15111" width="12.140625" style="13" customWidth="1"/>
    <col min="15112" max="15112" width="13.85546875" style="13" customWidth="1"/>
    <col min="15113" max="15114" width="12.140625" style="13" customWidth="1"/>
    <col min="15115" max="15115" width="13.85546875" style="13" bestFit="1" customWidth="1"/>
    <col min="15116" max="15361" width="9.140625" style="13"/>
    <col min="15362" max="15364" width="16.85546875" style="13" customWidth="1"/>
    <col min="15365" max="15365" width="37.85546875" style="13" customWidth="1"/>
    <col min="15366" max="15367" width="12.140625" style="13" customWidth="1"/>
    <col min="15368" max="15368" width="13.85546875" style="13" customWidth="1"/>
    <col min="15369" max="15370" width="12.140625" style="13" customWidth="1"/>
    <col min="15371" max="15371" width="13.85546875" style="13" bestFit="1" customWidth="1"/>
    <col min="15372" max="15617" width="9.140625" style="13"/>
    <col min="15618" max="15620" width="16.85546875" style="13" customWidth="1"/>
    <col min="15621" max="15621" width="37.85546875" style="13" customWidth="1"/>
    <col min="15622" max="15623" width="12.140625" style="13" customWidth="1"/>
    <col min="15624" max="15624" width="13.85546875" style="13" customWidth="1"/>
    <col min="15625" max="15626" width="12.140625" style="13" customWidth="1"/>
    <col min="15627" max="15627" width="13.85546875" style="13" bestFit="1" customWidth="1"/>
    <col min="15628" max="15873" width="9.140625" style="13"/>
    <col min="15874" max="15876" width="16.85546875" style="13" customWidth="1"/>
    <col min="15877" max="15877" width="37.85546875" style="13" customWidth="1"/>
    <col min="15878" max="15879" width="12.140625" style="13" customWidth="1"/>
    <col min="15880" max="15880" width="13.85546875" style="13" customWidth="1"/>
    <col min="15881" max="15882" width="12.140625" style="13" customWidth="1"/>
    <col min="15883" max="15883" width="13.85546875" style="13" bestFit="1" customWidth="1"/>
    <col min="15884" max="16129" width="9.140625" style="13"/>
    <col min="16130" max="16132" width="16.85546875" style="13" customWidth="1"/>
    <col min="16133" max="16133" width="37.85546875" style="13" customWidth="1"/>
    <col min="16134" max="16135" width="12.140625" style="13" customWidth="1"/>
    <col min="16136" max="16136" width="13.85546875" style="13" customWidth="1"/>
    <col min="16137" max="16138" width="12.140625" style="13" customWidth="1"/>
    <col min="16139" max="16139" width="13.85546875" style="13" bestFit="1" customWidth="1"/>
    <col min="16140" max="16384" width="9.140625" style="13"/>
  </cols>
  <sheetData>
    <row r="1" spans="1:41" s="10" customFormat="1" ht="21" x14ac:dyDescent="0.4">
      <c r="A1" s="401" t="s">
        <v>35</v>
      </c>
      <c r="B1" s="401"/>
      <c r="C1" s="401"/>
      <c r="D1" s="401"/>
      <c r="E1" s="401"/>
      <c r="F1" s="401"/>
      <c r="G1" s="401"/>
      <c r="H1" s="401"/>
      <c r="I1" s="401"/>
      <c r="J1" s="209"/>
    </row>
    <row r="3" spans="1:41" s="18" customFormat="1" ht="13.15" x14ac:dyDescent="0.25">
      <c r="A3" s="17" t="s">
        <v>36</v>
      </c>
      <c r="E3" s="19"/>
      <c r="F3" s="19"/>
      <c r="G3" s="20"/>
      <c r="H3" s="20"/>
      <c r="I3" s="21"/>
      <c r="J3" s="21"/>
    </row>
    <row r="4" spans="1:41" s="18" customFormat="1" ht="13.15" x14ac:dyDescent="0.25">
      <c r="A4" s="22" t="s">
        <v>37</v>
      </c>
      <c r="B4" s="23"/>
      <c r="C4" s="24">
        <f>B337</f>
        <v>325</v>
      </c>
      <c r="E4" s="19"/>
      <c r="F4" s="19"/>
      <c r="G4" s="20"/>
      <c r="H4" s="20"/>
      <c r="I4" s="21"/>
      <c r="J4" s="21"/>
    </row>
    <row r="5" spans="1:41" s="18" customFormat="1" ht="13.15" x14ac:dyDescent="0.25">
      <c r="A5" s="25" t="s">
        <v>38</v>
      </c>
      <c r="B5" s="26"/>
      <c r="C5" s="27">
        <f>F337</f>
        <v>335096018</v>
      </c>
      <c r="D5" s="28"/>
      <c r="E5" s="29"/>
      <c r="F5" s="19"/>
      <c r="G5" s="20"/>
      <c r="H5" s="20"/>
      <c r="I5" s="21"/>
      <c r="J5" s="21"/>
    </row>
    <row r="6" spans="1:41" s="18" customFormat="1" ht="13.15" x14ac:dyDescent="0.25">
      <c r="A6" s="25" t="s">
        <v>39</v>
      </c>
      <c r="B6" s="26"/>
      <c r="C6" s="27">
        <f>E337</f>
        <v>38008641.734285712</v>
      </c>
      <c r="D6" s="28"/>
      <c r="E6" s="19"/>
      <c r="F6" s="19"/>
      <c r="G6" s="20"/>
      <c r="H6" s="20"/>
      <c r="I6" s="21"/>
      <c r="J6" s="21"/>
    </row>
    <row r="7" spans="1:41" s="18" customFormat="1" ht="13.15" x14ac:dyDescent="0.25">
      <c r="A7" s="25" t="s">
        <v>40</v>
      </c>
      <c r="B7" s="26"/>
      <c r="C7" s="30">
        <f>G337</f>
        <v>354270054.57142854</v>
      </c>
      <c r="D7" s="29"/>
      <c r="E7" s="21"/>
      <c r="F7" s="31"/>
      <c r="G7" s="20"/>
      <c r="H7" s="20"/>
      <c r="I7" s="21"/>
      <c r="J7" s="21"/>
    </row>
    <row r="8" spans="1:41" s="18" customFormat="1" ht="14.45" x14ac:dyDescent="0.3">
      <c r="A8" s="25" t="s">
        <v>41</v>
      </c>
      <c r="B8" s="26"/>
      <c r="C8" s="30">
        <f>H337</f>
        <v>44249.19999999999</v>
      </c>
      <c r="E8" s="19"/>
      <c r="F8" s="19"/>
      <c r="G8" s="20"/>
      <c r="H8" s="20"/>
      <c r="I8" s="21"/>
      <c r="J8" s="21"/>
      <c r="K8" s="274">
        <v>7409774</v>
      </c>
      <c r="L8" s="274">
        <v>43817573</v>
      </c>
      <c r="M8" s="274">
        <v>17076686</v>
      </c>
      <c r="N8" s="274">
        <v>14711273</v>
      </c>
      <c r="O8" s="274">
        <v>20362682</v>
      </c>
      <c r="P8" s="274">
        <v>2789106</v>
      </c>
      <c r="Q8" s="274">
        <v>11111061</v>
      </c>
      <c r="R8" s="274">
        <v>14102380</v>
      </c>
      <c r="S8" s="274">
        <v>8137398</v>
      </c>
      <c r="T8" s="274">
        <v>6747321</v>
      </c>
      <c r="U8" s="274">
        <v>38367590</v>
      </c>
      <c r="V8" s="274">
        <v>10077211</v>
      </c>
      <c r="W8" s="274">
        <v>26547551</v>
      </c>
      <c r="X8" s="274">
        <v>16667884</v>
      </c>
      <c r="Y8" s="274">
        <v>44672859</v>
      </c>
      <c r="Z8" s="274">
        <v>31898743</v>
      </c>
      <c r="AA8" s="274">
        <v>17599006</v>
      </c>
    </row>
    <row r="9" spans="1:41" s="18" customFormat="1" ht="13.15" x14ac:dyDescent="0.25">
      <c r="A9" s="32" t="s">
        <v>42</v>
      </c>
      <c r="B9" s="33"/>
      <c r="C9" s="34">
        <f>((G337*0.69)+(I337*11.65))/2000</f>
        <v>123678.06522196427</v>
      </c>
      <c r="E9" s="19"/>
      <c r="F9" s="19"/>
      <c r="G9" s="20"/>
      <c r="H9" s="20"/>
      <c r="I9" s="21"/>
      <c r="J9" s="21"/>
    </row>
    <row r="10" spans="1:41" s="18" customFormat="1" ht="13.15" x14ac:dyDescent="0.25">
      <c r="A10" s="17"/>
      <c r="B10" s="26"/>
      <c r="C10" s="35"/>
      <c r="E10" s="19"/>
      <c r="F10" s="19"/>
      <c r="G10" s="20"/>
      <c r="H10" s="20"/>
      <c r="I10" s="21"/>
      <c r="J10" s="21"/>
      <c r="K10" s="43">
        <v>2000</v>
      </c>
      <c r="L10" s="43">
        <v>2001</v>
      </c>
      <c r="M10" s="43">
        <f>L10+1</f>
        <v>2002</v>
      </c>
      <c r="N10" s="43">
        <f t="shared" ref="N10:Z10" si="0">M10+1</f>
        <v>2003</v>
      </c>
      <c r="O10" s="43">
        <f t="shared" si="0"/>
        <v>2004</v>
      </c>
      <c r="P10" s="43">
        <f t="shared" si="0"/>
        <v>2005</v>
      </c>
      <c r="Q10" s="43">
        <f t="shared" si="0"/>
        <v>2006</v>
      </c>
      <c r="R10" s="43">
        <f t="shared" si="0"/>
        <v>2007</v>
      </c>
      <c r="S10" s="43">
        <f t="shared" si="0"/>
        <v>2008</v>
      </c>
      <c r="T10" s="43">
        <f t="shared" si="0"/>
        <v>2009</v>
      </c>
      <c r="U10" s="43">
        <f>T10+1</f>
        <v>2010</v>
      </c>
      <c r="V10" s="43">
        <f t="shared" si="0"/>
        <v>2011</v>
      </c>
      <c r="W10" s="43">
        <f t="shared" si="0"/>
        <v>2012</v>
      </c>
      <c r="X10" s="43">
        <f t="shared" si="0"/>
        <v>2013</v>
      </c>
      <c r="Y10" s="43">
        <f t="shared" si="0"/>
        <v>2014</v>
      </c>
      <c r="Z10" s="43">
        <f t="shared" si="0"/>
        <v>2015</v>
      </c>
      <c r="AA10" s="43">
        <f t="shared" ref="AA10" si="1">Z10+1</f>
        <v>2016</v>
      </c>
      <c r="AB10" s="43">
        <f t="shared" ref="AB10" si="2">AA10+1</f>
        <v>2017</v>
      </c>
      <c r="AC10" s="43">
        <f t="shared" ref="AC10" si="3">AB10+1</f>
        <v>2018</v>
      </c>
      <c r="AD10" s="43">
        <f t="shared" ref="AD10" si="4">AC10+1</f>
        <v>2019</v>
      </c>
      <c r="AE10" s="43">
        <f t="shared" ref="AE10" si="5">AD10+1</f>
        <v>2020</v>
      </c>
      <c r="AF10" s="43">
        <f t="shared" ref="AF10" si="6">AE10+1</f>
        <v>2021</v>
      </c>
      <c r="AG10" s="43">
        <f t="shared" ref="AG10" si="7">AF10+1</f>
        <v>2022</v>
      </c>
      <c r="AH10" s="43">
        <f t="shared" ref="AH10" si="8">AG10+1</f>
        <v>2023</v>
      </c>
      <c r="AI10" s="43">
        <f t="shared" ref="AI10" si="9">AH10+1</f>
        <v>2024</v>
      </c>
      <c r="AJ10" s="43">
        <f t="shared" ref="AJ10" si="10">AI10+1</f>
        <v>2025</v>
      </c>
      <c r="AK10" s="43">
        <f t="shared" ref="AK10" si="11">AJ10+1</f>
        <v>2026</v>
      </c>
      <c r="AL10" s="43">
        <f t="shared" ref="AL10" si="12">AK10+1</f>
        <v>2027</v>
      </c>
      <c r="AM10" s="43">
        <f t="shared" ref="AM10" si="13">AL10+1</f>
        <v>2028</v>
      </c>
      <c r="AN10" s="43">
        <f t="shared" ref="AN10" si="14">AM10+1</f>
        <v>2029</v>
      </c>
      <c r="AO10" s="43">
        <f t="shared" ref="AO10" si="15">AN10+1</f>
        <v>2030</v>
      </c>
    </row>
    <row r="11" spans="1:41" s="43" customFormat="1" ht="52.9" x14ac:dyDescent="0.25">
      <c r="A11" s="36" t="s">
        <v>43</v>
      </c>
      <c r="B11" s="37" t="s">
        <v>9</v>
      </c>
      <c r="C11" s="38" t="s">
        <v>44</v>
      </c>
      <c r="D11" s="38" t="s">
        <v>45</v>
      </c>
      <c r="E11" s="39" t="s">
        <v>46</v>
      </c>
      <c r="F11" s="39" t="s">
        <v>47</v>
      </c>
      <c r="G11" s="40" t="s">
        <v>48</v>
      </c>
      <c r="H11" s="41" t="s">
        <v>49</v>
      </c>
      <c r="I11" s="42" t="s">
        <v>50</v>
      </c>
      <c r="J11" s="210"/>
      <c r="K11" s="43">
        <f>K10-2000</f>
        <v>0</v>
      </c>
      <c r="L11" s="43">
        <f t="shared" ref="L11:AG11" si="16">L10-2000</f>
        <v>1</v>
      </c>
      <c r="M11" s="43">
        <f t="shared" si="16"/>
        <v>2</v>
      </c>
      <c r="N11" s="43">
        <f t="shared" si="16"/>
        <v>3</v>
      </c>
      <c r="O11" s="43">
        <f t="shared" si="16"/>
        <v>4</v>
      </c>
      <c r="P11" s="43">
        <f t="shared" si="16"/>
        <v>5</v>
      </c>
      <c r="Q11" s="43">
        <f t="shared" si="16"/>
        <v>6</v>
      </c>
      <c r="R11" s="43">
        <f t="shared" si="16"/>
        <v>7</v>
      </c>
      <c r="S11" s="43">
        <f t="shared" si="16"/>
        <v>8</v>
      </c>
      <c r="T11" s="43">
        <f t="shared" si="16"/>
        <v>9</v>
      </c>
      <c r="U11" s="43">
        <f t="shared" si="16"/>
        <v>10</v>
      </c>
      <c r="V11" s="43">
        <f t="shared" si="16"/>
        <v>11</v>
      </c>
      <c r="W11" s="43">
        <f t="shared" si="16"/>
        <v>12</v>
      </c>
      <c r="X11" s="43">
        <f t="shared" si="16"/>
        <v>13</v>
      </c>
      <c r="Y11" s="43">
        <f t="shared" si="16"/>
        <v>14</v>
      </c>
      <c r="Z11" s="43">
        <f t="shared" si="16"/>
        <v>15</v>
      </c>
      <c r="AA11" s="43">
        <f t="shared" si="16"/>
        <v>16</v>
      </c>
      <c r="AB11" s="43">
        <f t="shared" si="16"/>
        <v>17</v>
      </c>
      <c r="AC11" s="43">
        <f t="shared" si="16"/>
        <v>18</v>
      </c>
      <c r="AD11" s="43">
        <f t="shared" si="16"/>
        <v>19</v>
      </c>
      <c r="AE11" s="43">
        <f t="shared" si="16"/>
        <v>20</v>
      </c>
      <c r="AF11" s="43">
        <f t="shared" si="16"/>
        <v>21</v>
      </c>
      <c r="AG11" s="43">
        <f t="shared" si="16"/>
        <v>22</v>
      </c>
      <c r="AH11" s="43">
        <f t="shared" ref="AH11" si="17">AH10-2000</f>
        <v>23</v>
      </c>
      <c r="AI11" s="43">
        <f t="shared" ref="AI11" si="18">AI10-2000</f>
        <v>24</v>
      </c>
      <c r="AJ11" s="43">
        <f t="shared" ref="AJ11" si="19">AJ10-2000</f>
        <v>25</v>
      </c>
      <c r="AK11" s="43">
        <f t="shared" ref="AK11" si="20">AK10-2000</f>
        <v>26</v>
      </c>
      <c r="AL11" s="43">
        <f t="shared" ref="AL11" si="21">AL10-2000</f>
        <v>27</v>
      </c>
      <c r="AM11" s="43">
        <f t="shared" ref="AM11" si="22">AM10-2000</f>
        <v>28</v>
      </c>
      <c r="AN11" s="43">
        <f t="shared" ref="AN11" si="23">AN10-2000</f>
        <v>29</v>
      </c>
      <c r="AO11" s="43">
        <f t="shared" ref="AO11" si="24">AO10-2000</f>
        <v>30</v>
      </c>
    </row>
    <row r="12" spans="1:41" ht="39.6" x14ac:dyDescent="0.25">
      <c r="A12" s="44" t="s">
        <v>51</v>
      </c>
      <c r="B12" s="45">
        <v>2000</v>
      </c>
      <c r="C12" s="46" t="s">
        <v>52</v>
      </c>
      <c r="D12" s="46" t="s">
        <v>53</v>
      </c>
      <c r="E12" s="47">
        <v>26000</v>
      </c>
      <c r="F12" s="47">
        <v>200000</v>
      </c>
      <c r="G12" s="179">
        <v>166000</v>
      </c>
      <c r="H12" s="48">
        <v>67</v>
      </c>
      <c r="I12" s="49">
        <v>3600</v>
      </c>
      <c r="J12" s="211" t="s">
        <v>1034</v>
      </c>
      <c r="K12" s="278">
        <f t="shared" ref="K12:Z12" si="25">SUMIF($B$12:$B$336,K10,$G$12:$G$336)</f>
        <v>8913851.4805194791</v>
      </c>
      <c r="L12" s="278">
        <f>SUMIF($B$12:$B$336,L10,$G$12:$G$336)</f>
        <v>107611799.27272727</v>
      </c>
      <c r="M12" s="278">
        <f t="shared" si="25"/>
        <v>32224995.90909091</v>
      </c>
      <c r="N12" s="278">
        <f t="shared" si="25"/>
        <v>17359599</v>
      </c>
      <c r="O12" s="278">
        <f t="shared" si="25"/>
        <v>23024131</v>
      </c>
      <c r="P12" s="278">
        <f t="shared" si="25"/>
        <v>2715101</v>
      </c>
      <c r="Q12" s="278">
        <f t="shared" si="25"/>
        <v>7608708</v>
      </c>
      <c r="R12" s="278">
        <f t="shared" si="25"/>
        <v>12106988</v>
      </c>
      <c r="S12" s="278">
        <f t="shared" si="25"/>
        <v>7443203</v>
      </c>
      <c r="T12" s="278">
        <f t="shared" si="25"/>
        <v>7565792.9090909092</v>
      </c>
      <c r="U12" s="278">
        <f t="shared" si="25"/>
        <v>27168861</v>
      </c>
      <c r="V12" s="278">
        <f t="shared" si="25"/>
        <v>15434786</v>
      </c>
      <c r="W12" s="278">
        <f t="shared" si="25"/>
        <v>19459741</v>
      </c>
      <c r="X12" s="278">
        <f t="shared" si="25"/>
        <v>10622377</v>
      </c>
      <c r="Y12" s="278">
        <f t="shared" si="25"/>
        <v>26381607</v>
      </c>
      <c r="Z12" s="278">
        <f t="shared" si="25"/>
        <v>17036518</v>
      </c>
      <c r="AA12" s="278">
        <f>AVERAGE(K12,M12,N12,O12,P12,Q12,R12,S12,T12,U12,V12,W12,X12,Y12,Z12)</f>
        <v>15671084.019913418</v>
      </c>
      <c r="AB12" s="278">
        <v>15671084.019913418</v>
      </c>
      <c r="AC12" s="278">
        <v>15671084.019913418</v>
      </c>
      <c r="AD12" s="278">
        <v>15671084.019913418</v>
      </c>
      <c r="AE12" s="278">
        <v>15671084.019913418</v>
      </c>
      <c r="AF12" s="278">
        <v>15671084.019913418</v>
      </c>
      <c r="AG12" s="278">
        <v>15671084.019913418</v>
      </c>
      <c r="AH12" s="278">
        <v>15671084.019913418</v>
      </c>
      <c r="AI12" s="278">
        <v>15671084.019913418</v>
      </c>
      <c r="AJ12" s="278">
        <v>15671084.019913418</v>
      </c>
      <c r="AK12" s="278">
        <v>15671084.019913418</v>
      </c>
      <c r="AL12" s="278">
        <v>15671084.019913418</v>
      </c>
      <c r="AM12" s="278">
        <v>15671084.019913418</v>
      </c>
      <c r="AN12" s="278">
        <v>15671084.019913418</v>
      </c>
      <c r="AO12" s="278">
        <v>15671084.019913418</v>
      </c>
    </row>
    <row r="13" spans="1:41" ht="13.15" x14ac:dyDescent="0.25">
      <c r="A13" s="44" t="s">
        <v>54</v>
      </c>
      <c r="B13" s="45">
        <v>2000</v>
      </c>
      <c r="C13" s="46" t="s">
        <v>55</v>
      </c>
      <c r="D13" s="46" t="s">
        <v>56</v>
      </c>
      <c r="E13" s="47">
        <f>F13/7</f>
        <v>175625.14285714287</v>
      </c>
      <c r="F13" s="47">
        <v>1229376</v>
      </c>
      <c r="G13" s="179">
        <f>(E13*0.9)/0.11</f>
        <v>1436932.9870129873</v>
      </c>
      <c r="H13" s="48"/>
      <c r="I13" s="49">
        <f>(E13*0.1)/1</f>
        <v>17562.514285714289</v>
      </c>
      <c r="L13" s="215">
        <v>1</v>
      </c>
      <c r="M13" s="214">
        <f>(M12-L12)/ABS(M12)</f>
        <v>-2.3393890747514163</v>
      </c>
      <c r="N13" s="214">
        <f t="shared" ref="N13:R13" si="26">(N12-M12)/ABS(N12)</f>
        <v>-0.85632144550636857</v>
      </c>
      <c r="O13" s="214">
        <f t="shared" si="26"/>
        <v>0.24602587606889484</v>
      </c>
      <c r="P13" s="214">
        <f t="shared" si="26"/>
        <v>-7.4800274464927821</v>
      </c>
      <c r="Q13" s="214">
        <f t="shared" si="26"/>
        <v>0.64315873338811269</v>
      </c>
      <c r="R13" s="214">
        <f t="shared" si="26"/>
        <v>0.3715441032897695</v>
      </c>
      <c r="S13" s="214">
        <f t="shared" ref="S13:Z13" si="27">(S12-R12)/ABS(S12)</f>
        <v>-0.62658307183076967</v>
      </c>
      <c r="T13" s="214">
        <f t="shared" si="27"/>
        <v>1.6203180626792935E-2</v>
      </c>
      <c r="U13" s="214">
        <f t="shared" si="27"/>
        <v>0.7215270485909987</v>
      </c>
      <c r="V13" s="214">
        <f t="shared" si="27"/>
        <v>-0.76023567803272429</v>
      </c>
      <c r="W13" s="214">
        <f t="shared" si="27"/>
        <v>0.20683497277790081</v>
      </c>
      <c r="X13" s="214">
        <f t="shared" si="27"/>
        <v>-0.83195729166833376</v>
      </c>
      <c r="Y13" s="214">
        <f t="shared" si="27"/>
        <v>0.5973567114391477</v>
      </c>
      <c r="Z13" s="214">
        <f t="shared" si="27"/>
        <v>-0.5485328046494008</v>
      </c>
      <c r="AA13" s="214"/>
      <c r="AB13" s="214"/>
      <c r="AC13" s="214"/>
      <c r="AD13" s="214"/>
      <c r="AE13" s="214"/>
      <c r="AF13" s="214"/>
      <c r="AG13" s="214"/>
      <c r="AH13" s="214"/>
      <c r="AI13" s="214"/>
      <c r="AJ13" s="214"/>
      <c r="AK13" s="214"/>
      <c r="AL13" s="214"/>
      <c r="AM13" s="214"/>
      <c r="AN13" s="214"/>
      <c r="AO13" s="214"/>
    </row>
    <row r="14" spans="1:41" ht="13.15" x14ac:dyDescent="0.25">
      <c r="A14" s="44" t="s">
        <v>54</v>
      </c>
      <c r="B14" s="45">
        <v>2000</v>
      </c>
      <c r="C14" s="46" t="s">
        <v>57</v>
      </c>
      <c r="D14" s="46" t="s">
        <v>56</v>
      </c>
      <c r="E14" s="47">
        <f>F14/7</f>
        <v>254248</v>
      </c>
      <c r="F14" s="47">
        <v>1779736</v>
      </c>
      <c r="G14" s="179">
        <f>(E14*0.9)/0.11</f>
        <v>2080210.9090909092</v>
      </c>
      <c r="H14" s="48"/>
      <c r="I14" s="49">
        <f>(E14*0.1)/1</f>
        <v>25424.800000000003</v>
      </c>
      <c r="K14" s="13">
        <f>K12/1000000</f>
        <v>8.9138514805194795</v>
      </c>
      <c r="L14" s="13">
        <f>L12/1000000</f>
        <v>107.61179927272727</v>
      </c>
      <c r="M14" s="13">
        <f t="shared" ref="M14:AO14" si="28">M12/1000000</f>
        <v>32.224995909090907</v>
      </c>
      <c r="N14" s="13">
        <f t="shared" si="28"/>
        <v>17.359598999999999</v>
      </c>
      <c r="O14" s="13">
        <f t="shared" si="28"/>
        <v>23.024131000000001</v>
      </c>
      <c r="P14" s="13">
        <f t="shared" si="28"/>
        <v>2.7151010000000002</v>
      </c>
      <c r="Q14" s="13">
        <f t="shared" si="28"/>
        <v>7.608708</v>
      </c>
      <c r="R14" s="13">
        <f t="shared" si="28"/>
        <v>12.106987999999999</v>
      </c>
      <c r="S14" s="13">
        <f t="shared" si="28"/>
        <v>7.4432029999999996</v>
      </c>
      <c r="T14" s="13">
        <f t="shared" si="28"/>
        <v>7.5657929090909093</v>
      </c>
      <c r="U14" s="13">
        <f t="shared" si="28"/>
        <v>27.168861</v>
      </c>
      <c r="V14" s="13">
        <f t="shared" si="28"/>
        <v>15.434786000000001</v>
      </c>
      <c r="W14" s="13">
        <f t="shared" si="28"/>
        <v>19.459741000000001</v>
      </c>
      <c r="X14" s="13">
        <f t="shared" si="28"/>
        <v>10.622377</v>
      </c>
      <c r="Y14" s="13">
        <f t="shared" si="28"/>
        <v>26.381606999999999</v>
      </c>
      <c r="Z14" s="13">
        <f t="shared" si="28"/>
        <v>17.036518000000001</v>
      </c>
      <c r="AA14" s="13">
        <f t="shared" si="28"/>
        <v>15.671084019913419</v>
      </c>
      <c r="AB14" s="13">
        <f t="shared" si="28"/>
        <v>15.671084019913419</v>
      </c>
      <c r="AC14" s="13">
        <f t="shared" si="28"/>
        <v>15.671084019913419</v>
      </c>
      <c r="AD14" s="13">
        <f t="shared" si="28"/>
        <v>15.671084019913419</v>
      </c>
      <c r="AE14" s="13">
        <f t="shared" si="28"/>
        <v>15.671084019913419</v>
      </c>
      <c r="AF14" s="13">
        <f t="shared" si="28"/>
        <v>15.671084019913419</v>
      </c>
      <c r="AG14" s="13">
        <f t="shared" si="28"/>
        <v>15.671084019913419</v>
      </c>
      <c r="AH14" s="13">
        <f t="shared" si="28"/>
        <v>15.671084019913419</v>
      </c>
      <c r="AI14" s="13">
        <f t="shared" si="28"/>
        <v>15.671084019913419</v>
      </c>
      <c r="AJ14" s="13">
        <f t="shared" si="28"/>
        <v>15.671084019913419</v>
      </c>
      <c r="AK14" s="13">
        <f t="shared" si="28"/>
        <v>15.671084019913419</v>
      </c>
      <c r="AL14" s="13">
        <f t="shared" si="28"/>
        <v>15.671084019913419</v>
      </c>
      <c r="AM14" s="13">
        <f t="shared" si="28"/>
        <v>15.671084019913419</v>
      </c>
      <c r="AN14" s="13">
        <f t="shared" si="28"/>
        <v>15.671084019913419</v>
      </c>
      <c r="AO14" s="13">
        <f t="shared" si="28"/>
        <v>15.671084019913419</v>
      </c>
    </row>
    <row r="15" spans="1:41" ht="26.45" x14ac:dyDescent="0.25">
      <c r="A15" s="44" t="s">
        <v>58</v>
      </c>
      <c r="B15" s="45">
        <v>2000</v>
      </c>
      <c r="C15" s="46" t="s">
        <v>59</v>
      </c>
      <c r="D15" s="46" t="s">
        <v>60</v>
      </c>
      <c r="E15" s="47">
        <v>83000</v>
      </c>
      <c r="F15" s="47">
        <v>450000</v>
      </c>
      <c r="G15" s="179">
        <v>1687451</v>
      </c>
      <c r="H15" s="48">
        <v>0</v>
      </c>
      <c r="I15" s="49">
        <v>0</v>
      </c>
      <c r="J15" s="211" t="s">
        <v>1035</v>
      </c>
      <c r="K15" s="278">
        <f t="shared" ref="K15:Z15" si="29">SUMIF($B$12:$B$336,K10,$I$12:$I$336)</f>
        <v>62947.071428571442</v>
      </c>
      <c r="L15" s="278">
        <f t="shared" si="29"/>
        <v>-246097.59999999998</v>
      </c>
      <c r="M15" s="278">
        <f t="shared" si="29"/>
        <v>-160612.6</v>
      </c>
      <c r="N15" s="278">
        <f t="shared" si="29"/>
        <v>-3667</v>
      </c>
      <c r="O15" s="278">
        <f t="shared" si="29"/>
        <v>-504457</v>
      </c>
      <c r="P15" s="278">
        <f t="shared" si="29"/>
        <v>10744</v>
      </c>
      <c r="Q15" s="278">
        <f t="shared" si="29"/>
        <v>62193</v>
      </c>
      <c r="R15" s="278">
        <f t="shared" si="29"/>
        <v>368854</v>
      </c>
      <c r="S15" s="278">
        <f t="shared" si="29"/>
        <v>60355</v>
      </c>
      <c r="T15" s="278">
        <f t="shared" si="29"/>
        <v>25817.35</v>
      </c>
      <c r="U15" s="278">
        <f t="shared" si="29"/>
        <v>170817.4</v>
      </c>
      <c r="V15" s="278">
        <f t="shared" si="29"/>
        <v>32785</v>
      </c>
      <c r="W15" s="278">
        <f t="shared" si="29"/>
        <v>114897</v>
      </c>
      <c r="X15" s="278">
        <f t="shared" si="29"/>
        <v>154391</v>
      </c>
      <c r="Y15" s="278">
        <f t="shared" si="29"/>
        <v>80977</v>
      </c>
      <c r="Z15" s="278">
        <f t="shared" si="29"/>
        <v>12045</v>
      </c>
      <c r="AA15" s="278">
        <v>15124.29</v>
      </c>
      <c r="AB15" s="278">
        <v>15124.29</v>
      </c>
      <c r="AC15" s="278">
        <v>15124.29</v>
      </c>
      <c r="AD15" s="278">
        <v>15124.29</v>
      </c>
      <c r="AE15" s="278">
        <v>15124.29</v>
      </c>
      <c r="AF15" s="278">
        <v>15124.29</v>
      </c>
      <c r="AG15" s="278">
        <v>15124.29</v>
      </c>
      <c r="AH15" s="278">
        <v>15124.29</v>
      </c>
      <c r="AI15" s="278">
        <v>15124.29</v>
      </c>
      <c r="AJ15" s="278">
        <v>15124.29</v>
      </c>
      <c r="AK15" s="278">
        <v>15124.29</v>
      </c>
      <c r="AL15" s="278">
        <v>15124.29</v>
      </c>
      <c r="AM15" s="278">
        <v>15124.29</v>
      </c>
      <c r="AN15" s="278">
        <v>15124.29</v>
      </c>
      <c r="AO15" s="278">
        <v>15124.29</v>
      </c>
    </row>
    <row r="16" spans="1:41" ht="13.15" x14ac:dyDescent="0.25">
      <c r="A16" s="44" t="s">
        <v>58</v>
      </c>
      <c r="B16" s="45">
        <v>2000</v>
      </c>
      <c r="C16" s="46" t="s">
        <v>61</v>
      </c>
      <c r="D16" s="46" t="s">
        <v>62</v>
      </c>
      <c r="E16" s="47">
        <v>46489</v>
      </c>
      <c r="F16" s="47">
        <v>293572</v>
      </c>
      <c r="G16" s="179">
        <f>(E16*0.9)/0.11</f>
        <v>380364.54545454541</v>
      </c>
      <c r="H16" s="48"/>
      <c r="I16" s="49">
        <f>(E16*0.1)/1</f>
        <v>4648.9000000000005</v>
      </c>
      <c r="K16" s="13">
        <f>K15/1000000</f>
        <v>6.2947071428571436E-2</v>
      </c>
      <c r="L16" s="215">
        <v>1</v>
      </c>
      <c r="M16" s="214">
        <f>(M15-L15)/ABS(M15)</f>
        <v>0.53224342299421068</v>
      </c>
      <c r="N16" s="214">
        <f t="shared" ref="N16:Z16" si="30">(N15-M15)/ABS(N15)</f>
        <v>42.799454595036813</v>
      </c>
      <c r="O16" s="214">
        <f t="shared" si="30"/>
        <v>-0.99273079766957339</v>
      </c>
      <c r="P16" s="214">
        <f t="shared" si="30"/>
        <v>47.952438570364855</v>
      </c>
      <c r="Q16" s="214">
        <f t="shared" si="30"/>
        <v>0.82724743942244305</v>
      </c>
      <c r="R16" s="214">
        <f t="shared" si="30"/>
        <v>0.83138857108774744</v>
      </c>
      <c r="S16" s="214">
        <f t="shared" si="30"/>
        <v>-5.1114075055919148</v>
      </c>
      <c r="T16" s="214">
        <f t="shared" si="30"/>
        <v>-1.3377689809372382</v>
      </c>
      <c r="U16" s="214">
        <f t="shared" si="30"/>
        <v>0.84885995220627408</v>
      </c>
      <c r="V16" s="214">
        <f t="shared" si="30"/>
        <v>-4.2102302882415739</v>
      </c>
      <c r="W16" s="214">
        <f t="shared" si="30"/>
        <v>0.71465747582617478</v>
      </c>
      <c r="X16" s="214">
        <f t="shared" si="30"/>
        <v>0.25580506635749495</v>
      </c>
      <c r="Y16" s="214">
        <f t="shared" si="30"/>
        <v>-0.90660310952492684</v>
      </c>
      <c r="Z16" s="214">
        <f t="shared" si="30"/>
        <v>-5.7228725612287255</v>
      </c>
      <c r="AA16" s="214"/>
      <c r="AB16" s="214"/>
      <c r="AC16" s="214"/>
      <c r="AD16" s="214"/>
      <c r="AE16" s="214"/>
      <c r="AF16" s="214"/>
      <c r="AG16" s="214"/>
      <c r="AH16" s="214"/>
      <c r="AI16" s="214"/>
      <c r="AJ16" s="214"/>
      <c r="AK16" s="214"/>
      <c r="AL16" s="214"/>
      <c r="AM16" s="214"/>
      <c r="AN16" s="214"/>
      <c r="AO16" s="214"/>
    </row>
    <row r="17" spans="1:41" ht="13.15" x14ac:dyDescent="0.25">
      <c r="A17" s="44" t="s">
        <v>63</v>
      </c>
      <c r="B17" s="45">
        <v>2000</v>
      </c>
      <c r="C17" s="46" t="s">
        <v>64</v>
      </c>
      <c r="D17" s="46" t="s">
        <v>65</v>
      </c>
      <c r="E17" s="47">
        <f>F17/7</f>
        <v>1108.5714285714287</v>
      </c>
      <c r="F17" s="47">
        <v>7760</v>
      </c>
      <c r="G17" s="179">
        <f>(E17*0.9)/0.11</f>
        <v>9070.1298701298711</v>
      </c>
      <c r="H17" s="48"/>
      <c r="I17" s="49">
        <f>(E17*0.1)/1</f>
        <v>110.85714285714288</v>
      </c>
      <c r="J17" s="211"/>
      <c r="K17" s="282">
        <f>K15/1000000</f>
        <v>6.2947071428571436E-2</v>
      </c>
      <c r="L17" s="282">
        <f t="shared" ref="L17:AO17" si="31">L15/1000000</f>
        <v>-0.24609759999999997</v>
      </c>
      <c r="M17" s="282">
        <f t="shared" si="31"/>
        <v>-0.16061259999999999</v>
      </c>
      <c r="N17" s="282">
        <f t="shared" si="31"/>
        <v>-3.6670000000000001E-3</v>
      </c>
      <c r="O17" s="282">
        <f t="shared" si="31"/>
        <v>-0.50445700000000004</v>
      </c>
      <c r="P17" s="282">
        <f t="shared" si="31"/>
        <v>1.0744E-2</v>
      </c>
      <c r="Q17" s="282">
        <f t="shared" si="31"/>
        <v>6.2192999999999998E-2</v>
      </c>
      <c r="R17" s="282">
        <f t="shared" si="31"/>
        <v>0.36885400000000002</v>
      </c>
      <c r="S17" s="282">
        <f t="shared" si="31"/>
        <v>6.0354999999999999E-2</v>
      </c>
      <c r="T17" s="282">
        <f t="shared" si="31"/>
        <v>2.5817349999999999E-2</v>
      </c>
      <c r="U17" s="282">
        <f t="shared" si="31"/>
        <v>0.17081739999999998</v>
      </c>
      <c r="V17" s="282">
        <f t="shared" si="31"/>
        <v>3.2785000000000002E-2</v>
      </c>
      <c r="W17" s="282">
        <f t="shared" si="31"/>
        <v>0.114897</v>
      </c>
      <c r="X17" s="282">
        <f t="shared" si="31"/>
        <v>0.154391</v>
      </c>
      <c r="Y17" s="282">
        <f t="shared" si="31"/>
        <v>8.0976999999999993E-2</v>
      </c>
      <c r="Z17" s="282">
        <f t="shared" si="31"/>
        <v>1.2045E-2</v>
      </c>
      <c r="AA17" s="282">
        <f t="shared" si="31"/>
        <v>1.512429E-2</v>
      </c>
      <c r="AB17" s="282">
        <f t="shared" si="31"/>
        <v>1.512429E-2</v>
      </c>
      <c r="AC17" s="282">
        <f t="shared" si="31"/>
        <v>1.512429E-2</v>
      </c>
      <c r="AD17" s="282">
        <f t="shared" si="31"/>
        <v>1.512429E-2</v>
      </c>
      <c r="AE17" s="282">
        <f t="shared" si="31"/>
        <v>1.512429E-2</v>
      </c>
      <c r="AF17" s="282">
        <f t="shared" si="31"/>
        <v>1.512429E-2</v>
      </c>
      <c r="AG17" s="282">
        <f t="shared" si="31"/>
        <v>1.512429E-2</v>
      </c>
      <c r="AH17" s="282">
        <f t="shared" si="31"/>
        <v>1.512429E-2</v>
      </c>
      <c r="AI17" s="282">
        <f t="shared" si="31"/>
        <v>1.512429E-2</v>
      </c>
      <c r="AJ17" s="282">
        <f t="shared" si="31"/>
        <v>1.512429E-2</v>
      </c>
      <c r="AK17" s="282">
        <f t="shared" si="31"/>
        <v>1.512429E-2</v>
      </c>
      <c r="AL17" s="282">
        <f t="shared" si="31"/>
        <v>1.512429E-2</v>
      </c>
      <c r="AM17" s="282">
        <f t="shared" si="31"/>
        <v>1.512429E-2</v>
      </c>
      <c r="AN17" s="282">
        <f t="shared" si="31"/>
        <v>1.512429E-2</v>
      </c>
      <c r="AO17" s="282">
        <f t="shared" si="31"/>
        <v>1.512429E-2</v>
      </c>
    </row>
    <row r="18" spans="1:41" ht="26.45" x14ac:dyDescent="0.25">
      <c r="A18" s="44" t="s">
        <v>66</v>
      </c>
      <c r="B18" s="45">
        <v>2000</v>
      </c>
      <c r="C18" s="46" t="s">
        <v>67</v>
      </c>
      <c r="D18" s="46" t="s">
        <v>68</v>
      </c>
      <c r="E18" s="47">
        <v>57836</v>
      </c>
      <c r="F18" s="47">
        <v>350000</v>
      </c>
      <c r="G18" s="179">
        <v>891564</v>
      </c>
      <c r="H18" s="48">
        <v>191.5</v>
      </c>
      <c r="I18" s="49">
        <v>0</v>
      </c>
      <c r="J18" s="211" t="s">
        <v>1038</v>
      </c>
    </row>
    <row r="19" spans="1:41" ht="13.15" x14ac:dyDescent="0.25">
      <c r="A19" s="44" t="s">
        <v>69</v>
      </c>
      <c r="B19" s="45">
        <v>2000</v>
      </c>
      <c r="C19" s="46" t="s">
        <v>70</v>
      </c>
      <c r="D19" s="46" t="s">
        <v>71</v>
      </c>
      <c r="E19" s="47">
        <v>33000</v>
      </c>
      <c r="F19" s="47">
        <v>250000</v>
      </c>
      <c r="G19" s="179">
        <f>(E19*0.9)/0.11</f>
        <v>270000</v>
      </c>
      <c r="H19" s="48">
        <v>67</v>
      </c>
      <c r="I19" s="49">
        <f>(E19*0.1)/1</f>
        <v>3300</v>
      </c>
      <c r="J19" s="211"/>
    </row>
    <row r="20" spans="1:41" ht="13.15" x14ac:dyDescent="0.25">
      <c r="A20" s="44" t="s">
        <v>69</v>
      </c>
      <c r="B20" s="45">
        <v>2000</v>
      </c>
      <c r="C20" s="46" t="s">
        <v>72</v>
      </c>
      <c r="D20" s="46" t="s">
        <v>71</v>
      </c>
      <c r="E20" s="47">
        <v>77700</v>
      </c>
      <c r="F20" s="47">
        <v>621000</v>
      </c>
      <c r="G20" s="179">
        <v>856000</v>
      </c>
      <c r="H20" s="48">
        <v>266</v>
      </c>
      <c r="I20" s="49">
        <v>0</v>
      </c>
      <c r="J20" s="211"/>
    </row>
    <row r="21" spans="1:41" ht="13.15" x14ac:dyDescent="0.25">
      <c r="A21" s="44" t="s">
        <v>73</v>
      </c>
      <c r="B21" s="45">
        <v>2000</v>
      </c>
      <c r="C21" s="46" t="s">
        <v>74</v>
      </c>
      <c r="D21" s="46" t="s">
        <v>75</v>
      </c>
      <c r="E21" s="47">
        <v>50288</v>
      </c>
      <c r="F21" s="47">
        <v>165091</v>
      </c>
      <c r="G21" s="179">
        <v>457167</v>
      </c>
      <c r="H21" s="48">
        <v>52</v>
      </c>
      <c r="I21" s="49">
        <v>0</v>
      </c>
      <c r="J21" s="211"/>
    </row>
    <row r="22" spans="1:41" x14ac:dyDescent="0.2">
      <c r="A22" s="44" t="s">
        <v>76</v>
      </c>
      <c r="B22" s="45">
        <v>2000</v>
      </c>
      <c r="C22" s="46" t="s">
        <v>77</v>
      </c>
      <c r="D22" s="46" t="s">
        <v>78</v>
      </c>
      <c r="E22" s="47">
        <v>83000</v>
      </c>
      <c r="F22" s="47">
        <v>226048</v>
      </c>
      <c r="G22" s="179">
        <f>(E22*0.9)/0.11</f>
        <v>679090.90909090906</v>
      </c>
      <c r="H22" s="48"/>
      <c r="I22" s="49">
        <f>(E22*0.1)/1</f>
        <v>8300</v>
      </c>
      <c r="J22" s="211"/>
    </row>
    <row r="23" spans="1:41" x14ac:dyDescent="0.2">
      <c r="A23" s="44" t="s">
        <v>79</v>
      </c>
      <c r="B23" s="45">
        <v>2001</v>
      </c>
      <c r="C23" s="46" t="s">
        <v>80</v>
      </c>
      <c r="D23" s="46" t="s">
        <v>81</v>
      </c>
      <c r="E23" s="47">
        <v>4296</v>
      </c>
      <c r="F23" s="47">
        <v>13637</v>
      </c>
      <c r="G23" s="48">
        <f>(E23*0.9)/0.11</f>
        <v>35149.090909090912</v>
      </c>
      <c r="H23" s="48"/>
      <c r="I23" s="49">
        <f>(E23*0.1)/1</f>
        <v>429.6</v>
      </c>
      <c r="J23" s="211"/>
      <c r="K23" s="14"/>
    </row>
    <row r="24" spans="1:41" s="50" customFormat="1" x14ac:dyDescent="0.2">
      <c r="A24" s="44" t="s">
        <v>82</v>
      </c>
      <c r="B24" s="45">
        <v>2001</v>
      </c>
      <c r="C24" s="46" t="s">
        <v>83</v>
      </c>
      <c r="D24" s="46" t="s">
        <v>84</v>
      </c>
      <c r="E24" s="47">
        <v>40911</v>
      </c>
      <c r="F24" s="47">
        <v>76024</v>
      </c>
      <c r="G24" s="48">
        <f>(E24*0.9)/0.11</f>
        <v>334726.36363636365</v>
      </c>
      <c r="H24" s="48"/>
      <c r="I24" s="49">
        <f>(E24*0.1)/1</f>
        <v>4091.1000000000004</v>
      </c>
      <c r="J24" s="211"/>
    </row>
    <row r="25" spans="1:41" s="50" customFormat="1" x14ac:dyDescent="0.2">
      <c r="A25" s="44" t="s">
        <v>85</v>
      </c>
      <c r="B25" s="45">
        <v>2001</v>
      </c>
      <c r="C25" s="46" t="s">
        <v>86</v>
      </c>
      <c r="D25" s="46" t="s">
        <v>87</v>
      </c>
      <c r="E25" s="47">
        <v>17300</v>
      </c>
      <c r="F25" s="47">
        <v>158000</v>
      </c>
      <c r="G25" s="48">
        <v>284000</v>
      </c>
      <c r="H25" s="48">
        <v>47</v>
      </c>
      <c r="I25" s="49">
        <v>0</v>
      </c>
      <c r="J25" s="211"/>
    </row>
    <row r="26" spans="1:41" x14ac:dyDescent="0.2">
      <c r="A26" s="44" t="s">
        <v>88</v>
      </c>
      <c r="B26" s="45">
        <v>2001</v>
      </c>
      <c r="C26" s="46" t="s">
        <v>89</v>
      </c>
      <c r="D26" s="46" t="s">
        <v>90</v>
      </c>
      <c r="E26" s="47">
        <v>124000</v>
      </c>
      <c r="F26" s="47">
        <v>989000</v>
      </c>
      <c r="G26" s="48">
        <v>1553000</v>
      </c>
      <c r="H26" s="48">
        <v>841</v>
      </c>
      <c r="I26" s="49">
        <v>0</v>
      </c>
      <c r="J26" s="211"/>
    </row>
    <row r="27" spans="1:41" x14ac:dyDescent="0.2">
      <c r="A27" s="44" t="s">
        <v>91</v>
      </c>
      <c r="B27" s="45">
        <v>2001</v>
      </c>
      <c r="C27" s="46" t="s">
        <v>92</v>
      </c>
      <c r="D27" s="46" t="s">
        <v>93</v>
      </c>
      <c r="E27" s="47">
        <v>18291</v>
      </c>
      <c r="F27" s="47">
        <v>75693</v>
      </c>
      <c r="G27" s="48">
        <v>140701</v>
      </c>
      <c r="H27" s="48">
        <v>16</v>
      </c>
      <c r="I27" s="49">
        <v>0</v>
      </c>
      <c r="J27" s="211"/>
    </row>
    <row r="28" spans="1:41" x14ac:dyDescent="0.2">
      <c r="A28" s="44" t="s">
        <v>94</v>
      </c>
      <c r="B28" s="45">
        <v>2001</v>
      </c>
      <c r="C28" s="46" t="s">
        <v>95</v>
      </c>
      <c r="D28" s="46" t="s">
        <v>96</v>
      </c>
      <c r="E28" s="47">
        <v>23821</v>
      </c>
      <c r="F28" s="47">
        <v>86024</v>
      </c>
      <c r="G28" s="48">
        <v>251808</v>
      </c>
      <c r="H28" s="48">
        <v>29</v>
      </c>
      <c r="I28" s="49">
        <v>0</v>
      </c>
      <c r="J28" s="211"/>
    </row>
    <row r="29" spans="1:41" x14ac:dyDescent="0.2">
      <c r="A29" s="44" t="s">
        <v>97</v>
      </c>
      <c r="B29" s="45">
        <v>2001</v>
      </c>
      <c r="C29" s="46" t="s">
        <v>98</v>
      </c>
      <c r="D29" s="46" t="s">
        <v>62</v>
      </c>
      <c r="E29" s="47">
        <v>86022</v>
      </c>
      <c r="F29" s="47">
        <v>388533</v>
      </c>
      <c r="G29" s="48">
        <v>685980</v>
      </c>
      <c r="H29" s="48">
        <v>333</v>
      </c>
      <c r="I29" s="49">
        <v>0</v>
      </c>
      <c r="J29" s="211"/>
    </row>
    <row r="30" spans="1:41" x14ac:dyDescent="0.2">
      <c r="A30" s="44" t="s">
        <v>99</v>
      </c>
      <c r="B30" s="45">
        <v>2001</v>
      </c>
      <c r="C30" s="46" t="s">
        <v>100</v>
      </c>
      <c r="D30" s="46" t="s">
        <v>101</v>
      </c>
      <c r="E30" s="47">
        <v>67350</v>
      </c>
      <c r="F30" s="47">
        <v>195000</v>
      </c>
      <c r="G30" s="48">
        <v>673498</v>
      </c>
      <c r="H30" s="48">
        <v>77</v>
      </c>
      <c r="I30" s="49">
        <v>0</v>
      </c>
      <c r="J30" s="211"/>
    </row>
    <row r="31" spans="1:41" x14ac:dyDescent="0.2">
      <c r="A31" s="44" t="s">
        <v>99</v>
      </c>
      <c r="B31" s="45">
        <v>2001</v>
      </c>
      <c r="C31" s="46" t="s">
        <v>102</v>
      </c>
      <c r="D31" s="46" t="s">
        <v>103</v>
      </c>
      <c r="E31" s="47">
        <v>19933</v>
      </c>
      <c r="F31" s="47">
        <v>96884</v>
      </c>
      <c r="G31" s="48">
        <v>130620</v>
      </c>
      <c r="H31" s="48">
        <v>44</v>
      </c>
      <c r="I31" s="49">
        <v>260</v>
      </c>
      <c r="J31" s="211"/>
    </row>
    <row r="32" spans="1:41" x14ac:dyDescent="0.2">
      <c r="A32" s="44" t="s">
        <v>104</v>
      </c>
      <c r="B32" s="45">
        <v>2001</v>
      </c>
      <c r="C32" s="46" t="s">
        <v>105</v>
      </c>
      <c r="D32" s="46" t="s">
        <v>106</v>
      </c>
      <c r="E32" s="47">
        <v>392000</v>
      </c>
      <c r="F32" s="47">
        <v>1627983</v>
      </c>
      <c r="G32" s="48">
        <v>3524111</v>
      </c>
      <c r="H32" s="48">
        <v>402</v>
      </c>
      <c r="I32" s="49">
        <v>0</v>
      </c>
      <c r="J32" s="211"/>
    </row>
    <row r="33" spans="1:11" x14ac:dyDescent="0.2">
      <c r="A33" s="44" t="s">
        <v>104</v>
      </c>
      <c r="B33" s="45">
        <v>2001</v>
      </c>
      <c r="C33" s="46" t="s">
        <v>107</v>
      </c>
      <c r="D33" s="46" t="s">
        <v>106</v>
      </c>
      <c r="E33" s="47">
        <v>304000</v>
      </c>
      <c r="F33" s="47">
        <v>1999989</v>
      </c>
      <c r="G33" s="48">
        <v>2737772</v>
      </c>
      <c r="H33" s="48">
        <v>313</v>
      </c>
      <c r="I33" s="49">
        <v>0</v>
      </c>
      <c r="J33" s="211"/>
    </row>
    <row r="34" spans="1:11" x14ac:dyDescent="0.2">
      <c r="A34" s="44" t="s">
        <v>104</v>
      </c>
      <c r="B34" s="45">
        <v>2001</v>
      </c>
      <c r="C34" s="46" t="s">
        <v>108</v>
      </c>
      <c r="D34" s="46" t="s">
        <v>109</v>
      </c>
      <c r="E34" s="47">
        <v>81151</v>
      </c>
      <c r="F34" s="47">
        <v>657303</v>
      </c>
      <c r="G34" s="48">
        <v>88253</v>
      </c>
      <c r="H34" s="48">
        <v>37</v>
      </c>
      <c r="I34" s="49">
        <v>40447</v>
      </c>
      <c r="J34" s="211"/>
    </row>
    <row r="35" spans="1:11" x14ac:dyDescent="0.2">
      <c r="A35" s="44" t="s">
        <v>110</v>
      </c>
      <c r="B35" s="45">
        <v>2001</v>
      </c>
      <c r="C35" s="46" t="s">
        <v>111</v>
      </c>
      <c r="D35" s="46" t="s">
        <v>112</v>
      </c>
      <c r="E35" s="47">
        <v>66734</v>
      </c>
      <c r="F35" s="47">
        <v>750000</v>
      </c>
      <c r="G35" s="48">
        <v>630000</v>
      </c>
      <c r="H35" s="48">
        <v>204</v>
      </c>
      <c r="I35" s="49">
        <v>-4288</v>
      </c>
      <c r="J35" s="211"/>
    </row>
    <row r="36" spans="1:11" x14ac:dyDescent="0.2">
      <c r="A36" s="44" t="s">
        <v>113</v>
      </c>
      <c r="B36" s="45">
        <v>2001</v>
      </c>
      <c r="C36" s="46" t="s">
        <v>114</v>
      </c>
      <c r="D36" s="46" t="s">
        <v>115</v>
      </c>
      <c r="E36" s="47">
        <v>6092</v>
      </c>
      <c r="F36" s="47">
        <v>20000</v>
      </c>
      <c r="G36" s="48">
        <v>95635</v>
      </c>
      <c r="H36" s="48">
        <v>11</v>
      </c>
      <c r="I36" s="49">
        <v>0</v>
      </c>
      <c r="J36" s="211"/>
    </row>
    <row r="37" spans="1:11" x14ac:dyDescent="0.2">
      <c r="A37" s="44" t="s">
        <v>116</v>
      </c>
      <c r="B37" s="45">
        <v>2001</v>
      </c>
      <c r="C37" s="46" t="s">
        <v>117</v>
      </c>
      <c r="D37" s="46" t="s">
        <v>106</v>
      </c>
      <c r="E37" s="47">
        <v>171709</v>
      </c>
      <c r="F37" s="47">
        <v>1098886</v>
      </c>
      <c r="G37" s="48">
        <v>34706857</v>
      </c>
      <c r="H37" s="48">
        <v>621</v>
      </c>
      <c r="I37" s="49">
        <v>0</v>
      </c>
      <c r="J37" s="211"/>
    </row>
    <row r="38" spans="1:11" x14ac:dyDescent="0.2">
      <c r="A38" s="44" t="s">
        <v>116</v>
      </c>
      <c r="B38" s="45">
        <v>2001</v>
      </c>
      <c r="C38" s="46" t="s">
        <v>118</v>
      </c>
      <c r="D38" s="46" t="s">
        <v>119</v>
      </c>
      <c r="E38" s="47">
        <v>15239</v>
      </c>
      <c r="F38" s="47">
        <v>105870</v>
      </c>
      <c r="G38" s="48">
        <v>125149</v>
      </c>
      <c r="H38" s="48">
        <v>22</v>
      </c>
      <c r="I38" s="49">
        <v>0</v>
      </c>
      <c r="J38" s="211"/>
    </row>
    <row r="39" spans="1:11" x14ac:dyDescent="0.2">
      <c r="A39" s="44" t="s">
        <v>120</v>
      </c>
      <c r="B39" s="45">
        <v>2001</v>
      </c>
      <c r="C39" s="46" t="s">
        <v>121</v>
      </c>
      <c r="D39" s="46" t="s">
        <v>122</v>
      </c>
      <c r="E39" s="47">
        <v>33092</v>
      </c>
      <c r="F39" s="47">
        <v>185885</v>
      </c>
      <c r="G39" s="48">
        <v>275771</v>
      </c>
      <c r="H39" s="48">
        <v>99</v>
      </c>
      <c r="I39" s="49">
        <v>0</v>
      </c>
      <c r="J39" s="211"/>
    </row>
    <row r="40" spans="1:11" x14ac:dyDescent="0.2">
      <c r="A40" s="44" t="s">
        <v>120</v>
      </c>
      <c r="B40" s="45">
        <v>2001</v>
      </c>
      <c r="C40" s="46" t="s">
        <v>123</v>
      </c>
      <c r="D40" s="46" t="s">
        <v>124</v>
      </c>
      <c r="E40" s="47">
        <v>189000</v>
      </c>
      <c r="F40" s="47">
        <v>1100000</v>
      </c>
      <c r="G40" s="48">
        <v>1727048</v>
      </c>
      <c r="H40" s="48">
        <v>130</v>
      </c>
      <c r="I40" s="49">
        <v>0</v>
      </c>
      <c r="J40" s="211"/>
    </row>
    <row r="41" spans="1:11" x14ac:dyDescent="0.2">
      <c r="A41" s="44" t="s">
        <v>125</v>
      </c>
      <c r="B41" s="45">
        <v>2001</v>
      </c>
      <c r="C41" s="46" t="s">
        <v>126</v>
      </c>
      <c r="D41" s="46" t="s">
        <v>127</v>
      </c>
      <c r="E41" s="47">
        <v>80571</v>
      </c>
      <c r="F41" s="47">
        <v>270000</v>
      </c>
      <c r="G41" s="48">
        <v>687938</v>
      </c>
      <c r="H41" s="48">
        <v>79</v>
      </c>
      <c r="I41" s="49">
        <v>0</v>
      </c>
      <c r="J41" s="211"/>
    </row>
    <row r="42" spans="1:11" x14ac:dyDescent="0.2">
      <c r="A42" s="44" t="s">
        <v>125</v>
      </c>
      <c r="B42" s="45">
        <v>2001</v>
      </c>
      <c r="C42" s="46" t="s">
        <v>128</v>
      </c>
      <c r="D42" s="46" t="s">
        <v>129</v>
      </c>
      <c r="E42" s="47">
        <v>34665</v>
      </c>
      <c r="F42" s="47">
        <v>221000</v>
      </c>
      <c r="G42" s="48">
        <v>292491</v>
      </c>
      <c r="H42" s="48">
        <v>38</v>
      </c>
      <c r="I42" s="49">
        <v>0</v>
      </c>
      <c r="J42" s="211"/>
    </row>
    <row r="43" spans="1:11" x14ac:dyDescent="0.2">
      <c r="A43" s="44" t="s">
        <v>130</v>
      </c>
      <c r="B43" s="45">
        <v>2001</v>
      </c>
      <c r="C43" s="46" t="s">
        <v>131</v>
      </c>
      <c r="D43" s="46" t="s">
        <v>132</v>
      </c>
      <c r="E43" s="47">
        <v>28000</v>
      </c>
      <c r="F43" s="47">
        <v>250000</v>
      </c>
      <c r="G43" s="48">
        <v>209535</v>
      </c>
      <c r="H43" s="48">
        <v>6.3</v>
      </c>
      <c r="I43" s="49">
        <v>0</v>
      </c>
      <c r="J43" s="211"/>
    </row>
    <row r="44" spans="1:11" x14ac:dyDescent="0.2">
      <c r="A44" s="44" t="s">
        <v>133</v>
      </c>
      <c r="B44" s="45">
        <v>2001</v>
      </c>
      <c r="C44" s="46" t="s">
        <v>134</v>
      </c>
      <c r="D44" s="46" t="s">
        <v>135</v>
      </c>
      <c r="E44" s="47">
        <v>371098</v>
      </c>
      <c r="F44" s="47">
        <v>1991717</v>
      </c>
      <c r="G44" s="48">
        <v>3892000</v>
      </c>
      <c r="H44" s="48">
        <v>521</v>
      </c>
      <c r="I44" s="49">
        <v>-138803</v>
      </c>
      <c r="J44" s="211"/>
    </row>
    <row r="45" spans="1:11" x14ac:dyDescent="0.2">
      <c r="A45" s="44" t="s">
        <v>133</v>
      </c>
      <c r="B45" s="45">
        <v>2001</v>
      </c>
      <c r="C45" s="46" t="s">
        <v>136</v>
      </c>
      <c r="D45" s="46" t="s">
        <v>135</v>
      </c>
      <c r="E45" s="47">
        <v>85684</v>
      </c>
      <c r="F45" s="47">
        <v>648780</v>
      </c>
      <c r="G45" s="48">
        <v>670252</v>
      </c>
      <c r="H45" s="48">
        <v>230</v>
      </c>
      <c r="I45" s="49">
        <v>0</v>
      </c>
      <c r="J45" s="211"/>
    </row>
    <row r="46" spans="1:11" x14ac:dyDescent="0.2">
      <c r="A46" s="44" t="s">
        <v>137</v>
      </c>
      <c r="B46" s="45">
        <v>2001</v>
      </c>
      <c r="C46" s="46" t="s">
        <v>138</v>
      </c>
      <c r="D46" s="46" t="s">
        <v>139</v>
      </c>
      <c r="E46" s="47">
        <v>34397</v>
      </c>
      <c r="F46" s="47">
        <v>270480</v>
      </c>
      <c r="G46" s="48">
        <v>117605</v>
      </c>
      <c r="H46" s="48">
        <v>13</v>
      </c>
      <c r="I46" s="49">
        <v>0</v>
      </c>
      <c r="J46" s="211"/>
      <c r="K46" s="13" t="s">
        <v>1037</v>
      </c>
    </row>
    <row r="47" spans="1:11" x14ac:dyDescent="0.2">
      <c r="A47" s="44" t="s">
        <v>140</v>
      </c>
      <c r="B47" s="45">
        <v>2001</v>
      </c>
      <c r="C47" s="46" t="s">
        <v>141</v>
      </c>
      <c r="D47" s="46" t="s">
        <v>142</v>
      </c>
      <c r="E47" s="47">
        <v>80185</v>
      </c>
      <c r="F47" s="47">
        <v>500000</v>
      </c>
      <c r="G47" s="48">
        <v>20000</v>
      </c>
      <c r="H47" s="48">
        <v>473</v>
      </c>
      <c r="I47" s="49">
        <v>0</v>
      </c>
      <c r="J47" s="211"/>
    </row>
    <row r="48" spans="1:11" x14ac:dyDescent="0.2">
      <c r="A48" s="44" t="s">
        <v>140</v>
      </c>
      <c r="B48" s="45">
        <v>2001</v>
      </c>
      <c r="C48" s="46" t="s">
        <v>143</v>
      </c>
      <c r="D48" s="46" t="s">
        <v>144</v>
      </c>
      <c r="E48" s="47">
        <v>59933</v>
      </c>
      <c r="F48" s="47">
        <v>348338</v>
      </c>
      <c r="G48" s="48">
        <v>599333</v>
      </c>
      <c r="H48" s="48">
        <v>74.8</v>
      </c>
      <c r="I48" s="49">
        <v>0</v>
      </c>
      <c r="J48" s="211"/>
    </row>
    <row r="49" spans="1:42" x14ac:dyDescent="0.2">
      <c r="A49" s="44" t="s">
        <v>140</v>
      </c>
      <c r="B49" s="45">
        <v>2001</v>
      </c>
      <c r="C49" s="46" t="s">
        <v>145</v>
      </c>
      <c r="D49" s="46" t="s">
        <v>146</v>
      </c>
      <c r="E49" s="47">
        <v>170239</v>
      </c>
      <c r="F49" s="47">
        <v>962617</v>
      </c>
      <c r="G49" s="48">
        <v>1702393</v>
      </c>
      <c r="H49" s="48">
        <v>483</v>
      </c>
      <c r="I49" s="49">
        <v>0</v>
      </c>
      <c r="J49" s="211"/>
    </row>
    <row r="50" spans="1:42" x14ac:dyDescent="0.2">
      <c r="A50" s="44" t="s">
        <v>140</v>
      </c>
      <c r="B50" s="45">
        <v>2001</v>
      </c>
      <c r="C50" s="46" t="s">
        <v>147</v>
      </c>
      <c r="D50" s="46" t="s">
        <v>146</v>
      </c>
      <c r="E50" s="47">
        <v>71904</v>
      </c>
      <c r="F50" s="47">
        <v>647136</v>
      </c>
      <c r="G50" s="48">
        <v>0</v>
      </c>
      <c r="H50" s="48">
        <v>400</v>
      </c>
      <c r="I50" s="49">
        <v>0</v>
      </c>
      <c r="J50" s="211"/>
    </row>
    <row r="51" spans="1:42" x14ac:dyDescent="0.2">
      <c r="A51" s="44" t="s">
        <v>148</v>
      </c>
      <c r="B51" s="45">
        <v>2001</v>
      </c>
      <c r="C51" s="46" t="s">
        <v>149</v>
      </c>
      <c r="D51" s="46" t="s">
        <v>122</v>
      </c>
      <c r="E51" s="47">
        <v>101000</v>
      </c>
      <c r="F51" s="47">
        <v>901306</v>
      </c>
      <c r="G51" s="48">
        <v>772000</v>
      </c>
      <c r="H51" s="48">
        <v>247</v>
      </c>
      <c r="I51" s="49">
        <v>0</v>
      </c>
      <c r="J51" s="211"/>
    </row>
    <row r="52" spans="1:42" x14ac:dyDescent="0.2">
      <c r="A52" s="44" t="s">
        <v>150</v>
      </c>
      <c r="B52" s="45">
        <v>2001</v>
      </c>
      <c r="C52" s="46" t="s">
        <v>151</v>
      </c>
      <c r="D52" s="46" t="s">
        <v>152</v>
      </c>
      <c r="E52" s="47">
        <v>405000</v>
      </c>
      <c r="F52" s="47">
        <v>1500000</v>
      </c>
      <c r="G52" s="48">
        <v>4000000</v>
      </c>
      <c r="H52" s="48">
        <v>350</v>
      </c>
      <c r="I52" s="49">
        <v>0</v>
      </c>
      <c r="J52" s="211"/>
    </row>
    <row r="53" spans="1:42" x14ac:dyDescent="0.2">
      <c r="A53" s="44" t="s">
        <v>150</v>
      </c>
      <c r="B53" s="45">
        <v>2001</v>
      </c>
      <c r="C53" s="46" t="s">
        <v>153</v>
      </c>
      <c r="D53" s="46" t="s">
        <v>154</v>
      </c>
      <c r="E53" s="47">
        <v>28000</v>
      </c>
      <c r="F53" s="47">
        <v>140000</v>
      </c>
      <c r="G53" s="48">
        <v>268600</v>
      </c>
      <c r="H53" s="48">
        <v>60.5</v>
      </c>
      <c r="I53" s="49">
        <v>0</v>
      </c>
      <c r="J53" s="211"/>
    </row>
    <row r="54" spans="1:42" x14ac:dyDescent="0.2">
      <c r="A54" s="44" t="s">
        <v>155</v>
      </c>
      <c r="B54" s="45">
        <v>2001</v>
      </c>
      <c r="C54" s="46" t="s">
        <v>156</v>
      </c>
      <c r="D54" s="46" t="s">
        <v>157</v>
      </c>
      <c r="E54" s="47">
        <v>213000</v>
      </c>
      <c r="F54" s="47">
        <v>1900345</v>
      </c>
      <c r="G54" s="48">
        <v>1090000</v>
      </c>
      <c r="H54" s="48">
        <v>353</v>
      </c>
      <c r="I54" s="49">
        <v>7000</v>
      </c>
      <c r="J54" s="211"/>
    </row>
    <row r="55" spans="1:42" x14ac:dyDescent="0.2">
      <c r="A55" s="44" t="s">
        <v>158</v>
      </c>
      <c r="B55" s="45">
        <v>2001</v>
      </c>
      <c r="C55" s="46" t="s">
        <v>159</v>
      </c>
      <c r="D55" s="46" t="s">
        <v>160</v>
      </c>
      <c r="E55" s="47">
        <v>11300</v>
      </c>
      <c r="F55" s="47">
        <v>62324</v>
      </c>
      <c r="G55" s="48">
        <v>0</v>
      </c>
      <c r="H55" s="48">
        <v>0</v>
      </c>
      <c r="I55" s="49">
        <v>14125</v>
      </c>
      <c r="J55" s="211"/>
    </row>
    <row r="56" spans="1:42" x14ac:dyDescent="0.2">
      <c r="A56" s="44" t="s">
        <v>158</v>
      </c>
      <c r="B56" s="45">
        <v>2001</v>
      </c>
      <c r="C56" s="46" t="s">
        <v>161</v>
      </c>
      <c r="D56" s="46" t="s">
        <v>160</v>
      </c>
      <c r="E56" s="47">
        <v>146089</v>
      </c>
      <c r="F56" s="47">
        <v>1090020</v>
      </c>
      <c r="G56" s="48">
        <v>1040000</v>
      </c>
      <c r="H56" s="48">
        <v>230</v>
      </c>
      <c r="I56" s="49">
        <v>0</v>
      </c>
      <c r="J56" s="211"/>
    </row>
    <row r="57" spans="1:42" x14ac:dyDescent="0.2">
      <c r="A57" s="44" t="s">
        <v>158</v>
      </c>
      <c r="B57" s="45">
        <v>2001</v>
      </c>
      <c r="C57" s="46" t="s">
        <v>162</v>
      </c>
      <c r="D57" s="46" t="s">
        <v>160</v>
      </c>
      <c r="E57" s="47">
        <v>66000</v>
      </c>
      <c r="F57" s="47">
        <v>550200</v>
      </c>
      <c r="G57" s="48">
        <v>475000</v>
      </c>
      <c r="H57" s="48">
        <v>109</v>
      </c>
      <c r="I57" s="49">
        <v>0</v>
      </c>
      <c r="J57" s="211"/>
    </row>
    <row r="58" spans="1:42" x14ac:dyDescent="0.2">
      <c r="A58" s="44" t="s">
        <v>158</v>
      </c>
      <c r="B58" s="45">
        <v>2001</v>
      </c>
      <c r="C58" s="46" t="s">
        <v>163</v>
      </c>
      <c r="D58" s="46" t="s">
        <v>164</v>
      </c>
      <c r="E58" s="47">
        <v>218000</v>
      </c>
      <c r="F58" s="47">
        <v>1600000</v>
      </c>
      <c r="G58" s="48">
        <v>1306799</v>
      </c>
      <c r="H58" s="48">
        <v>655.5</v>
      </c>
      <c r="I58" s="49">
        <v>0</v>
      </c>
      <c r="J58" s="211"/>
    </row>
    <row r="59" spans="1:42" x14ac:dyDescent="0.2">
      <c r="A59" s="44" t="s">
        <v>165</v>
      </c>
      <c r="B59" s="45">
        <v>2001</v>
      </c>
      <c r="C59" s="46" t="s">
        <v>166</v>
      </c>
      <c r="D59" s="46" t="s">
        <v>167</v>
      </c>
      <c r="E59" s="47">
        <v>15034</v>
      </c>
      <c r="F59" s="47">
        <v>131559</v>
      </c>
      <c r="G59" s="48">
        <v>109739</v>
      </c>
      <c r="H59" s="48">
        <v>54</v>
      </c>
      <c r="I59" s="49">
        <v>0</v>
      </c>
      <c r="J59" s="211"/>
    </row>
    <row r="60" spans="1:42" x14ac:dyDescent="0.2">
      <c r="A60" s="44" t="s">
        <v>165</v>
      </c>
      <c r="B60" s="45">
        <v>2001</v>
      </c>
      <c r="C60" s="46" t="s">
        <v>168</v>
      </c>
      <c r="D60" s="46" t="s">
        <v>169</v>
      </c>
      <c r="E60" s="47">
        <v>69011</v>
      </c>
      <c r="F60" s="47">
        <v>242445</v>
      </c>
      <c r="G60" s="48">
        <v>313641</v>
      </c>
      <c r="H60" s="48">
        <v>59</v>
      </c>
      <c r="I60" s="49">
        <v>0</v>
      </c>
      <c r="J60" s="211"/>
    </row>
    <row r="61" spans="1:42" x14ac:dyDescent="0.2">
      <c r="A61" s="44" t="s">
        <v>165</v>
      </c>
      <c r="B61" s="45">
        <v>2001</v>
      </c>
      <c r="C61" s="46" t="s">
        <v>170</v>
      </c>
      <c r="D61" s="46" t="s">
        <v>169</v>
      </c>
      <c r="E61" s="47">
        <v>170282</v>
      </c>
      <c r="F61" s="47">
        <v>1593574</v>
      </c>
      <c r="G61" s="48">
        <v>913403</v>
      </c>
      <c r="H61" s="48">
        <v>104</v>
      </c>
      <c r="I61" s="49">
        <v>48141</v>
      </c>
      <c r="J61" s="211"/>
    </row>
    <row r="62" spans="1:42" x14ac:dyDescent="0.2">
      <c r="A62" s="44" t="s">
        <v>171</v>
      </c>
      <c r="B62" s="45">
        <v>2001</v>
      </c>
      <c r="C62" s="46" t="s">
        <v>172</v>
      </c>
      <c r="D62" s="46" t="s">
        <v>87</v>
      </c>
      <c r="E62" s="47">
        <v>67559</v>
      </c>
      <c r="F62" s="47">
        <v>438100</v>
      </c>
      <c r="G62" s="48">
        <v>947000</v>
      </c>
      <c r="H62" s="48">
        <v>228</v>
      </c>
      <c r="I62" s="49">
        <v>0</v>
      </c>
      <c r="J62" s="211"/>
    </row>
    <row r="63" spans="1:42" x14ac:dyDescent="0.2">
      <c r="A63" s="44" t="s">
        <v>173</v>
      </c>
      <c r="B63" s="45">
        <v>2001</v>
      </c>
      <c r="C63" s="46" t="s">
        <v>174</v>
      </c>
      <c r="D63" s="46" t="s">
        <v>175</v>
      </c>
      <c r="E63" s="47">
        <v>325000</v>
      </c>
      <c r="F63" s="47">
        <v>1500000</v>
      </c>
      <c r="G63" s="48">
        <v>8072340</v>
      </c>
      <c r="H63" s="48">
        <v>970</v>
      </c>
      <c r="I63" s="49">
        <v>0</v>
      </c>
      <c r="J63" s="211"/>
    </row>
    <row r="64" spans="1:42" x14ac:dyDescent="0.2">
      <c r="A64" s="44" t="s">
        <v>173</v>
      </c>
      <c r="B64" s="45">
        <v>2001</v>
      </c>
      <c r="C64" s="46" t="s">
        <v>176</v>
      </c>
      <c r="D64" s="46" t="s">
        <v>177</v>
      </c>
      <c r="E64" s="47">
        <v>3500</v>
      </c>
      <c r="F64" s="47">
        <v>31000</v>
      </c>
      <c r="G64" s="48">
        <v>38000</v>
      </c>
      <c r="H64" s="48">
        <v>14</v>
      </c>
      <c r="I64" s="49">
        <v>0</v>
      </c>
      <c r="J64" s="211"/>
      <c r="K64" s="210" t="s">
        <v>1036</v>
      </c>
      <c r="L64" s="43">
        <v>2000</v>
      </c>
      <c r="M64" s="43">
        <v>2001</v>
      </c>
      <c r="N64" s="43">
        <f>M64+1</f>
        <v>2002</v>
      </c>
      <c r="O64" s="43">
        <f t="shared" ref="O64" si="32">N64+1</f>
        <v>2003</v>
      </c>
      <c r="P64" s="43">
        <f t="shared" ref="P64" si="33">O64+1</f>
        <v>2004</v>
      </c>
      <c r="Q64" s="43">
        <f t="shared" ref="Q64" si="34">P64+1</f>
        <v>2005</v>
      </c>
      <c r="R64" s="43">
        <f t="shared" ref="R64" si="35">Q64+1</f>
        <v>2006</v>
      </c>
      <c r="S64" s="43">
        <f t="shared" ref="S64" si="36">R64+1</f>
        <v>2007</v>
      </c>
      <c r="T64" s="43">
        <f t="shared" ref="T64" si="37">S64+1</f>
        <v>2008</v>
      </c>
      <c r="U64" s="43">
        <f t="shared" ref="U64" si="38">T64+1</f>
        <v>2009</v>
      </c>
      <c r="V64" s="43">
        <f>U64+1</f>
        <v>2010</v>
      </c>
      <c r="W64" s="43">
        <f t="shared" ref="W64" si="39">V64+1</f>
        <v>2011</v>
      </c>
      <c r="X64" s="43">
        <f t="shared" ref="X64" si="40">W64+1</f>
        <v>2012</v>
      </c>
      <c r="Y64" s="43">
        <f t="shared" ref="Y64" si="41">X64+1</f>
        <v>2013</v>
      </c>
      <c r="Z64" s="43">
        <f t="shared" ref="Z64" si="42">Y64+1</f>
        <v>2014</v>
      </c>
      <c r="AA64" s="43">
        <f t="shared" ref="AA64" si="43">Z64+1</f>
        <v>2015</v>
      </c>
      <c r="AB64" s="43">
        <f t="shared" ref="AB64" si="44">AA64+1</f>
        <v>2016</v>
      </c>
      <c r="AC64" s="43">
        <f t="shared" ref="AC64" si="45">AB64+1</f>
        <v>2017</v>
      </c>
      <c r="AD64" s="43">
        <f t="shared" ref="AD64" si="46">AC64+1</f>
        <v>2018</v>
      </c>
      <c r="AE64" s="43">
        <f t="shared" ref="AE64" si="47">AD64+1</f>
        <v>2019</v>
      </c>
      <c r="AF64" s="43">
        <f t="shared" ref="AF64" si="48">AE64+1</f>
        <v>2020</v>
      </c>
      <c r="AG64" s="43">
        <f t="shared" ref="AG64" si="49">AF64+1</f>
        <v>2021</v>
      </c>
      <c r="AH64" s="43">
        <f t="shared" ref="AH64" si="50">AG64+1</f>
        <v>2022</v>
      </c>
      <c r="AI64" s="43">
        <f t="shared" ref="AI64" si="51">AH64+1</f>
        <v>2023</v>
      </c>
      <c r="AJ64" s="43">
        <f t="shared" ref="AJ64" si="52">AI64+1</f>
        <v>2024</v>
      </c>
      <c r="AK64" s="43">
        <f t="shared" ref="AK64" si="53">AJ64+1</f>
        <v>2025</v>
      </c>
      <c r="AL64" s="43">
        <f t="shared" ref="AL64" si="54">AK64+1</f>
        <v>2026</v>
      </c>
      <c r="AM64" s="43">
        <f t="shared" ref="AM64" si="55">AL64+1</f>
        <v>2027</v>
      </c>
      <c r="AN64" s="43">
        <f t="shared" ref="AN64" si="56">AM64+1</f>
        <v>2028</v>
      </c>
      <c r="AO64" s="43">
        <f t="shared" ref="AO64" si="57">AN64+1</f>
        <v>2029</v>
      </c>
      <c r="AP64" s="43">
        <f t="shared" ref="AP64" si="58">AO64+1</f>
        <v>2030</v>
      </c>
    </row>
    <row r="65" spans="1:42" ht="38.25" x14ac:dyDescent="0.2">
      <c r="A65" s="44" t="s">
        <v>173</v>
      </c>
      <c r="B65" s="45">
        <v>2001</v>
      </c>
      <c r="C65" s="46" t="s">
        <v>178</v>
      </c>
      <c r="D65" s="46" t="s">
        <v>179</v>
      </c>
      <c r="E65" s="47">
        <v>134434</v>
      </c>
      <c r="F65" s="47">
        <v>1210000</v>
      </c>
      <c r="G65" s="48">
        <v>767344</v>
      </c>
      <c r="H65" s="48">
        <v>345</v>
      </c>
      <c r="I65" s="49">
        <v>48154</v>
      </c>
      <c r="J65" s="211" t="s">
        <v>1034</v>
      </c>
      <c r="K65" s="13">
        <v>8913851.4805194791</v>
      </c>
      <c r="L65" s="13">
        <f t="shared" ref="L65" si="59">SUMIF($B$12:$B$336,L64,$G$12:$G$336)</f>
        <v>8913851.4805194791</v>
      </c>
      <c r="M65" s="13">
        <f>SUMIF($B$12:$B$336,M64,$G$12:$G$336)</f>
        <v>107611799.27272727</v>
      </c>
      <c r="N65" s="13">
        <f t="shared" ref="N65:AA65" si="60">SUMIF($B$12:$B$336,N64,$G$12:$G$336)</f>
        <v>32224995.90909091</v>
      </c>
      <c r="O65" s="13">
        <f t="shared" si="60"/>
        <v>17359599</v>
      </c>
      <c r="P65" s="13">
        <f t="shared" si="60"/>
        <v>23024131</v>
      </c>
      <c r="Q65" s="13">
        <f t="shared" si="60"/>
        <v>2715101</v>
      </c>
      <c r="R65" s="13">
        <f t="shared" si="60"/>
        <v>7608708</v>
      </c>
      <c r="S65" s="13">
        <f t="shared" si="60"/>
        <v>12106988</v>
      </c>
      <c r="T65" s="13">
        <f t="shared" si="60"/>
        <v>7443203</v>
      </c>
      <c r="U65" s="13">
        <f t="shared" si="60"/>
        <v>7565792.9090909092</v>
      </c>
      <c r="V65" s="13">
        <f t="shared" si="60"/>
        <v>27168861</v>
      </c>
      <c r="W65" s="13">
        <f t="shared" si="60"/>
        <v>15434786</v>
      </c>
      <c r="X65" s="13">
        <f t="shared" si="60"/>
        <v>19459741</v>
      </c>
      <c r="Y65" s="13">
        <f t="shared" si="60"/>
        <v>10622377</v>
      </c>
      <c r="Z65" s="13">
        <f t="shared" si="60"/>
        <v>26381607</v>
      </c>
      <c r="AA65" s="13">
        <f t="shared" si="60"/>
        <v>17036518</v>
      </c>
      <c r="AB65" s="13">
        <f>FORECAST(AB64,$L$65:AA65,$L$64:AA64)</f>
        <v>7810764.0103898048</v>
      </c>
      <c r="AC65" s="13">
        <f>FORECAST(AC64,$L$65:AB65,$L$64:AB64)</f>
        <v>6209985.808880806</v>
      </c>
      <c r="AD65" s="13">
        <f>FORECAST(AD64,$L$65:AC65,$L$64:AC64)</f>
        <v>4609207.6073718071</v>
      </c>
      <c r="AE65" s="13">
        <f>FORECAST(AE64,$L$65:AD65,$L$64:AD64)</f>
        <v>3008429.4058628082</v>
      </c>
      <c r="AF65" s="13">
        <f>FORECAST(AF64,$L$65:AE65,$L$64:AE64)</f>
        <v>1407651.2043542862</v>
      </c>
      <c r="AG65" s="13">
        <f>FORECAST(AG64,$L$65:AF65,$L$64:AF64)</f>
        <v>-193126.99715471268</v>
      </c>
      <c r="AH65" s="13">
        <f>FORECAST(AH64,$L$65:AG65,$L$64:AG64)</f>
        <v>-1793905.1986632347</v>
      </c>
      <c r="AI65" s="13">
        <f>FORECAST(AI64,$L$65:AH65,$L$64:AH64)</f>
        <v>-3394683.4001722336</v>
      </c>
      <c r="AJ65" s="13">
        <f>FORECAST(AJ64,$L$65:AI65,$L$64:AI64)</f>
        <v>-4995461.6016807556</v>
      </c>
      <c r="AK65" s="13">
        <f>FORECAST(AK64,$L$65:AJ65,$L$64:AJ64)</f>
        <v>-6596239.8031897545</v>
      </c>
      <c r="AL65" s="13">
        <f>FORECAST(AL64,$L$65:AK65,$L$64:AK64)</f>
        <v>-8197018.0046987534</v>
      </c>
      <c r="AM65" s="13">
        <f>FORECAST(AM64,$L$65:AL65,$L$64:AL64)</f>
        <v>-9797796.2062072754</v>
      </c>
      <c r="AN65" s="13">
        <f>FORECAST(AN64,$L$65:AM65,$L$64:AM64)</f>
        <v>-11398574.407715797</v>
      </c>
      <c r="AO65" s="13">
        <f>FORECAST(AO64,$L$65:AN65,$L$64:AN64)</f>
        <v>-12999352.609225273</v>
      </c>
      <c r="AP65" s="13">
        <f>FORECAST(AP64,$L$65:AO65,$L$64:AO64)</f>
        <v>-14600130.810734272</v>
      </c>
    </row>
    <row r="66" spans="1:42" x14ac:dyDescent="0.2">
      <c r="A66" s="44" t="s">
        <v>180</v>
      </c>
      <c r="B66" s="45">
        <v>2001</v>
      </c>
      <c r="C66" s="46" t="s">
        <v>181</v>
      </c>
      <c r="D66" s="46" t="s">
        <v>182</v>
      </c>
      <c r="E66" s="47">
        <v>64187</v>
      </c>
      <c r="F66" s="47">
        <v>267500</v>
      </c>
      <c r="G66" s="48">
        <v>721242</v>
      </c>
      <c r="H66" s="48">
        <v>82</v>
      </c>
      <c r="I66" s="49">
        <v>0</v>
      </c>
      <c r="J66" s="211"/>
      <c r="L66" s="214">
        <f>L65/K65</f>
        <v>1</v>
      </c>
      <c r="N66" s="214">
        <f>N65/M65</f>
        <v>0.29945597162092885</v>
      </c>
      <c r="O66" s="214">
        <f t="shared" ref="O66:AJ66" si="61">O65/N65</f>
        <v>0.53869980461666178</v>
      </c>
      <c r="P66" s="214">
        <f t="shared" si="61"/>
        <v>1.3263054636227485</v>
      </c>
      <c r="Q66" s="214">
        <f t="shared" si="61"/>
        <v>0.11792414662685857</v>
      </c>
      <c r="R66" s="214">
        <f t="shared" si="61"/>
        <v>2.8023664681350713</v>
      </c>
      <c r="S66" s="214">
        <f t="shared" si="61"/>
        <v>1.5912015548500482</v>
      </c>
      <c r="T66" s="214">
        <f t="shared" si="61"/>
        <v>0.61478569236212999</v>
      </c>
      <c r="U66" s="214">
        <f t="shared" si="61"/>
        <v>1.0164700477860014</v>
      </c>
      <c r="V66" s="214">
        <f t="shared" si="61"/>
        <v>3.59101304072894</v>
      </c>
      <c r="W66" s="214">
        <f t="shared" si="61"/>
        <v>0.56810574429307137</v>
      </c>
      <c r="X66" s="214">
        <f t="shared" si="61"/>
        <v>1.2607716750980544</v>
      </c>
      <c r="Y66" s="214">
        <f t="shared" si="61"/>
        <v>0.54586425379453918</v>
      </c>
      <c r="Z66" s="214">
        <f t="shared" si="61"/>
        <v>2.4835879012767106</v>
      </c>
      <c r="AA66" s="214">
        <f t="shared" si="61"/>
        <v>0.64577256419595663</v>
      </c>
      <c r="AB66" s="214">
        <f t="shared" si="61"/>
        <v>0.45847185501108884</v>
      </c>
      <c r="AC66" s="214">
        <f t="shared" si="61"/>
        <v>0.79505485002751863</v>
      </c>
      <c r="AD66" s="214">
        <f t="shared" si="61"/>
        <v>0.74222514337798484</v>
      </c>
      <c r="AE66" s="214">
        <f t="shared" si="61"/>
        <v>0.65269991333244148</v>
      </c>
      <c r="AF66" s="214">
        <f t="shared" si="61"/>
        <v>0.46790235516614231</v>
      </c>
      <c r="AG66" s="214">
        <f t="shared" si="61"/>
        <v>-0.13719804775310326</v>
      </c>
      <c r="AH66" s="214">
        <f t="shared" si="61"/>
        <v>9.2887334504877632</v>
      </c>
      <c r="AI66" s="214">
        <f t="shared" si="61"/>
        <v>1.8923426960922192</v>
      </c>
      <c r="AJ66" s="214">
        <f t="shared" si="61"/>
        <v>1.4715544905976519</v>
      </c>
      <c r="AK66" s="214">
        <f t="shared" ref="AK66" si="62">AK65/AJ65</f>
        <v>1.3204465030759933</v>
      </c>
      <c r="AL66" s="214">
        <f t="shared" ref="AL66" si="63">AL65/AK65</f>
        <v>1.2426804132765015</v>
      </c>
      <c r="AM66" s="214">
        <f t="shared" ref="AM66" si="64">AM65/AL65</f>
        <v>1.1952878718322826</v>
      </c>
      <c r="AN66" s="214">
        <f t="shared" ref="AN66" si="65">AN65/AM65</f>
        <v>1.163381455157678</v>
      </c>
      <c r="AO66" s="214">
        <f t="shared" ref="AO66" si="66">AO65/AN65</f>
        <v>1.1404367023674378</v>
      </c>
      <c r="AP66" s="214">
        <f t="shared" ref="AP66" si="67">AP65/AO65</f>
        <v>1.1231429171613494</v>
      </c>
    </row>
    <row r="67" spans="1:42" x14ac:dyDescent="0.2">
      <c r="A67" s="44" t="s">
        <v>180</v>
      </c>
      <c r="B67" s="45">
        <v>2001</v>
      </c>
      <c r="C67" s="46" t="s">
        <v>183</v>
      </c>
      <c r="D67" s="46" t="s">
        <v>184</v>
      </c>
      <c r="E67" s="47">
        <v>54000</v>
      </c>
      <c r="F67" s="47">
        <v>315119</v>
      </c>
      <c r="G67" s="48">
        <v>303000</v>
      </c>
      <c r="H67" s="48">
        <v>0</v>
      </c>
      <c r="I67" s="49">
        <v>8700</v>
      </c>
      <c r="J67" s="211"/>
      <c r="L67" s="13">
        <f>L65/1000000</f>
        <v>8.9138514805194795</v>
      </c>
      <c r="M67" s="13">
        <f t="shared" ref="M67:AP67" si="68">M65/1000000</f>
        <v>107.61179927272727</v>
      </c>
      <c r="N67" s="13">
        <f t="shared" si="68"/>
        <v>32.224995909090907</v>
      </c>
      <c r="O67" s="13">
        <f t="shared" si="68"/>
        <v>17.359598999999999</v>
      </c>
      <c r="P67" s="13">
        <f t="shared" si="68"/>
        <v>23.024131000000001</v>
      </c>
      <c r="Q67" s="13">
        <f t="shared" si="68"/>
        <v>2.7151010000000002</v>
      </c>
      <c r="R67" s="13">
        <f t="shared" si="68"/>
        <v>7.608708</v>
      </c>
      <c r="S67" s="13">
        <f t="shared" si="68"/>
        <v>12.106987999999999</v>
      </c>
      <c r="T67" s="13">
        <f t="shared" si="68"/>
        <v>7.4432029999999996</v>
      </c>
      <c r="U67" s="13">
        <f t="shared" si="68"/>
        <v>7.5657929090909093</v>
      </c>
      <c r="V67" s="13">
        <f t="shared" si="68"/>
        <v>27.168861</v>
      </c>
      <c r="W67" s="13">
        <f t="shared" si="68"/>
        <v>15.434786000000001</v>
      </c>
      <c r="X67" s="13">
        <f t="shared" si="68"/>
        <v>19.459741000000001</v>
      </c>
      <c r="Y67" s="13">
        <f t="shared" si="68"/>
        <v>10.622377</v>
      </c>
      <c r="Z67" s="13">
        <f t="shared" si="68"/>
        <v>26.381606999999999</v>
      </c>
      <c r="AA67" s="13">
        <f t="shared" si="68"/>
        <v>17.036518000000001</v>
      </c>
      <c r="AB67" s="13">
        <f t="shared" si="68"/>
        <v>7.8107640103898053</v>
      </c>
      <c r="AC67" s="13">
        <f t="shared" si="68"/>
        <v>6.2099858088808055</v>
      </c>
      <c r="AD67" s="13">
        <f t="shared" si="68"/>
        <v>4.6092076073718067</v>
      </c>
      <c r="AE67" s="13">
        <f t="shared" si="68"/>
        <v>3.0084294058628083</v>
      </c>
      <c r="AF67" s="13">
        <f t="shared" si="68"/>
        <v>1.4076512043542861</v>
      </c>
      <c r="AG67" s="13">
        <f t="shared" si="68"/>
        <v>-0.19312699715471268</v>
      </c>
      <c r="AH67" s="13">
        <f t="shared" si="68"/>
        <v>-1.7939051986632346</v>
      </c>
      <c r="AI67" s="13">
        <f t="shared" si="68"/>
        <v>-3.3946834001722337</v>
      </c>
      <c r="AJ67" s="13">
        <f t="shared" si="68"/>
        <v>-4.9954616016807556</v>
      </c>
      <c r="AK67" s="13">
        <f t="shared" si="68"/>
        <v>-6.5962398031897544</v>
      </c>
      <c r="AL67" s="13">
        <f t="shared" si="68"/>
        <v>-8.1970180046987533</v>
      </c>
      <c r="AM67" s="13">
        <f t="shared" si="68"/>
        <v>-9.7977962062072752</v>
      </c>
      <c r="AN67" s="13">
        <f t="shared" si="68"/>
        <v>-11.398574407715797</v>
      </c>
      <c r="AO67" s="13">
        <f t="shared" si="68"/>
        <v>-12.999352609225273</v>
      </c>
      <c r="AP67" s="13">
        <f t="shared" si="68"/>
        <v>-14.600130810734273</v>
      </c>
    </row>
    <row r="68" spans="1:42" x14ac:dyDescent="0.2">
      <c r="A68" s="44" t="s">
        <v>180</v>
      </c>
      <c r="B68" s="45">
        <v>2001</v>
      </c>
      <c r="C68" s="46" t="s">
        <v>185</v>
      </c>
      <c r="D68" s="46" t="s">
        <v>184</v>
      </c>
      <c r="E68" s="47">
        <v>58000</v>
      </c>
      <c r="F68" s="47">
        <v>384881</v>
      </c>
      <c r="G68" s="48">
        <v>525000</v>
      </c>
      <c r="H68" s="48">
        <v>50</v>
      </c>
      <c r="I68" s="49">
        <v>9000</v>
      </c>
      <c r="J68" s="211"/>
    </row>
    <row r="69" spans="1:42" x14ac:dyDescent="0.2">
      <c r="A69" s="44" t="s">
        <v>186</v>
      </c>
      <c r="B69" s="45">
        <v>2001</v>
      </c>
      <c r="C69" s="46" t="s">
        <v>187</v>
      </c>
      <c r="D69" s="46" t="s">
        <v>188</v>
      </c>
      <c r="E69" s="47">
        <v>30152</v>
      </c>
      <c r="F69" s="47">
        <v>271000</v>
      </c>
      <c r="G69" s="48">
        <v>220994</v>
      </c>
      <c r="H69" s="48">
        <v>63</v>
      </c>
      <c r="I69" s="49">
        <v>0</v>
      </c>
      <c r="J69" s="211"/>
    </row>
    <row r="70" spans="1:42" x14ac:dyDescent="0.2">
      <c r="A70" s="44" t="s">
        <v>189</v>
      </c>
      <c r="B70" s="45">
        <v>2001</v>
      </c>
      <c r="C70" s="46" t="s">
        <v>190</v>
      </c>
      <c r="D70" s="46" t="s">
        <v>191</v>
      </c>
      <c r="E70" s="47">
        <v>52379</v>
      </c>
      <c r="F70" s="47">
        <v>471411</v>
      </c>
      <c r="G70" s="48">
        <v>682404</v>
      </c>
      <c r="H70" s="48">
        <v>107</v>
      </c>
      <c r="I70" s="49">
        <v>4520</v>
      </c>
      <c r="J70" s="211"/>
    </row>
    <row r="71" spans="1:42" ht="25.5" x14ac:dyDescent="0.2">
      <c r="A71" s="44" t="s">
        <v>192</v>
      </c>
      <c r="B71" s="45">
        <v>2001</v>
      </c>
      <c r="C71" s="46" t="s">
        <v>193</v>
      </c>
      <c r="D71" s="46" t="s">
        <v>194</v>
      </c>
      <c r="E71" s="47">
        <v>192231</v>
      </c>
      <c r="F71" s="47">
        <v>823911</v>
      </c>
      <c r="G71" s="48">
        <v>1747551</v>
      </c>
      <c r="H71" s="48">
        <v>396</v>
      </c>
      <c r="I71" s="49">
        <v>0</v>
      </c>
      <c r="J71" s="211" t="s">
        <v>1035</v>
      </c>
      <c r="K71" s="13">
        <v>62947.071428571442</v>
      </c>
      <c r="L71" s="13">
        <v>62947.071428571442</v>
      </c>
      <c r="M71" s="13">
        <v>-246097.59999999998</v>
      </c>
      <c r="N71" s="13">
        <v>-160612.6</v>
      </c>
      <c r="O71" s="13">
        <v>-3667</v>
      </c>
      <c r="P71" s="13">
        <v>-504457</v>
      </c>
      <c r="Q71" s="13">
        <v>10744</v>
      </c>
      <c r="R71" s="13">
        <v>62193</v>
      </c>
      <c r="S71" s="13">
        <v>368854</v>
      </c>
      <c r="T71" s="13">
        <v>60355</v>
      </c>
      <c r="U71" s="13">
        <v>25817.35</v>
      </c>
      <c r="V71" s="13">
        <v>170817.4</v>
      </c>
      <c r="W71" s="13">
        <v>32785</v>
      </c>
      <c r="X71" s="13">
        <v>114897</v>
      </c>
      <c r="Y71" s="13">
        <v>154391</v>
      </c>
      <c r="Z71" s="13">
        <v>80977</v>
      </c>
      <c r="AA71" s="13">
        <v>12045</v>
      </c>
      <c r="AB71" s="13">
        <f>FORECAST(AB64,$L$71:AA71,$L$64:AA64)</f>
        <v>167174.15607143193</v>
      </c>
      <c r="AC71" s="13">
        <f>FORECAST(AC64,$L$71:AB71,$L$64:AB64)</f>
        <v>185062.37574580312</v>
      </c>
      <c r="AD71" s="13">
        <f>FORECAST(AD64,$L$71:AC71,$L$64:AC64)</f>
        <v>202950.5954201743</v>
      </c>
      <c r="AE71" s="13">
        <f>FORECAST(AE64,$L$71:AD71,$L$64:AD64)</f>
        <v>220838.81509454548</v>
      </c>
      <c r="AF71" s="13">
        <f>FORECAST(AF64,$L$71:AE71,$L$64:AE64)</f>
        <v>238727.03476890922</v>
      </c>
      <c r="AG71" s="13">
        <f>FORECAST(AG64,$L$71:AF71,$L$64:AF64)</f>
        <v>256615.2544432804</v>
      </c>
      <c r="AH71" s="13">
        <f>FORECAST(AH64,$L$71:AG71,$L$64:AG64)</f>
        <v>274503.47411764413</v>
      </c>
      <c r="AI71" s="13">
        <f>FORECAST(AI64,$L$71:AH71,$L$64:AH64)</f>
        <v>292391.69379202276</v>
      </c>
      <c r="AJ71" s="13">
        <f>FORECAST(AJ64,$L$71:AI71,$L$64:AI64)</f>
        <v>310279.9134663865</v>
      </c>
      <c r="AK71" s="13">
        <f>FORECAST(AK64,$L$71:AJ71,$L$64:AJ64)</f>
        <v>328168.13314075768</v>
      </c>
      <c r="AL71" s="13">
        <f>FORECAST(AL64,$L$71:AK71,$L$64:AK64)</f>
        <v>346056.35281512886</v>
      </c>
      <c r="AM71" s="13">
        <f>FORECAST(AM64,$L$71:AL71,$L$64:AL64)</f>
        <v>363944.57248950005</v>
      </c>
      <c r="AN71" s="13">
        <f>FORECAST(AN64,$L$71:AM71,$L$64:AM64)</f>
        <v>381832.79216387123</v>
      </c>
      <c r="AO71" s="13">
        <f>FORECAST(AO64,$L$71:AN71,$L$64:AN64)</f>
        <v>399721.01183823496</v>
      </c>
      <c r="AP71" s="13">
        <f>FORECAST(AP64,$L$71:AO71,$L$64:AO64)</f>
        <v>417609.23151261359</v>
      </c>
    </row>
    <row r="72" spans="1:42" x14ac:dyDescent="0.2">
      <c r="A72" s="44" t="s">
        <v>192</v>
      </c>
      <c r="B72" s="45">
        <v>2001</v>
      </c>
      <c r="C72" s="46" t="s">
        <v>195</v>
      </c>
      <c r="D72" s="46" t="s">
        <v>194</v>
      </c>
      <c r="E72" s="47">
        <v>125409</v>
      </c>
      <c r="F72" s="47">
        <v>643408</v>
      </c>
      <c r="G72" s="48">
        <v>1527716</v>
      </c>
      <c r="H72" s="48">
        <v>470</v>
      </c>
      <c r="I72" s="49">
        <v>-217716</v>
      </c>
      <c r="J72" s="211"/>
      <c r="L72" s="214">
        <f>L71/K71</f>
        <v>1</v>
      </c>
      <c r="M72" s="214">
        <f t="shared" ref="M72:AJ72" si="69">M71/L71</f>
        <v>-3.9095957034197655</v>
      </c>
      <c r="N72" s="214">
        <f t="shared" si="69"/>
        <v>0.65263781524078257</v>
      </c>
      <c r="O72" s="214">
        <f t="shared" si="69"/>
        <v>2.2831334527926201E-2</v>
      </c>
      <c r="P72" s="214">
        <f t="shared" si="69"/>
        <v>137.56667575674939</v>
      </c>
      <c r="Q72" s="214">
        <f t="shared" si="69"/>
        <v>-2.1298148306000315E-2</v>
      </c>
      <c r="R72" s="214">
        <f t="shared" si="69"/>
        <v>5.7886262099776618</v>
      </c>
      <c r="S72" s="214">
        <f t="shared" si="69"/>
        <v>5.9307960702973004</v>
      </c>
      <c r="T72" s="214">
        <f t="shared" si="69"/>
        <v>0.16362842750790285</v>
      </c>
      <c r="U72" s="214">
        <f t="shared" si="69"/>
        <v>0.42775826360699193</v>
      </c>
      <c r="V72" s="214">
        <f t="shared" si="69"/>
        <v>6.6163800699916919</v>
      </c>
      <c r="W72" s="214">
        <f t="shared" si="69"/>
        <v>0.19193009611433029</v>
      </c>
      <c r="X72" s="214">
        <f t="shared" si="69"/>
        <v>3.5045600122007015</v>
      </c>
      <c r="Y72" s="214">
        <f t="shared" si="69"/>
        <v>1.3437339530187908</v>
      </c>
      <c r="Z72" s="214">
        <f t="shared" si="69"/>
        <v>0.52449300801212506</v>
      </c>
      <c r="AA72" s="214">
        <f t="shared" si="69"/>
        <v>0.14874594020524345</v>
      </c>
      <c r="AB72" s="214">
        <f t="shared" si="69"/>
        <v>13.879132924153751</v>
      </c>
      <c r="AC72" s="214">
        <f t="shared" si="69"/>
        <v>1.1070034991935458</v>
      </c>
      <c r="AD72" s="214">
        <f t="shared" si="69"/>
        <v>1.0966604886718949</v>
      </c>
      <c r="AE72" s="214">
        <f t="shared" si="69"/>
        <v>1.0881407597614419</v>
      </c>
      <c r="AF72" s="214">
        <f t="shared" si="69"/>
        <v>1.0810012482031541</v>
      </c>
      <c r="AG72" s="214">
        <f t="shared" si="69"/>
        <v>1.0749316879493234</v>
      </c>
      <c r="AH72" s="214">
        <f t="shared" si="69"/>
        <v>1.0697083254585613</v>
      </c>
      <c r="AI72" s="214">
        <f t="shared" si="69"/>
        <v>1.0651657314424818</v>
      </c>
      <c r="AJ72" s="214">
        <f t="shared" si="69"/>
        <v>1.0611789597795058</v>
      </c>
      <c r="AK72" s="214">
        <f t="shared" ref="AK72" si="70">AK71/AJ71</f>
        <v>1.0576518778625645</v>
      </c>
      <c r="AL72" s="214">
        <f t="shared" ref="AL72" si="71">AL71/AK71</f>
        <v>1.0545093135740227</v>
      </c>
      <c r="AM72" s="214">
        <f t="shared" ref="AM72" si="72">AM71/AL71</f>
        <v>1.0516916378758909</v>
      </c>
      <c r="AN72" s="214">
        <f t="shared" ref="AN72" si="73">AN71/AM71</f>
        <v>1.0491509450244303</v>
      </c>
      <c r="AO72" s="214">
        <f t="shared" ref="AO72" si="74">AO71/AN71</f>
        <v>1.046848306487743</v>
      </c>
      <c r="AP72" s="214">
        <f t="shared" ref="AP72" si="75">AP71/AO71</f>
        <v>1.0447517622156373</v>
      </c>
    </row>
    <row r="73" spans="1:42" x14ac:dyDescent="0.2">
      <c r="A73" s="44" t="s">
        <v>192</v>
      </c>
      <c r="B73" s="45">
        <v>2001</v>
      </c>
      <c r="C73" s="46" t="s">
        <v>196</v>
      </c>
      <c r="D73" s="46" t="s">
        <v>197</v>
      </c>
      <c r="E73" s="47">
        <v>201853</v>
      </c>
      <c r="F73" s="47">
        <v>1800000</v>
      </c>
      <c r="G73" s="48">
        <v>1421000</v>
      </c>
      <c r="H73" s="48">
        <v>410</v>
      </c>
      <c r="I73" s="49">
        <v>0</v>
      </c>
      <c r="J73" s="211"/>
      <c r="L73" s="13">
        <f>L71/1000000</f>
        <v>6.2947071428571436E-2</v>
      </c>
      <c r="M73" s="13">
        <f t="shared" ref="M73:AP73" si="76">M71/1000000</f>
        <v>-0.24609759999999997</v>
      </c>
      <c r="N73" s="13">
        <f t="shared" si="76"/>
        <v>-0.16061259999999999</v>
      </c>
      <c r="O73" s="13">
        <f t="shared" si="76"/>
        <v>-3.6670000000000001E-3</v>
      </c>
      <c r="P73" s="13">
        <f t="shared" si="76"/>
        <v>-0.50445700000000004</v>
      </c>
      <c r="Q73" s="13">
        <f t="shared" si="76"/>
        <v>1.0744E-2</v>
      </c>
      <c r="R73" s="13">
        <f t="shared" si="76"/>
        <v>6.2192999999999998E-2</v>
      </c>
      <c r="S73" s="13">
        <f t="shared" si="76"/>
        <v>0.36885400000000002</v>
      </c>
      <c r="T73" s="13">
        <f t="shared" si="76"/>
        <v>6.0354999999999999E-2</v>
      </c>
      <c r="U73" s="13">
        <f t="shared" si="76"/>
        <v>2.5817349999999999E-2</v>
      </c>
      <c r="V73" s="13">
        <f t="shared" si="76"/>
        <v>0.17081739999999998</v>
      </c>
      <c r="W73" s="13">
        <f t="shared" si="76"/>
        <v>3.2785000000000002E-2</v>
      </c>
      <c r="X73" s="13">
        <f t="shared" si="76"/>
        <v>0.114897</v>
      </c>
      <c r="Y73" s="13">
        <f t="shared" si="76"/>
        <v>0.154391</v>
      </c>
      <c r="Z73" s="13">
        <f t="shared" si="76"/>
        <v>8.0976999999999993E-2</v>
      </c>
      <c r="AA73" s="13">
        <f t="shared" si="76"/>
        <v>1.2045E-2</v>
      </c>
      <c r="AB73" s="13">
        <f t="shared" si="76"/>
        <v>0.16717415607143193</v>
      </c>
      <c r="AC73" s="13">
        <f t="shared" si="76"/>
        <v>0.18506237574580311</v>
      </c>
      <c r="AD73" s="13">
        <f t="shared" si="76"/>
        <v>0.2029505954201743</v>
      </c>
      <c r="AE73" s="13">
        <f t="shared" si="76"/>
        <v>0.22083881509454548</v>
      </c>
      <c r="AF73" s="13">
        <f t="shared" si="76"/>
        <v>0.23872703476890922</v>
      </c>
      <c r="AG73" s="13">
        <f t="shared" si="76"/>
        <v>0.25661525444328037</v>
      </c>
      <c r="AH73" s="13">
        <f t="shared" si="76"/>
        <v>0.27450347411764414</v>
      </c>
      <c r="AI73" s="13">
        <f t="shared" si="76"/>
        <v>0.29239169379202279</v>
      </c>
      <c r="AJ73" s="13">
        <f t="shared" si="76"/>
        <v>0.3102799134663865</v>
      </c>
      <c r="AK73" s="13">
        <f t="shared" si="76"/>
        <v>0.32816813314075766</v>
      </c>
      <c r="AL73" s="13">
        <f t="shared" si="76"/>
        <v>0.34605635281512886</v>
      </c>
      <c r="AM73" s="13">
        <f t="shared" si="76"/>
        <v>0.36394457248950007</v>
      </c>
      <c r="AN73" s="13">
        <f t="shared" si="76"/>
        <v>0.38183279216387123</v>
      </c>
      <c r="AO73" s="13">
        <f t="shared" si="76"/>
        <v>0.39972101183823494</v>
      </c>
      <c r="AP73" s="13">
        <f t="shared" si="76"/>
        <v>0.41760923151261359</v>
      </c>
    </row>
    <row r="74" spans="1:42" x14ac:dyDescent="0.2">
      <c r="A74" s="44" t="s">
        <v>198</v>
      </c>
      <c r="B74" s="45">
        <v>2001</v>
      </c>
      <c r="C74" s="46" t="s">
        <v>199</v>
      </c>
      <c r="D74" s="46" t="s">
        <v>200</v>
      </c>
      <c r="E74" s="47">
        <v>93960</v>
      </c>
      <c r="F74" s="47">
        <v>276915</v>
      </c>
      <c r="G74" s="48">
        <v>751437</v>
      </c>
      <c r="H74" s="48">
        <v>186</v>
      </c>
      <c r="I74" s="49">
        <v>0</v>
      </c>
      <c r="J74" s="211"/>
    </row>
    <row r="75" spans="1:42" x14ac:dyDescent="0.2">
      <c r="A75" s="44" t="s">
        <v>201</v>
      </c>
      <c r="B75" s="45">
        <v>2001</v>
      </c>
      <c r="C75" s="46" t="s">
        <v>202</v>
      </c>
      <c r="D75" s="46" t="s">
        <v>203</v>
      </c>
      <c r="E75" s="47">
        <v>24000</v>
      </c>
      <c r="F75" s="47">
        <v>22300</v>
      </c>
      <c r="G75" s="48">
        <v>24069</v>
      </c>
      <c r="H75" s="48">
        <v>2</v>
      </c>
      <c r="I75" s="49">
        <v>0</v>
      </c>
      <c r="J75" s="211"/>
    </row>
    <row r="76" spans="1:42" x14ac:dyDescent="0.2">
      <c r="A76" s="44" t="s">
        <v>204</v>
      </c>
      <c r="B76" s="45">
        <v>2001</v>
      </c>
      <c r="C76" s="46" t="s">
        <v>205</v>
      </c>
      <c r="D76" s="46" t="s">
        <v>206</v>
      </c>
      <c r="E76" s="47">
        <v>283062</v>
      </c>
      <c r="F76" s="47">
        <v>2002821</v>
      </c>
      <c r="G76" s="48">
        <v>1818820</v>
      </c>
      <c r="H76" s="48">
        <v>274</v>
      </c>
      <c r="I76" s="49">
        <v>182052</v>
      </c>
      <c r="J76" s="211"/>
    </row>
    <row r="77" spans="1:42" x14ac:dyDescent="0.2">
      <c r="A77" s="44" t="s">
        <v>207</v>
      </c>
      <c r="B77" s="45">
        <v>2001</v>
      </c>
      <c r="C77" s="46" t="s">
        <v>208</v>
      </c>
      <c r="D77" s="46" t="s">
        <v>209</v>
      </c>
      <c r="E77" s="47">
        <v>267199</v>
      </c>
      <c r="F77" s="47">
        <v>614300</v>
      </c>
      <c r="G77" s="48">
        <v>2440685</v>
      </c>
      <c r="H77" s="48">
        <v>279</v>
      </c>
      <c r="I77" s="49">
        <v>0</v>
      </c>
      <c r="J77" s="211"/>
      <c r="L77" s="43">
        <v>2000</v>
      </c>
      <c r="M77" s="43">
        <v>2001</v>
      </c>
      <c r="N77" s="43">
        <f>M77+1</f>
        <v>2002</v>
      </c>
      <c r="O77" s="43">
        <f t="shared" ref="O77" si="77">N77+1</f>
        <v>2003</v>
      </c>
      <c r="P77" s="43">
        <f t="shared" ref="P77" si="78">O77+1</f>
        <v>2004</v>
      </c>
      <c r="Q77" s="43">
        <f t="shared" ref="Q77" si="79">P77+1</f>
        <v>2005</v>
      </c>
      <c r="R77" s="43">
        <f t="shared" ref="R77" si="80">Q77+1</f>
        <v>2006</v>
      </c>
      <c r="S77" s="43">
        <f t="shared" ref="S77" si="81">R77+1</f>
        <v>2007</v>
      </c>
      <c r="T77" s="43">
        <f t="shared" ref="T77" si="82">S77+1</f>
        <v>2008</v>
      </c>
      <c r="U77" s="43">
        <f t="shared" ref="U77" si="83">T77+1</f>
        <v>2009</v>
      </c>
      <c r="V77" s="43">
        <f>U77+1</f>
        <v>2010</v>
      </c>
      <c r="W77" s="43">
        <f t="shared" ref="W77" si="84">V77+1</f>
        <v>2011</v>
      </c>
      <c r="X77" s="43">
        <f t="shared" ref="X77" si="85">W77+1</f>
        <v>2012</v>
      </c>
      <c r="Y77" s="43">
        <f t="shared" ref="Y77" si="86">X77+1</f>
        <v>2013</v>
      </c>
      <c r="Z77" s="43">
        <f t="shared" ref="Z77" si="87">Y77+1</f>
        <v>2014</v>
      </c>
      <c r="AA77" s="43">
        <f t="shared" ref="AA77" si="88">Z77+1</f>
        <v>2015</v>
      </c>
      <c r="AB77" s="43">
        <f t="shared" ref="AB77" si="89">AA77+1</f>
        <v>2016</v>
      </c>
    </row>
    <row r="78" spans="1:42" x14ac:dyDescent="0.2">
      <c r="A78" s="44" t="s">
        <v>210</v>
      </c>
      <c r="B78" s="45">
        <v>2001</v>
      </c>
      <c r="C78" s="46" t="s">
        <v>211</v>
      </c>
      <c r="D78" s="46" t="s">
        <v>212</v>
      </c>
      <c r="E78" s="47">
        <v>98331</v>
      </c>
      <c r="F78" s="47">
        <v>403000</v>
      </c>
      <c r="G78" s="48">
        <v>786645</v>
      </c>
      <c r="H78" s="48">
        <v>90</v>
      </c>
      <c r="I78" s="49">
        <v>0</v>
      </c>
      <c r="J78" s="211"/>
      <c r="L78" s="284">
        <f>K8/L65</f>
        <v>0.83126514012416275</v>
      </c>
      <c r="M78" s="284">
        <f t="shared" ref="M78:AB78" si="90">L8/M65</f>
        <v>0.40718186384887406</v>
      </c>
      <c r="N78" s="284">
        <f t="shared" si="90"/>
        <v>0.52992050171781524</v>
      </c>
      <c r="O78" s="284">
        <f t="shared" si="90"/>
        <v>0.84744313506320046</v>
      </c>
      <c r="P78" s="284">
        <f t="shared" si="90"/>
        <v>0.88440610418695065</v>
      </c>
      <c r="Q78" s="284">
        <f t="shared" si="90"/>
        <v>1.0272568129141419</v>
      </c>
      <c r="R78" s="284">
        <f t="shared" si="90"/>
        <v>1.460308504413627</v>
      </c>
      <c r="S78" s="284">
        <f t="shared" si="90"/>
        <v>1.1648132466968664</v>
      </c>
      <c r="T78" s="284">
        <f t="shared" si="90"/>
        <v>1.0932656277143054</v>
      </c>
      <c r="U78" s="284">
        <f t="shared" si="90"/>
        <v>0.8918194141809711</v>
      </c>
      <c r="V78" s="284">
        <f t="shared" si="90"/>
        <v>1.4121898595601781</v>
      </c>
      <c r="W78" s="284">
        <f t="shared" si="90"/>
        <v>0.65288958330876756</v>
      </c>
      <c r="X78" s="284">
        <f t="shared" si="90"/>
        <v>1.3642294108642041</v>
      </c>
      <c r="Y78" s="284">
        <f t="shared" si="90"/>
        <v>1.5691293954262779</v>
      </c>
      <c r="Z78" s="284">
        <f t="shared" si="90"/>
        <v>1.6933335031486141</v>
      </c>
      <c r="AA78" s="284">
        <f t="shared" si="90"/>
        <v>1.872374566211241</v>
      </c>
      <c r="AB78" s="284">
        <f t="shared" si="90"/>
        <v>2.253173438166864</v>
      </c>
      <c r="AC78" s="284" t="e">
        <f t="shared" ref="AC78:AP78" si="91">AC65/AB8</f>
        <v>#DIV/0!</v>
      </c>
      <c r="AD78" s="284" t="e">
        <f t="shared" si="91"/>
        <v>#DIV/0!</v>
      </c>
      <c r="AE78" s="284" t="e">
        <f t="shared" si="91"/>
        <v>#DIV/0!</v>
      </c>
      <c r="AF78" s="284" t="e">
        <f t="shared" si="91"/>
        <v>#DIV/0!</v>
      </c>
      <c r="AG78" s="284" t="e">
        <f t="shared" si="91"/>
        <v>#DIV/0!</v>
      </c>
      <c r="AH78" s="284" t="e">
        <f t="shared" si="91"/>
        <v>#DIV/0!</v>
      </c>
      <c r="AI78" s="284" t="e">
        <f t="shared" si="91"/>
        <v>#DIV/0!</v>
      </c>
      <c r="AJ78" s="284" t="e">
        <f t="shared" si="91"/>
        <v>#DIV/0!</v>
      </c>
      <c r="AK78" s="284" t="e">
        <f t="shared" si="91"/>
        <v>#DIV/0!</v>
      </c>
      <c r="AL78" s="284" t="e">
        <f t="shared" si="91"/>
        <v>#DIV/0!</v>
      </c>
      <c r="AM78" s="284" t="e">
        <f t="shared" si="91"/>
        <v>#DIV/0!</v>
      </c>
      <c r="AN78" s="284" t="e">
        <f t="shared" si="91"/>
        <v>#DIV/0!</v>
      </c>
      <c r="AO78" s="284" t="e">
        <f t="shared" si="91"/>
        <v>#DIV/0!</v>
      </c>
      <c r="AP78" s="284" t="e">
        <f t="shared" si="91"/>
        <v>#DIV/0!</v>
      </c>
    </row>
    <row r="79" spans="1:42" x14ac:dyDescent="0.2">
      <c r="A79" s="44" t="s">
        <v>210</v>
      </c>
      <c r="B79" s="45">
        <v>2001</v>
      </c>
      <c r="C79" s="46" t="s">
        <v>213</v>
      </c>
      <c r="D79" s="46" t="s">
        <v>214</v>
      </c>
      <c r="E79" s="47">
        <v>37417</v>
      </c>
      <c r="F79" s="47">
        <v>224253</v>
      </c>
      <c r="G79" s="48">
        <v>393867</v>
      </c>
      <c r="H79" s="48">
        <v>45</v>
      </c>
      <c r="I79" s="49">
        <v>0</v>
      </c>
      <c r="J79" s="211"/>
      <c r="L79" s="284">
        <f>K8/L71</f>
        <v>117.71435639238859</v>
      </c>
      <c r="M79" s="284">
        <f t="shared" ref="M79:AB79" si="92">L8/M71</f>
        <v>-178.04957464030534</v>
      </c>
      <c r="N79" s="284">
        <f t="shared" si="92"/>
        <v>-106.32220635242814</v>
      </c>
      <c r="O79" s="284">
        <f t="shared" si="92"/>
        <v>-4011.8006544859559</v>
      </c>
      <c r="P79" s="284">
        <f t="shared" si="92"/>
        <v>-40.365545527170802</v>
      </c>
      <c r="Q79" s="284">
        <f t="shared" si="92"/>
        <v>259.59661206254651</v>
      </c>
      <c r="R79" s="284">
        <f t="shared" si="92"/>
        <v>178.65452703680478</v>
      </c>
      <c r="S79" s="284">
        <f t="shared" si="92"/>
        <v>38.232959382303022</v>
      </c>
      <c r="T79" s="284">
        <f t="shared" si="92"/>
        <v>134.82558197332449</v>
      </c>
      <c r="U79" s="284">
        <f t="shared" si="92"/>
        <v>261.34831808841727</v>
      </c>
      <c r="V79" s="284">
        <f t="shared" si="92"/>
        <v>224.61171988333743</v>
      </c>
      <c r="W79" s="284">
        <f t="shared" si="92"/>
        <v>307.37260942504196</v>
      </c>
      <c r="X79" s="284">
        <f t="shared" si="92"/>
        <v>231.055214670531</v>
      </c>
      <c r="Y79" s="284">
        <f t="shared" si="92"/>
        <v>107.95890952192809</v>
      </c>
      <c r="Z79" s="284">
        <f t="shared" si="92"/>
        <v>551.67342578756927</v>
      </c>
      <c r="AA79" s="284">
        <f t="shared" si="92"/>
        <v>2648.2974678289747</v>
      </c>
      <c r="AB79" s="284">
        <f t="shared" si="92"/>
        <v>105.27348493076951</v>
      </c>
    </row>
    <row r="80" spans="1:42" x14ac:dyDescent="0.2">
      <c r="A80" s="44" t="s">
        <v>210</v>
      </c>
      <c r="B80" s="45">
        <v>2001</v>
      </c>
      <c r="C80" s="46" t="s">
        <v>215</v>
      </c>
      <c r="D80" s="46" t="s">
        <v>216</v>
      </c>
      <c r="E80" s="47">
        <v>20797</v>
      </c>
      <c r="F80" s="47">
        <v>42353</v>
      </c>
      <c r="G80" s="48">
        <v>131935</v>
      </c>
      <c r="H80" s="48">
        <v>15</v>
      </c>
      <c r="I80" s="49">
        <v>0</v>
      </c>
      <c r="J80" s="211"/>
    </row>
    <row r="81" spans="1:10" x14ac:dyDescent="0.2">
      <c r="A81" s="44" t="s">
        <v>217</v>
      </c>
      <c r="B81" s="45">
        <v>2001</v>
      </c>
      <c r="C81" s="46" t="s">
        <v>218</v>
      </c>
      <c r="D81" s="46" t="s">
        <v>219</v>
      </c>
      <c r="E81" s="47">
        <v>81927</v>
      </c>
      <c r="F81" s="47">
        <v>730000</v>
      </c>
      <c r="G81" s="48">
        <f>(E81*0.9)/0.11</f>
        <v>670311.81818181823</v>
      </c>
      <c r="H81" s="48"/>
      <c r="I81" s="49">
        <f>(E81*0.1)/1</f>
        <v>8192.7000000000007</v>
      </c>
      <c r="J81" s="211"/>
    </row>
    <row r="82" spans="1:10" x14ac:dyDescent="0.2">
      <c r="A82" s="44" t="s">
        <v>220</v>
      </c>
      <c r="B82" s="45">
        <v>2001</v>
      </c>
      <c r="C82" s="46" t="s">
        <v>221</v>
      </c>
      <c r="D82" s="46" t="s">
        <v>222</v>
      </c>
      <c r="E82" s="47">
        <v>36900</v>
      </c>
      <c r="F82" s="47">
        <v>119832</v>
      </c>
      <c r="G82" s="51">
        <v>284008</v>
      </c>
      <c r="H82" s="51">
        <v>115</v>
      </c>
      <c r="I82" s="52">
        <v>0</v>
      </c>
      <c r="J82" s="212"/>
    </row>
    <row r="83" spans="1:10" x14ac:dyDescent="0.2">
      <c r="A83" s="44" t="s">
        <v>220</v>
      </c>
      <c r="B83" s="45">
        <v>2001</v>
      </c>
      <c r="C83" s="46" t="s">
        <v>223</v>
      </c>
      <c r="D83" s="46" t="s">
        <v>224</v>
      </c>
      <c r="E83" s="47">
        <v>228614</v>
      </c>
      <c r="F83" s="47">
        <v>1308913</v>
      </c>
      <c r="G83" s="48">
        <v>1880317</v>
      </c>
      <c r="H83" s="48">
        <v>521</v>
      </c>
      <c r="I83" s="49">
        <v>0</v>
      </c>
      <c r="J83" s="211"/>
    </row>
    <row r="84" spans="1:10" x14ac:dyDescent="0.2">
      <c r="A84" s="44" t="s">
        <v>225</v>
      </c>
      <c r="B84" s="45">
        <v>2001</v>
      </c>
      <c r="C84" s="46" t="s">
        <v>226</v>
      </c>
      <c r="D84" s="46" t="s">
        <v>227</v>
      </c>
      <c r="E84" s="47">
        <v>29103</v>
      </c>
      <c r="F84" s="47">
        <v>261930</v>
      </c>
      <c r="G84" s="48">
        <v>182716</v>
      </c>
      <c r="H84" s="48">
        <v>52</v>
      </c>
      <c r="I84" s="49">
        <v>2441</v>
      </c>
      <c r="J84" s="211"/>
    </row>
    <row r="85" spans="1:10" x14ac:dyDescent="0.2">
      <c r="A85" s="44" t="s">
        <v>228</v>
      </c>
      <c r="B85" s="45">
        <v>2001</v>
      </c>
      <c r="C85" s="46" t="s">
        <v>229</v>
      </c>
      <c r="D85" s="46" t="s">
        <v>175</v>
      </c>
      <c r="E85" s="47">
        <v>106198</v>
      </c>
      <c r="F85" s="47">
        <v>415000</v>
      </c>
      <c r="G85" s="48">
        <v>851981</v>
      </c>
      <c r="H85" s="48">
        <v>97</v>
      </c>
      <c r="I85" s="49">
        <v>0</v>
      </c>
      <c r="J85" s="211"/>
    </row>
    <row r="86" spans="1:10" x14ac:dyDescent="0.2">
      <c r="A86" s="44" t="s">
        <v>230</v>
      </c>
      <c r="B86" s="45">
        <v>2001</v>
      </c>
      <c r="C86" s="46" t="s">
        <v>231</v>
      </c>
      <c r="D86" s="46" t="s">
        <v>90</v>
      </c>
      <c r="E86" s="47">
        <v>119000</v>
      </c>
      <c r="F86" s="47">
        <v>1071000</v>
      </c>
      <c r="G86" s="48">
        <v>823330</v>
      </c>
      <c r="H86" s="48">
        <v>232</v>
      </c>
      <c r="I86" s="49">
        <v>0</v>
      </c>
      <c r="J86" s="211"/>
    </row>
    <row r="87" spans="1:10" x14ac:dyDescent="0.2">
      <c r="A87" s="44" t="s">
        <v>232</v>
      </c>
      <c r="B87" s="45">
        <v>2001</v>
      </c>
      <c r="C87" s="46" t="s">
        <v>233</v>
      </c>
      <c r="D87" s="46" t="s">
        <v>234</v>
      </c>
      <c r="E87" s="47">
        <v>10700</v>
      </c>
      <c r="F87" s="47">
        <v>96300</v>
      </c>
      <c r="G87" s="48">
        <v>75600</v>
      </c>
      <c r="H87" s="48">
        <v>66</v>
      </c>
      <c r="I87" s="49">
        <v>0</v>
      </c>
      <c r="J87" s="211"/>
    </row>
    <row r="88" spans="1:10" x14ac:dyDescent="0.2">
      <c r="A88" s="44" t="s">
        <v>235</v>
      </c>
      <c r="B88" s="45">
        <v>2001</v>
      </c>
      <c r="C88" s="46" t="s">
        <v>236</v>
      </c>
      <c r="D88" s="46" t="s">
        <v>237</v>
      </c>
      <c r="E88" s="47">
        <v>14147</v>
      </c>
      <c r="F88" s="47">
        <v>62820</v>
      </c>
      <c r="G88" s="48">
        <v>83280</v>
      </c>
      <c r="H88" s="48">
        <v>36.700000000000003</v>
      </c>
      <c r="I88" s="49">
        <v>0</v>
      </c>
      <c r="J88" s="211"/>
    </row>
    <row r="89" spans="1:10" x14ac:dyDescent="0.2">
      <c r="A89" s="44" t="s">
        <v>235</v>
      </c>
      <c r="B89" s="45">
        <v>2001</v>
      </c>
      <c r="C89" s="46" t="s">
        <v>238</v>
      </c>
      <c r="D89" s="46" t="s">
        <v>237</v>
      </c>
      <c r="E89" s="47">
        <v>9475</v>
      </c>
      <c r="F89" s="47">
        <v>66990</v>
      </c>
      <c r="G89" s="48">
        <v>0</v>
      </c>
      <c r="H89" s="48">
        <v>0</v>
      </c>
      <c r="I89" s="49">
        <v>28713</v>
      </c>
      <c r="J89" s="211"/>
    </row>
    <row r="90" spans="1:10" s="50" customFormat="1" x14ac:dyDescent="0.2">
      <c r="A90" s="44" t="s">
        <v>235</v>
      </c>
      <c r="B90" s="45">
        <v>2001</v>
      </c>
      <c r="C90" s="46" t="s">
        <v>239</v>
      </c>
      <c r="D90" s="46" t="s">
        <v>240</v>
      </c>
      <c r="E90" s="47">
        <v>235864</v>
      </c>
      <c r="F90" s="47">
        <v>1991945</v>
      </c>
      <c r="G90" s="48">
        <v>8774976</v>
      </c>
      <c r="H90" s="48">
        <v>727.5</v>
      </c>
      <c r="I90" s="49">
        <v>-291557</v>
      </c>
      <c r="J90" s="211"/>
    </row>
    <row r="91" spans="1:10" x14ac:dyDescent="0.2">
      <c r="A91" s="44" t="s">
        <v>235</v>
      </c>
      <c r="B91" s="45">
        <v>2001</v>
      </c>
      <c r="C91" s="46" t="s">
        <v>241</v>
      </c>
      <c r="D91" s="46" t="s">
        <v>242</v>
      </c>
      <c r="E91" s="47">
        <v>173538</v>
      </c>
      <c r="F91" s="47">
        <v>785164</v>
      </c>
      <c r="G91" s="48">
        <v>1191437</v>
      </c>
      <c r="H91" s="48">
        <v>192</v>
      </c>
      <c r="I91" s="49">
        <v>0</v>
      </c>
      <c r="J91" s="211"/>
    </row>
    <row r="92" spans="1:10" x14ac:dyDescent="0.2">
      <c r="A92" s="44" t="s">
        <v>235</v>
      </c>
      <c r="B92" s="45">
        <v>2001</v>
      </c>
      <c r="C92" s="46" t="s">
        <v>243</v>
      </c>
      <c r="D92" s="46" t="s">
        <v>242</v>
      </c>
      <c r="E92" s="47">
        <v>260228</v>
      </c>
      <c r="F92" s="47">
        <v>1556046</v>
      </c>
      <c r="G92" s="48">
        <v>2991986</v>
      </c>
      <c r="H92" s="48">
        <v>529</v>
      </c>
      <c r="I92" s="49">
        <v>0</v>
      </c>
      <c r="J92" s="211"/>
    </row>
    <row r="93" spans="1:10" x14ac:dyDescent="0.2">
      <c r="A93" s="44" t="s">
        <v>244</v>
      </c>
      <c r="B93" s="45">
        <v>2002</v>
      </c>
      <c r="C93" s="46" t="s">
        <v>245</v>
      </c>
      <c r="D93" s="46" t="s">
        <v>246</v>
      </c>
      <c r="E93" s="47">
        <v>7199</v>
      </c>
      <c r="F93" s="47">
        <v>48517</v>
      </c>
      <c r="G93" s="48">
        <v>43788</v>
      </c>
      <c r="H93" s="48">
        <v>20</v>
      </c>
      <c r="I93" s="49">
        <v>0</v>
      </c>
      <c r="J93" s="211"/>
    </row>
    <row r="94" spans="1:10" x14ac:dyDescent="0.2">
      <c r="A94" s="44" t="s">
        <v>247</v>
      </c>
      <c r="B94" s="45">
        <v>2002</v>
      </c>
      <c r="C94" s="46" t="s">
        <v>248</v>
      </c>
      <c r="D94" s="46" t="s">
        <v>249</v>
      </c>
      <c r="E94" s="47">
        <v>141115</v>
      </c>
      <c r="F94" s="47">
        <v>926229</v>
      </c>
      <c r="G94" s="48">
        <v>1076104</v>
      </c>
      <c r="H94" s="48">
        <v>151</v>
      </c>
      <c r="I94" s="49">
        <v>0</v>
      </c>
      <c r="J94" s="211"/>
    </row>
    <row r="95" spans="1:10" x14ac:dyDescent="0.2">
      <c r="A95" s="44" t="s">
        <v>250</v>
      </c>
      <c r="B95" s="45">
        <v>2002</v>
      </c>
      <c r="C95" s="46" t="s">
        <v>251</v>
      </c>
      <c r="D95" s="46" t="s">
        <v>252</v>
      </c>
      <c r="E95" s="47">
        <v>25329</v>
      </c>
      <c r="F95" s="47">
        <v>227154</v>
      </c>
      <c r="G95" s="48">
        <v>141058</v>
      </c>
      <c r="H95" s="48">
        <v>81.8</v>
      </c>
      <c r="I95" s="49">
        <v>0</v>
      </c>
      <c r="J95" s="211"/>
    </row>
    <row r="96" spans="1:10" x14ac:dyDescent="0.2">
      <c r="A96" s="44" t="s">
        <v>253</v>
      </c>
      <c r="B96" s="45">
        <v>2002</v>
      </c>
      <c r="C96" s="46" t="s">
        <v>254</v>
      </c>
      <c r="D96" s="46" t="s">
        <v>255</v>
      </c>
      <c r="E96" s="47">
        <v>240234</v>
      </c>
      <c r="F96" s="47">
        <v>1000000</v>
      </c>
      <c r="G96" s="48">
        <f>(E96*0.9)/0.11</f>
        <v>1965550.9090909092</v>
      </c>
      <c r="H96" s="48"/>
      <c r="I96" s="49">
        <f>(E96*0.1)/1</f>
        <v>24023.4</v>
      </c>
      <c r="J96" s="211"/>
    </row>
    <row r="97" spans="1:10" x14ac:dyDescent="0.2">
      <c r="A97" s="44" t="s">
        <v>253</v>
      </c>
      <c r="B97" s="45">
        <v>2002</v>
      </c>
      <c r="C97" s="46" t="s">
        <v>256</v>
      </c>
      <c r="D97" s="46" t="s">
        <v>257</v>
      </c>
      <c r="E97" s="47">
        <v>137088</v>
      </c>
      <c r="F97" s="47">
        <v>1125000</v>
      </c>
      <c r="G97" s="48">
        <v>1142400</v>
      </c>
      <c r="H97" s="48">
        <v>210</v>
      </c>
      <c r="I97" s="49">
        <v>0</v>
      </c>
      <c r="J97" s="211"/>
    </row>
    <row r="98" spans="1:10" x14ac:dyDescent="0.2">
      <c r="A98" s="53" t="s">
        <v>258</v>
      </c>
      <c r="B98" s="54">
        <v>2002</v>
      </c>
      <c r="C98" s="55" t="s">
        <v>259</v>
      </c>
      <c r="D98" s="55" t="s">
        <v>260</v>
      </c>
      <c r="E98" s="56">
        <v>19759</v>
      </c>
      <c r="F98" s="56">
        <v>150000</v>
      </c>
      <c r="G98" s="57">
        <v>114592</v>
      </c>
      <c r="H98" s="48">
        <v>46</v>
      </c>
      <c r="I98" s="58">
        <v>16778</v>
      </c>
      <c r="J98" s="213"/>
    </row>
    <row r="99" spans="1:10" x14ac:dyDescent="0.2">
      <c r="A99" s="44" t="s">
        <v>258</v>
      </c>
      <c r="B99" s="45">
        <v>2002</v>
      </c>
      <c r="C99" s="46" t="s">
        <v>261</v>
      </c>
      <c r="D99" s="46" t="s">
        <v>262</v>
      </c>
      <c r="E99" s="47">
        <v>88512</v>
      </c>
      <c r="F99" s="47">
        <v>300000</v>
      </c>
      <c r="G99" s="48">
        <v>945774</v>
      </c>
      <c r="H99" s="48">
        <v>120</v>
      </c>
      <c r="I99" s="49">
        <v>-24320</v>
      </c>
      <c r="J99" s="211"/>
    </row>
    <row r="100" spans="1:10" x14ac:dyDescent="0.2">
      <c r="A100" s="44" t="s">
        <v>263</v>
      </c>
      <c r="B100" s="45">
        <v>2002</v>
      </c>
      <c r="C100" s="46" t="s">
        <v>264</v>
      </c>
      <c r="D100" s="46" t="s">
        <v>265</v>
      </c>
      <c r="E100" s="47">
        <v>35294</v>
      </c>
      <c r="F100" s="47">
        <v>300000</v>
      </c>
      <c r="G100" s="48">
        <v>252100</v>
      </c>
      <c r="H100" s="48">
        <v>28.8</v>
      </c>
      <c r="I100" s="49">
        <v>0</v>
      </c>
      <c r="J100" s="211"/>
    </row>
    <row r="101" spans="1:10" x14ac:dyDescent="0.2">
      <c r="A101" s="44" t="s">
        <v>266</v>
      </c>
      <c r="B101" s="45">
        <v>2002</v>
      </c>
      <c r="C101" s="46" t="s">
        <v>267</v>
      </c>
      <c r="D101" s="46" t="s">
        <v>268</v>
      </c>
      <c r="E101" s="47">
        <v>303045</v>
      </c>
      <c r="F101" s="47">
        <v>2000000</v>
      </c>
      <c r="G101" s="48">
        <v>5704552</v>
      </c>
      <c r="H101" s="48">
        <v>2158</v>
      </c>
      <c r="I101" s="49">
        <v>87434</v>
      </c>
      <c r="J101" s="211"/>
    </row>
    <row r="102" spans="1:10" x14ac:dyDescent="0.2">
      <c r="A102" s="44" t="s">
        <v>266</v>
      </c>
      <c r="B102" s="45">
        <v>2002</v>
      </c>
      <c r="C102" s="46" t="s">
        <v>269</v>
      </c>
      <c r="D102" s="46" t="s">
        <v>270</v>
      </c>
      <c r="E102" s="47">
        <v>122175</v>
      </c>
      <c r="F102" s="47">
        <v>486500</v>
      </c>
      <c r="G102" s="48">
        <v>2240000</v>
      </c>
      <c r="H102" s="48">
        <v>270</v>
      </c>
      <c r="I102" s="49">
        <v>2</v>
      </c>
      <c r="J102" s="211"/>
    </row>
    <row r="103" spans="1:10" x14ac:dyDescent="0.2">
      <c r="A103" s="44" t="s">
        <v>271</v>
      </c>
      <c r="B103" s="45">
        <v>2002</v>
      </c>
      <c r="C103" s="46" t="s">
        <v>272</v>
      </c>
      <c r="D103" s="46" t="s">
        <v>273</v>
      </c>
      <c r="E103" s="47">
        <v>157613</v>
      </c>
      <c r="F103" s="47">
        <v>1317000</v>
      </c>
      <c r="G103" s="48">
        <v>1359272</v>
      </c>
      <c r="H103" s="48">
        <v>392.5</v>
      </c>
      <c r="I103" s="49">
        <v>0</v>
      </c>
      <c r="J103" s="211"/>
    </row>
    <row r="104" spans="1:10" x14ac:dyDescent="0.2">
      <c r="A104" s="44" t="s">
        <v>271</v>
      </c>
      <c r="B104" s="45">
        <v>2002</v>
      </c>
      <c r="C104" s="46" t="s">
        <v>274</v>
      </c>
      <c r="D104" s="46" t="s">
        <v>275</v>
      </c>
      <c r="E104" s="47">
        <v>14631</v>
      </c>
      <c r="F104" s="47">
        <v>106777</v>
      </c>
      <c r="G104" s="48">
        <v>98711</v>
      </c>
      <c r="H104" s="48">
        <v>46</v>
      </c>
      <c r="I104" s="49">
        <v>0</v>
      </c>
      <c r="J104" s="211"/>
    </row>
    <row r="105" spans="1:10" x14ac:dyDescent="0.2">
      <c r="A105" s="44" t="s">
        <v>276</v>
      </c>
      <c r="B105" s="45">
        <v>2002</v>
      </c>
      <c r="C105" s="46" t="s">
        <v>277</v>
      </c>
      <c r="D105" s="46" t="s">
        <v>278</v>
      </c>
      <c r="E105" s="47">
        <v>176000</v>
      </c>
      <c r="F105" s="47">
        <v>800000</v>
      </c>
      <c r="G105" s="48">
        <v>1431621</v>
      </c>
      <c r="H105" s="48">
        <v>458</v>
      </c>
      <c r="I105" s="49">
        <v>10164</v>
      </c>
      <c r="J105" s="211"/>
    </row>
    <row r="106" spans="1:10" x14ac:dyDescent="0.2">
      <c r="A106" s="44" t="s">
        <v>279</v>
      </c>
      <c r="B106" s="45">
        <v>2002</v>
      </c>
      <c r="C106" s="46" t="s">
        <v>280</v>
      </c>
      <c r="D106" s="46" t="s">
        <v>87</v>
      </c>
      <c r="E106" s="47">
        <v>55820</v>
      </c>
      <c r="F106" s="47">
        <v>270968</v>
      </c>
      <c r="G106" s="48">
        <v>205000</v>
      </c>
      <c r="H106" s="48">
        <v>172</v>
      </c>
      <c r="I106" s="49">
        <v>0</v>
      </c>
      <c r="J106" s="211"/>
    </row>
    <row r="107" spans="1:10" x14ac:dyDescent="0.2">
      <c r="A107" s="44" t="s">
        <v>279</v>
      </c>
      <c r="B107" s="45">
        <v>2002</v>
      </c>
      <c r="C107" s="46" t="s">
        <v>281</v>
      </c>
      <c r="D107" s="46" t="s">
        <v>282</v>
      </c>
      <c r="E107" s="47">
        <v>240000</v>
      </c>
      <c r="F107" s="47">
        <v>2000000</v>
      </c>
      <c r="G107" s="48">
        <v>1741448</v>
      </c>
      <c r="H107" s="48">
        <v>229.3</v>
      </c>
      <c r="I107" s="49">
        <v>0</v>
      </c>
      <c r="J107" s="211"/>
    </row>
    <row r="108" spans="1:10" x14ac:dyDescent="0.2">
      <c r="A108" s="44" t="s">
        <v>279</v>
      </c>
      <c r="B108" s="45">
        <v>2002</v>
      </c>
      <c r="C108" s="46" t="s">
        <v>283</v>
      </c>
      <c r="D108" s="46" t="s">
        <v>284</v>
      </c>
      <c r="E108" s="47">
        <v>227961</v>
      </c>
      <c r="F108" s="47">
        <v>1946466</v>
      </c>
      <c r="G108" s="48">
        <v>1519737</v>
      </c>
      <c r="H108" s="48">
        <v>971</v>
      </c>
      <c r="I108" s="49">
        <v>0</v>
      </c>
      <c r="J108" s="211"/>
    </row>
    <row r="109" spans="1:10" x14ac:dyDescent="0.2">
      <c r="A109" s="44" t="s">
        <v>285</v>
      </c>
      <c r="B109" s="45">
        <v>2002</v>
      </c>
      <c r="C109" s="46" t="s">
        <v>286</v>
      </c>
      <c r="D109" s="46" t="s">
        <v>257</v>
      </c>
      <c r="E109" s="47">
        <v>96120</v>
      </c>
      <c r="F109" s="47">
        <v>650000</v>
      </c>
      <c r="G109" s="48">
        <v>1040900</v>
      </c>
      <c r="H109" s="48">
        <v>770</v>
      </c>
      <c r="I109" s="49">
        <v>0</v>
      </c>
      <c r="J109" s="211"/>
    </row>
    <row r="110" spans="1:10" x14ac:dyDescent="0.2">
      <c r="A110" s="44" t="s">
        <v>285</v>
      </c>
      <c r="B110" s="45">
        <v>2002</v>
      </c>
      <c r="C110" s="46" t="s">
        <v>287</v>
      </c>
      <c r="D110" s="46" t="s">
        <v>288</v>
      </c>
      <c r="E110" s="47">
        <v>136880</v>
      </c>
      <c r="F110" s="47">
        <v>232400</v>
      </c>
      <c r="G110" s="48">
        <v>5760000</v>
      </c>
      <c r="H110" s="48">
        <v>114</v>
      </c>
      <c r="I110" s="49">
        <v>-62012</v>
      </c>
      <c r="J110" s="211"/>
    </row>
    <row r="111" spans="1:10" x14ac:dyDescent="0.2">
      <c r="A111" s="44" t="s">
        <v>289</v>
      </c>
      <c r="B111" s="45">
        <v>2002</v>
      </c>
      <c r="C111" s="46" t="s">
        <v>290</v>
      </c>
      <c r="D111" s="46" t="s">
        <v>291</v>
      </c>
      <c r="E111" s="47">
        <v>1255</v>
      </c>
      <c r="F111" s="47">
        <v>6000</v>
      </c>
      <c r="G111" s="48">
        <v>9400</v>
      </c>
      <c r="H111" s="48">
        <v>4</v>
      </c>
      <c r="I111" s="49">
        <v>0</v>
      </c>
      <c r="J111" s="211"/>
    </row>
    <row r="112" spans="1:10" x14ac:dyDescent="0.2">
      <c r="A112" s="44" t="s">
        <v>289</v>
      </c>
      <c r="B112" s="45">
        <v>2002</v>
      </c>
      <c r="C112" s="46" t="s">
        <v>292</v>
      </c>
      <c r="D112" s="46" t="s">
        <v>293</v>
      </c>
      <c r="E112" s="47">
        <v>142162</v>
      </c>
      <c r="F112" s="47">
        <v>1208375</v>
      </c>
      <c r="G112" s="48">
        <v>2262207</v>
      </c>
      <c r="H112" s="48">
        <v>422</v>
      </c>
      <c r="I112" s="49">
        <v>-202886</v>
      </c>
      <c r="J112" s="211"/>
    </row>
    <row r="113" spans="1:10" x14ac:dyDescent="0.2">
      <c r="A113" s="44" t="s">
        <v>294</v>
      </c>
      <c r="B113" s="45">
        <v>2002</v>
      </c>
      <c r="C113" s="46" t="s">
        <v>295</v>
      </c>
      <c r="D113" s="46" t="s">
        <v>296</v>
      </c>
      <c r="E113" s="47">
        <v>4800</v>
      </c>
      <c r="F113" s="47">
        <v>40000</v>
      </c>
      <c r="G113" s="48">
        <v>25500</v>
      </c>
      <c r="H113" s="48">
        <v>3</v>
      </c>
      <c r="I113" s="49">
        <v>300</v>
      </c>
      <c r="J113" s="211"/>
    </row>
    <row r="114" spans="1:10" x14ac:dyDescent="0.2">
      <c r="A114" s="44" t="s">
        <v>297</v>
      </c>
      <c r="B114" s="45">
        <v>2002</v>
      </c>
      <c r="C114" s="46" t="s">
        <v>298</v>
      </c>
      <c r="D114" s="46" t="s">
        <v>299</v>
      </c>
      <c r="E114" s="47">
        <v>422132</v>
      </c>
      <c r="F114" s="47">
        <v>1935300</v>
      </c>
      <c r="G114" s="48">
        <v>3145281</v>
      </c>
      <c r="H114" s="48">
        <v>522.1</v>
      </c>
      <c r="I114" s="49">
        <v>-10096</v>
      </c>
      <c r="J114" s="211"/>
    </row>
    <row r="115" spans="1:10" x14ac:dyDescent="0.2">
      <c r="A115" s="53" t="s">
        <v>300</v>
      </c>
      <c r="B115" s="54">
        <v>2003</v>
      </c>
      <c r="C115" s="55" t="s">
        <v>301</v>
      </c>
      <c r="D115" s="55" t="s">
        <v>302</v>
      </c>
      <c r="E115" s="56">
        <v>210000</v>
      </c>
      <c r="F115" s="56">
        <v>1704391</v>
      </c>
      <c r="G115" s="57">
        <v>1127386</v>
      </c>
      <c r="H115" s="48">
        <v>203</v>
      </c>
      <c r="I115" s="58">
        <v>122183</v>
      </c>
      <c r="J115" s="213"/>
    </row>
    <row r="116" spans="1:10" x14ac:dyDescent="0.2">
      <c r="A116" s="44" t="s">
        <v>303</v>
      </c>
      <c r="B116" s="45">
        <v>2003</v>
      </c>
      <c r="C116" s="46" t="s">
        <v>304</v>
      </c>
      <c r="D116" s="46" t="s">
        <v>305</v>
      </c>
      <c r="E116" s="47">
        <v>23312</v>
      </c>
      <c r="F116" s="47">
        <v>233120</v>
      </c>
      <c r="G116" s="48">
        <v>149920</v>
      </c>
      <c r="H116" s="48">
        <v>89</v>
      </c>
      <c r="I116" s="49">
        <v>0</v>
      </c>
      <c r="J116" s="211"/>
    </row>
    <row r="117" spans="1:10" x14ac:dyDescent="0.2">
      <c r="A117" s="44" t="s">
        <v>306</v>
      </c>
      <c r="B117" s="45">
        <v>2003</v>
      </c>
      <c r="C117" s="46" t="s">
        <v>307</v>
      </c>
      <c r="D117" s="46" t="s">
        <v>103</v>
      </c>
      <c r="E117" s="47">
        <v>30000</v>
      </c>
      <c r="F117" s="47">
        <v>250000</v>
      </c>
      <c r="G117" s="48">
        <v>189780</v>
      </c>
      <c r="H117" s="48">
        <v>63</v>
      </c>
      <c r="I117" s="49">
        <v>1748</v>
      </c>
      <c r="J117" s="211"/>
    </row>
    <row r="118" spans="1:10" x14ac:dyDescent="0.2">
      <c r="A118" s="44" t="s">
        <v>308</v>
      </c>
      <c r="B118" s="45">
        <v>2003</v>
      </c>
      <c r="C118" s="46" t="s">
        <v>309</v>
      </c>
      <c r="D118" s="46" t="s">
        <v>87</v>
      </c>
      <c r="E118" s="47">
        <v>18227</v>
      </c>
      <c r="F118" s="47">
        <v>182270</v>
      </c>
      <c r="G118" s="48">
        <v>132889</v>
      </c>
      <c r="H118" s="48">
        <v>0</v>
      </c>
      <c r="I118" s="49">
        <v>0</v>
      </c>
      <c r="J118" s="211"/>
    </row>
    <row r="119" spans="1:10" x14ac:dyDescent="0.2">
      <c r="A119" s="44" t="s">
        <v>310</v>
      </c>
      <c r="B119" s="45">
        <v>2003</v>
      </c>
      <c r="C119" s="46" t="s">
        <v>311</v>
      </c>
      <c r="D119" s="46" t="s">
        <v>312</v>
      </c>
      <c r="E119" s="47">
        <v>33486</v>
      </c>
      <c r="F119" s="47">
        <v>183685</v>
      </c>
      <c r="G119" s="48">
        <v>0</v>
      </c>
      <c r="H119" s="48">
        <v>0</v>
      </c>
      <c r="I119" s="49">
        <v>0</v>
      </c>
      <c r="J119" s="211"/>
    </row>
    <row r="120" spans="1:10" x14ac:dyDescent="0.2">
      <c r="A120" s="44" t="s">
        <v>313</v>
      </c>
      <c r="B120" s="45">
        <v>2003</v>
      </c>
      <c r="C120" s="46" t="s">
        <v>314</v>
      </c>
      <c r="D120" s="46" t="s">
        <v>302</v>
      </c>
      <c r="E120" s="47">
        <v>180000</v>
      </c>
      <c r="F120" s="47">
        <v>1800000</v>
      </c>
      <c r="G120" s="48">
        <v>1582000</v>
      </c>
      <c r="H120" s="48">
        <v>3</v>
      </c>
      <c r="I120" s="49">
        <v>43600</v>
      </c>
      <c r="J120" s="211"/>
    </row>
    <row r="121" spans="1:10" x14ac:dyDescent="0.2">
      <c r="A121" s="44" t="s">
        <v>313</v>
      </c>
      <c r="B121" s="45">
        <v>2003</v>
      </c>
      <c r="C121" s="46" t="s">
        <v>315</v>
      </c>
      <c r="D121" s="46" t="s">
        <v>152</v>
      </c>
      <c r="E121" s="47">
        <v>70600</v>
      </c>
      <c r="F121" s="47">
        <v>488000</v>
      </c>
      <c r="G121" s="48">
        <v>390000</v>
      </c>
      <c r="H121" s="48">
        <v>214</v>
      </c>
      <c r="I121" s="49">
        <v>0</v>
      </c>
      <c r="J121" s="211"/>
    </row>
    <row r="122" spans="1:10" x14ac:dyDescent="0.2">
      <c r="A122" s="44">
        <v>37867</v>
      </c>
      <c r="B122" s="45">
        <v>2003</v>
      </c>
      <c r="C122" s="46" t="s">
        <v>316</v>
      </c>
      <c r="D122" s="46" t="s">
        <v>317</v>
      </c>
      <c r="E122" s="47">
        <v>24400</v>
      </c>
      <c r="F122" s="47">
        <v>91067</v>
      </c>
      <c r="G122" s="48">
        <v>172062</v>
      </c>
      <c r="H122" s="48">
        <v>55</v>
      </c>
      <c r="I122" s="49">
        <v>0</v>
      </c>
      <c r="J122" s="211"/>
    </row>
    <row r="123" spans="1:10" x14ac:dyDescent="0.2">
      <c r="A123" s="44" t="s">
        <v>318</v>
      </c>
      <c r="B123" s="45">
        <v>2003</v>
      </c>
      <c r="C123" s="46" t="s">
        <v>319</v>
      </c>
      <c r="D123" s="46" t="s">
        <v>75</v>
      </c>
      <c r="E123" s="47">
        <v>110789</v>
      </c>
      <c r="F123" s="47">
        <v>1107890</v>
      </c>
      <c r="G123" s="48">
        <v>3439517</v>
      </c>
      <c r="H123" s="48">
        <v>0</v>
      </c>
      <c r="I123" s="49">
        <v>-111000</v>
      </c>
      <c r="J123" s="211"/>
    </row>
    <row r="124" spans="1:10" x14ac:dyDescent="0.2">
      <c r="A124" s="44" t="s">
        <v>318</v>
      </c>
      <c r="B124" s="45">
        <v>2003</v>
      </c>
      <c r="C124" s="46" t="s">
        <v>320</v>
      </c>
      <c r="D124" s="46" t="s">
        <v>321</v>
      </c>
      <c r="E124" s="47">
        <v>25061</v>
      </c>
      <c r="F124" s="47">
        <v>203491</v>
      </c>
      <c r="G124" s="48">
        <v>186677</v>
      </c>
      <c r="H124" s="48">
        <v>67</v>
      </c>
      <c r="I124" s="49">
        <v>1706</v>
      </c>
      <c r="J124" s="211"/>
    </row>
    <row r="125" spans="1:10" x14ac:dyDescent="0.2">
      <c r="A125" s="44" t="s">
        <v>318</v>
      </c>
      <c r="B125" s="45">
        <v>2003</v>
      </c>
      <c r="C125" s="46" t="s">
        <v>322</v>
      </c>
      <c r="D125" s="46" t="s">
        <v>323</v>
      </c>
      <c r="E125" s="47">
        <v>200717</v>
      </c>
      <c r="F125" s="47">
        <v>2000000</v>
      </c>
      <c r="G125" s="48">
        <v>1804690</v>
      </c>
      <c r="H125" s="48">
        <v>511</v>
      </c>
      <c r="I125" s="49">
        <v>-60000</v>
      </c>
      <c r="J125" s="211"/>
    </row>
    <row r="126" spans="1:10" x14ac:dyDescent="0.2">
      <c r="A126" s="44" t="s">
        <v>318</v>
      </c>
      <c r="B126" s="45">
        <v>2003</v>
      </c>
      <c r="C126" s="46" t="s">
        <v>324</v>
      </c>
      <c r="D126" s="46" t="s">
        <v>325</v>
      </c>
      <c r="E126" s="47">
        <v>17589</v>
      </c>
      <c r="F126" s="47">
        <v>175000</v>
      </c>
      <c r="G126" s="48">
        <v>132180</v>
      </c>
      <c r="H126" s="48">
        <v>65</v>
      </c>
      <c r="I126" s="49">
        <v>0</v>
      </c>
      <c r="J126" s="211"/>
    </row>
    <row r="127" spans="1:10" x14ac:dyDescent="0.2">
      <c r="A127" s="44" t="s">
        <v>326</v>
      </c>
      <c r="B127" s="45">
        <v>2003</v>
      </c>
      <c r="C127" s="46" t="s">
        <v>327</v>
      </c>
      <c r="D127" s="46" t="s">
        <v>328</v>
      </c>
      <c r="E127" s="47">
        <v>158858</v>
      </c>
      <c r="F127" s="47">
        <v>1310300</v>
      </c>
      <c r="G127" s="48">
        <v>1255295</v>
      </c>
      <c r="H127" s="48">
        <v>198</v>
      </c>
      <c r="I127" s="49">
        <v>0</v>
      </c>
      <c r="J127" s="211"/>
    </row>
    <row r="128" spans="1:10" x14ac:dyDescent="0.2">
      <c r="A128" s="44" t="s">
        <v>329</v>
      </c>
      <c r="B128" s="45">
        <v>2003</v>
      </c>
      <c r="C128" s="46" t="s">
        <v>330</v>
      </c>
      <c r="D128" s="46" t="s">
        <v>331</v>
      </c>
      <c r="E128" s="47">
        <v>166000</v>
      </c>
      <c r="F128" s="47">
        <v>635087</v>
      </c>
      <c r="G128" s="48">
        <v>1822337</v>
      </c>
      <c r="H128" s="48">
        <v>208</v>
      </c>
      <c r="I128" s="49">
        <v>0</v>
      </c>
      <c r="J128" s="211"/>
    </row>
    <row r="129" spans="1:10" x14ac:dyDescent="0.2">
      <c r="A129" s="44" t="s">
        <v>329</v>
      </c>
      <c r="B129" s="45">
        <v>2003</v>
      </c>
      <c r="C129" s="46" t="s">
        <v>332</v>
      </c>
      <c r="D129" s="46" t="s">
        <v>305</v>
      </c>
      <c r="E129" s="47">
        <v>49865</v>
      </c>
      <c r="F129" s="47">
        <v>154042</v>
      </c>
      <c r="G129" s="48">
        <v>434553</v>
      </c>
      <c r="H129" s="48">
        <v>0</v>
      </c>
      <c r="I129" s="49">
        <v>0</v>
      </c>
      <c r="J129" s="211"/>
    </row>
    <row r="130" spans="1:10" x14ac:dyDescent="0.2">
      <c r="A130" s="44" t="s">
        <v>333</v>
      </c>
      <c r="B130" s="45">
        <v>2003</v>
      </c>
      <c r="C130" s="46" t="s">
        <v>334</v>
      </c>
      <c r="D130" s="46" t="s">
        <v>335</v>
      </c>
      <c r="E130" s="47">
        <v>231047</v>
      </c>
      <c r="F130" s="47">
        <v>1361930</v>
      </c>
      <c r="G130" s="48">
        <v>3013524</v>
      </c>
      <c r="H130" s="48">
        <v>627</v>
      </c>
      <c r="I130" s="49">
        <v>-3904</v>
      </c>
      <c r="J130" s="211"/>
    </row>
    <row r="131" spans="1:10" x14ac:dyDescent="0.2">
      <c r="A131" s="44" t="s">
        <v>336</v>
      </c>
      <c r="B131" s="45">
        <v>2003</v>
      </c>
      <c r="C131" s="46" t="s">
        <v>337</v>
      </c>
      <c r="D131" s="46" t="s">
        <v>338</v>
      </c>
      <c r="E131" s="47">
        <v>277700</v>
      </c>
      <c r="F131" s="47">
        <v>2777000</v>
      </c>
      <c r="G131" s="48">
        <v>1481083</v>
      </c>
      <c r="H131" s="48">
        <v>593</v>
      </c>
      <c r="I131" s="49">
        <v>0</v>
      </c>
      <c r="J131" s="211"/>
    </row>
    <row r="132" spans="1:10" x14ac:dyDescent="0.2">
      <c r="A132" s="44" t="s">
        <v>336</v>
      </c>
      <c r="B132" s="45">
        <v>2003</v>
      </c>
      <c r="C132" s="46" t="s">
        <v>339</v>
      </c>
      <c r="D132" s="46" t="s">
        <v>321</v>
      </c>
      <c r="E132" s="47">
        <v>5400</v>
      </c>
      <c r="F132" s="47">
        <v>54000</v>
      </c>
      <c r="G132" s="48">
        <v>45706</v>
      </c>
      <c r="H132" s="48">
        <v>6</v>
      </c>
      <c r="I132" s="49">
        <v>2000</v>
      </c>
      <c r="J132" s="211"/>
    </row>
    <row r="133" spans="1:10" x14ac:dyDescent="0.2">
      <c r="A133" s="44" t="s">
        <v>340</v>
      </c>
      <c r="B133" s="45">
        <v>2004</v>
      </c>
      <c r="C133" s="46" t="s">
        <v>341</v>
      </c>
      <c r="D133" s="46" t="s">
        <v>342</v>
      </c>
      <c r="E133" s="47">
        <v>13665</v>
      </c>
      <c r="F133" s="47">
        <v>112587</v>
      </c>
      <c r="G133" s="48">
        <v>75275</v>
      </c>
      <c r="H133" s="48">
        <v>38</v>
      </c>
      <c r="I133" s="49">
        <v>1579</v>
      </c>
      <c r="J133" s="211"/>
    </row>
    <row r="134" spans="1:10" x14ac:dyDescent="0.2">
      <c r="A134" s="44" t="s">
        <v>340</v>
      </c>
      <c r="B134" s="45">
        <v>2004</v>
      </c>
      <c r="C134" s="46" t="s">
        <v>343</v>
      </c>
      <c r="D134" s="46" t="s">
        <v>344</v>
      </c>
      <c r="E134" s="47">
        <v>108000</v>
      </c>
      <c r="F134" s="47">
        <v>1080000</v>
      </c>
      <c r="G134" s="48">
        <v>685000</v>
      </c>
      <c r="H134" s="48">
        <v>196</v>
      </c>
      <c r="I134" s="49">
        <v>0</v>
      </c>
      <c r="J134" s="211"/>
    </row>
    <row r="135" spans="1:10" x14ac:dyDescent="0.2">
      <c r="A135" s="44" t="s">
        <v>340</v>
      </c>
      <c r="B135" s="45">
        <v>2004</v>
      </c>
      <c r="C135" s="46" t="s">
        <v>345</v>
      </c>
      <c r="D135" s="46" t="s">
        <v>346</v>
      </c>
      <c r="E135" s="47">
        <v>223000</v>
      </c>
      <c r="F135" s="47">
        <v>2230000</v>
      </c>
      <c r="G135" s="48">
        <v>2630879</v>
      </c>
      <c r="H135" s="48">
        <v>223.6</v>
      </c>
      <c r="I135" s="49">
        <v>3443</v>
      </c>
      <c r="J135" s="211"/>
    </row>
    <row r="136" spans="1:10" x14ac:dyDescent="0.2">
      <c r="A136" s="44" t="s">
        <v>347</v>
      </c>
      <c r="B136" s="45">
        <v>2004</v>
      </c>
      <c r="C136" s="46" t="s">
        <v>348</v>
      </c>
      <c r="D136" s="46" t="s">
        <v>349</v>
      </c>
      <c r="E136" s="47">
        <v>16000</v>
      </c>
      <c r="F136" s="47">
        <v>160000</v>
      </c>
      <c r="G136" s="48">
        <v>122990</v>
      </c>
      <c r="H136" s="48">
        <v>45</v>
      </c>
      <c r="I136" s="49">
        <v>0</v>
      </c>
      <c r="J136" s="211"/>
    </row>
    <row r="137" spans="1:10" x14ac:dyDescent="0.2">
      <c r="A137" s="44" t="s">
        <v>350</v>
      </c>
      <c r="B137" s="45">
        <v>2004</v>
      </c>
      <c r="C137" s="46" t="s">
        <v>351</v>
      </c>
      <c r="D137" s="46" t="s">
        <v>352</v>
      </c>
      <c r="E137" s="47">
        <v>254041</v>
      </c>
      <c r="F137" s="47">
        <v>2150000</v>
      </c>
      <c r="G137" s="48">
        <v>1814560</v>
      </c>
      <c r="H137" s="48">
        <v>251</v>
      </c>
      <c r="I137" s="49">
        <v>34</v>
      </c>
      <c r="J137" s="211"/>
    </row>
    <row r="138" spans="1:10" x14ac:dyDescent="0.2">
      <c r="A138" s="44" t="s">
        <v>350</v>
      </c>
      <c r="B138" s="45">
        <v>2004</v>
      </c>
      <c r="C138" s="46" t="s">
        <v>353</v>
      </c>
      <c r="D138" s="46" t="s">
        <v>354</v>
      </c>
      <c r="E138" s="47">
        <v>9321</v>
      </c>
      <c r="F138" s="47">
        <v>93210</v>
      </c>
      <c r="G138" s="48">
        <v>52698</v>
      </c>
      <c r="H138" s="48">
        <v>42</v>
      </c>
      <c r="I138" s="49">
        <v>0</v>
      </c>
      <c r="J138" s="211"/>
    </row>
    <row r="139" spans="1:10" x14ac:dyDescent="0.2">
      <c r="A139" s="44" t="s">
        <v>355</v>
      </c>
      <c r="B139" s="45">
        <v>2004</v>
      </c>
      <c r="C139" s="46" t="s">
        <v>356</v>
      </c>
      <c r="D139" s="46" t="s">
        <v>357</v>
      </c>
      <c r="E139" s="47">
        <v>282000</v>
      </c>
      <c r="F139" s="47">
        <v>2661000</v>
      </c>
      <c r="G139" s="48">
        <v>1798302</v>
      </c>
      <c r="H139" s="48">
        <v>709</v>
      </c>
      <c r="I139" s="49">
        <v>11090</v>
      </c>
      <c r="J139" s="211"/>
    </row>
    <row r="140" spans="1:10" x14ac:dyDescent="0.2">
      <c r="A140" s="44" t="s">
        <v>355</v>
      </c>
      <c r="B140" s="45">
        <v>2004</v>
      </c>
      <c r="C140" s="46" t="s">
        <v>358</v>
      </c>
      <c r="D140" s="46" t="s">
        <v>359</v>
      </c>
      <c r="E140" s="47">
        <v>57688.26</v>
      </c>
      <c r="F140" s="47">
        <v>576880</v>
      </c>
      <c r="G140" s="48">
        <v>430710</v>
      </c>
      <c r="H140" s="48">
        <v>133</v>
      </c>
      <c r="I140" s="49">
        <v>0</v>
      </c>
      <c r="J140" s="211"/>
    </row>
    <row r="141" spans="1:10" x14ac:dyDescent="0.2">
      <c r="A141" s="44" t="s">
        <v>360</v>
      </c>
      <c r="B141" s="45">
        <v>2004</v>
      </c>
      <c r="C141" s="46" t="s">
        <v>361</v>
      </c>
      <c r="D141" s="46" t="s">
        <v>90</v>
      </c>
      <c r="E141" s="47">
        <v>256460</v>
      </c>
      <c r="F141" s="47">
        <v>2564600</v>
      </c>
      <c r="G141" s="48">
        <v>1593436</v>
      </c>
      <c r="H141" s="48">
        <v>888.7</v>
      </c>
      <c r="I141" s="49">
        <v>0</v>
      </c>
      <c r="J141" s="211"/>
    </row>
    <row r="142" spans="1:10" x14ac:dyDescent="0.2">
      <c r="A142" s="44" t="s">
        <v>362</v>
      </c>
      <c r="B142" s="45">
        <v>2004</v>
      </c>
      <c r="C142" s="46" t="s">
        <v>363</v>
      </c>
      <c r="D142" s="46" t="s">
        <v>127</v>
      </c>
      <c r="E142" s="47">
        <v>20800</v>
      </c>
      <c r="F142" s="47">
        <v>208000</v>
      </c>
      <c r="G142" s="48">
        <v>192308</v>
      </c>
      <c r="H142" s="48">
        <v>80</v>
      </c>
      <c r="I142" s="49">
        <v>0</v>
      </c>
      <c r="J142" s="211"/>
    </row>
    <row r="143" spans="1:10" x14ac:dyDescent="0.2">
      <c r="A143" s="44" t="s">
        <v>362</v>
      </c>
      <c r="B143" s="45">
        <v>2004</v>
      </c>
      <c r="C143" s="46" t="s">
        <v>364</v>
      </c>
      <c r="D143" s="46" t="s">
        <v>338</v>
      </c>
      <c r="E143" s="47">
        <v>39000</v>
      </c>
      <c r="F143" s="47">
        <v>390000</v>
      </c>
      <c r="G143" s="48">
        <v>237151</v>
      </c>
      <c r="H143" s="48">
        <v>54</v>
      </c>
      <c r="I143" s="49">
        <v>0</v>
      </c>
      <c r="J143" s="211"/>
    </row>
    <row r="144" spans="1:10" x14ac:dyDescent="0.2">
      <c r="A144" s="44" t="s">
        <v>365</v>
      </c>
      <c r="B144" s="45">
        <v>2004</v>
      </c>
      <c r="C144" s="46" t="s">
        <v>366</v>
      </c>
      <c r="D144" s="46" t="s">
        <v>282</v>
      </c>
      <c r="E144" s="47">
        <v>417805</v>
      </c>
      <c r="F144" s="47">
        <v>3000000</v>
      </c>
      <c r="G144" s="48">
        <v>3448376</v>
      </c>
      <c r="H144" s="48">
        <v>0</v>
      </c>
      <c r="I144" s="49">
        <v>5000</v>
      </c>
      <c r="J144" s="211"/>
    </row>
    <row r="145" spans="1:10" x14ac:dyDescent="0.2">
      <c r="A145" s="44" t="s">
        <v>365</v>
      </c>
      <c r="B145" s="45">
        <v>2004</v>
      </c>
      <c r="C145" s="46" t="s">
        <v>367</v>
      </c>
      <c r="D145" s="46" t="s">
        <v>368</v>
      </c>
      <c r="E145" s="47">
        <v>62400</v>
      </c>
      <c r="F145" s="47">
        <v>596000</v>
      </c>
      <c r="G145" s="48">
        <v>326900</v>
      </c>
      <c r="H145" s="48">
        <v>114</v>
      </c>
      <c r="I145" s="49">
        <v>0</v>
      </c>
      <c r="J145" s="211"/>
    </row>
    <row r="146" spans="1:10" x14ac:dyDescent="0.2">
      <c r="A146" s="44" t="s">
        <v>369</v>
      </c>
      <c r="B146" s="45">
        <v>2004</v>
      </c>
      <c r="C146" s="46" t="s">
        <v>370</v>
      </c>
      <c r="D146" s="46" t="s">
        <v>371</v>
      </c>
      <c r="E146" s="47">
        <v>8142</v>
      </c>
      <c r="F146" s="47">
        <v>54500</v>
      </c>
      <c r="G146" s="48">
        <v>60000</v>
      </c>
      <c r="H146" s="48">
        <v>9</v>
      </c>
      <c r="I146" s="49">
        <v>0</v>
      </c>
      <c r="J146" s="211"/>
    </row>
    <row r="147" spans="1:10" x14ac:dyDescent="0.2">
      <c r="A147" s="44" t="s">
        <v>369</v>
      </c>
      <c r="B147" s="45">
        <v>2004</v>
      </c>
      <c r="C147" s="46" t="s">
        <v>372</v>
      </c>
      <c r="D147" s="46" t="s">
        <v>335</v>
      </c>
      <c r="E147" s="47">
        <v>14781</v>
      </c>
      <c r="F147" s="47">
        <v>73412</v>
      </c>
      <c r="G147" s="48">
        <v>109747</v>
      </c>
      <c r="H147" s="48">
        <v>38</v>
      </c>
      <c r="I147" s="49">
        <v>0</v>
      </c>
      <c r="J147" s="211"/>
    </row>
    <row r="148" spans="1:10" x14ac:dyDescent="0.2">
      <c r="A148" s="44" t="s">
        <v>369</v>
      </c>
      <c r="B148" s="45">
        <v>2004</v>
      </c>
      <c r="C148" s="46" t="s">
        <v>373</v>
      </c>
      <c r="D148" s="46" t="s">
        <v>374</v>
      </c>
      <c r="E148" s="47">
        <v>6223</v>
      </c>
      <c r="F148" s="47">
        <v>49500</v>
      </c>
      <c r="G148" s="48">
        <v>46097</v>
      </c>
      <c r="H148" s="48">
        <v>14</v>
      </c>
      <c r="I148" s="49">
        <v>0</v>
      </c>
      <c r="J148" s="211"/>
    </row>
    <row r="149" spans="1:10" x14ac:dyDescent="0.2">
      <c r="A149" s="44" t="s">
        <v>375</v>
      </c>
      <c r="B149" s="45">
        <v>2004</v>
      </c>
      <c r="C149" s="46" t="s">
        <v>376</v>
      </c>
      <c r="D149" s="46" t="s">
        <v>265</v>
      </c>
      <c r="E149" s="47">
        <v>51390</v>
      </c>
      <c r="F149" s="47">
        <v>513900</v>
      </c>
      <c r="G149" s="48">
        <v>403785</v>
      </c>
      <c r="H149" s="48">
        <v>76</v>
      </c>
      <c r="I149" s="49">
        <v>2327</v>
      </c>
      <c r="J149" s="211"/>
    </row>
    <row r="150" spans="1:10" x14ac:dyDescent="0.2">
      <c r="A150" s="44" t="s">
        <v>375</v>
      </c>
      <c r="B150" s="45">
        <v>2004</v>
      </c>
      <c r="C150" s="46" t="s">
        <v>377</v>
      </c>
      <c r="D150" s="46" t="s">
        <v>378</v>
      </c>
      <c r="E150" s="47">
        <v>60000</v>
      </c>
      <c r="F150" s="47">
        <v>600000</v>
      </c>
      <c r="G150" s="48">
        <v>436876</v>
      </c>
      <c r="H150" s="48">
        <v>140</v>
      </c>
      <c r="I150" s="49">
        <v>0</v>
      </c>
      <c r="J150" s="211"/>
    </row>
    <row r="151" spans="1:10" x14ac:dyDescent="0.2">
      <c r="A151" s="44" t="s">
        <v>379</v>
      </c>
      <c r="B151" s="45">
        <v>2004</v>
      </c>
      <c r="C151" s="46" t="s">
        <v>380</v>
      </c>
      <c r="D151" s="46" t="s">
        <v>381</v>
      </c>
      <c r="E151" s="47">
        <v>33781.760000000002</v>
      </c>
      <c r="F151" s="47">
        <v>270000</v>
      </c>
      <c r="G151" s="48">
        <v>697824</v>
      </c>
      <c r="H151" s="48">
        <v>80</v>
      </c>
      <c r="I151" s="49">
        <v>0</v>
      </c>
      <c r="J151" s="211"/>
    </row>
    <row r="152" spans="1:10" x14ac:dyDescent="0.2">
      <c r="A152" s="44" t="s">
        <v>382</v>
      </c>
      <c r="B152" s="45">
        <v>2004</v>
      </c>
      <c r="C152" s="46" t="s">
        <v>383</v>
      </c>
      <c r="D152" s="46" t="s">
        <v>90</v>
      </c>
      <c r="E152" s="47">
        <v>287313</v>
      </c>
      <c r="F152" s="47">
        <v>2858765</v>
      </c>
      <c r="G152" s="48">
        <v>7765740</v>
      </c>
      <c r="H152" s="48">
        <v>800</v>
      </c>
      <c r="I152" s="49">
        <v>-527930</v>
      </c>
      <c r="J152" s="211"/>
    </row>
    <row r="153" spans="1:10" x14ac:dyDescent="0.2">
      <c r="A153" s="44" t="s">
        <v>384</v>
      </c>
      <c r="B153" s="45">
        <v>2004</v>
      </c>
      <c r="C153" s="46" t="s">
        <v>385</v>
      </c>
      <c r="D153" s="46" t="s">
        <v>386</v>
      </c>
      <c r="E153" s="47">
        <v>13490</v>
      </c>
      <c r="F153" s="47">
        <v>120328</v>
      </c>
      <c r="G153" s="48">
        <v>95477</v>
      </c>
      <c r="H153" s="48">
        <v>40</v>
      </c>
      <c r="I153" s="49">
        <v>0</v>
      </c>
      <c r="J153" s="211"/>
    </row>
    <row r="154" spans="1:10" x14ac:dyDescent="0.2">
      <c r="A154" s="44" t="s">
        <v>387</v>
      </c>
      <c r="B154" s="45">
        <v>2005</v>
      </c>
      <c r="C154" s="46" t="s">
        <v>388</v>
      </c>
      <c r="D154" s="46" t="s">
        <v>127</v>
      </c>
      <c r="E154" s="47">
        <v>138000</v>
      </c>
      <c r="F154" s="47">
        <v>454660</v>
      </c>
      <c r="G154" s="48">
        <v>1109012</v>
      </c>
      <c r="H154" s="48">
        <v>133</v>
      </c>
      <c r="I154" s="49">
        <v>0</v>
      </c>
      <c r="J154" s="211"/>
    </row>
    <row r="155" spans="1:10" x14ac:dyDescent="0.2">
      <c r="A155" s="44" t="s">
        <v>389</v>
      </c>
      <c r="B155" s="45">
        <v>2005</v>
      </c>
      <c r="C155" s="46" t="s">
        <v>390</v>
      </c>
      <c r="D155" s="46" t="s">
        <v>328</v>
      </c>
      <c r="E155" s="47">
        <v>24885</v>
      </c>
      <c r="F155" s="47">
        <v>248852</v>
      </c>
      <c r="G155" s="48">
        <v>238405</v>
      </c>
      <c r="H155" s="48">
        <v>38</v>
      </c>
      <c r="I155" s="49">
        <v>0</v>
      </c>
      <c r="J155" s="211"/>
    </row>
    <row r="156" spans="1:10" x14ac:dyDescent="0.2">
      <c r="A156" s="44" t="s">
        <v>391</v>
      </c>
      <c r="B156" s="45">
        <v>2005</v>
      </c>
      <c r="C156" s="46" t="s">
        <v>392</v>
      </c>
      <c r="D156" s="46" t="s">
        <v>393</v>
      </c>
      <c r="E156" s="47">
        <v>4626</v>
      </c>
      <c r="F156" s="47">
        <v>41615</v>
      </c>
      <c r="G156" s="48">
        <v>31474</v>
      </c>
      <c r="H156" s="48">
        <v>17</v>
      </c>
      <c r="I156" s="49">
        <v>0</v>
      </c>
      <c r="J156" s="211"/>
    </row>
    <row r="157" spans="1:10" x14ac:dyDescent="0.2">
      <c r="A157" s="44" t="s">
        <v>391</v>
      </c>
      <c r="B157" s="45">
        <v>2005</v>
      </c>
      <c r="C157" s="46" t="s">
        <v>394</v>
      </c>
      <c r="D157" s="46" t="s">
        <v>395</v>
      </c>
      <c r="E157" s="47">
        <v>12094</v>
      </c>
      <c r="F157" s="47">
        <v>27400</v>
      </c>
      <c r="G157" s="48">
        <v>78536</v>
      </c>
      <c r="H157" s="48">
        <v>45</v>
      </c>
      <c r="I157" s="49">
        <v>0</v>
      </c>
      <c r="J157" s="211"/>
    </row>
    <row r="158" spans="1:10" x14ac:dyDescent="0.2">
      <c r="A158" s="44" t="s">
        <v>396</v>
      </c>
      <c r="B158" s="45">
        <v>2005</v>
      </c>
      <c r="C158" s="46" t="s">
        <v>397</v>
      </c>
      <c r="D158" s="46" t="s">
        <v>81</v>
      </c>
      <c r="E158" s="47">
        <v>39557</v>
      </c>
      <c r="F158" s="47">
        <v>242898</v>
      </c>
      <c r="G158" s="48">
        <v>225742</v>
      </c>
      <c r="H158" s="48">
        <v>43.6</v>
      </c>
      <c r="I158" s="49">
        <v>4885</v>
      </c>
      <c r="J158" s="211"/>
    </row>
    <row r="159" spans="1:10" x14ac:dyDescent="0.2">
      <c r="A159" s="44" t="s">
        <v>398</v>
      </c>
      <c r="B159" s="45">
        <v>2005</v>
      </c>
      <c r="C159" s="46" t="s">
        <v>399</v>
      </c>
      <c r="D159" s="46" t="s">
        <v>400</v>
      </c>
      <c r="E159" s="47">
        <v>27711</v>
      </c>
      <c r="F159" s="47">
        <v>272004</v>
      </c>
      <c r="G159" s="48">
        <v>0</v>
      </c>
      <c r="H159" s="48">
        <v>127</v>
      </c>
      <c r="I159" s="49">
        <v>0</v>
      </c>
      <c r="J159" s="211"/>
    </row>
    <row r="160" spans="1:10" x14ac:dyDescent="0.2">
      <c r="A160" s="44" t="s">
        <v>401</v>
      </c>
      <c r="B160" s="45">
        <v>2005</v>
      </c>
      <c r="C160" s="46" t="s">
        <v>402</v>
      </c>
      <c r="D160" s="46" t="s">
        <v>403</v>
      </c>
      <c r="E160" s="47">
        <v>118333</v>
      </c>
      <c r="F160" s="47">
        <v>1160000</v>
      </c>
      <c r="G160" s="48">
        <v>652306</v>
      </c>
      <c r="H160" s="48">
        <v>201.5</v>
      </c>
      <c r="I160" s="49">
        <v>5859</v>
      </c>
      <c r="J160" s="211"/>
    </row>
    <row r="161" spans="1:11" x14ac:dyDescent="0.2">
      <c r="A161" s="44" t="s">
        <v>401</v>
      </c>
      <c r="B161" s="45">
        <v>2005</v>
      </c>
      <c r="C161" s="46" t="s">
        <v>404</v>
      </c>
      <c r="D161" s="46" t="s">
        <v>368</v>
      </c>
      <c r="E161" s="47">
        <v>34865</v>
      </c>
      <c r="F161" s="47">
        <v>341677</v>
      </c>
      <c r="G161" s="48">
        <v>379626</v>
      </c>
      <c r="H161" s="48">
        <v>87.9</v>
      </c>
      <c r="I161" s="49">
        <v>0</v>
      </c>
      <c r="J161" s="211"/>
    </row>
    <row r="162" spans="1:11" x14ac:dyDescent="0.2">
      <c r="A162" s="44" t="s">
        <v>405</v>
      </c>
      <c r="B162" s="45">
        <v>2006</v>
      </c>
      <c r="C162" s="46" t="s">
        <v>406</v>
      </c>
      <c r="D162" s="46" t="s">
        <v>407</v>
      </c>
      <c r="E162" s="47">
        <v>8822</v>
      </c>
      <c r="F162" s="47">
        <v>40000</v>
      </c>
      <c r="G162" s="48">
        <v>65739</v>
      </c>
      <c r="H162" s="48">
        <v>7.5</v>
      </c>
      <c r="I162" s="49">
        <v>0</v>
      </c>
      <c r="J162" s="211"/>
    </row>
    <row r="163" spans="1:11" x14ac:dyDescent="0.2">
      <c r="A163" s="44" t="s">
        <v>405</v>
      </c>
      <c r="B163" s="45">
        <v>2006</v>
      </c>
      <c r="C163" s="46" t="s">
        <v>408</v>
      </c>
      <c r="D163" s="46" t="s">
        <v>400</v>
      </c>
      <c r="E163" s="47">
        <v>5667</v>
      </c>
      <c r="F163" s="47">
        <v>54566</v>
      </c>
      <c r="G163" s="48">
        <v>0</v>
      </c>
      <c r="H163" s="48">
        <v>27.1</v>
      </c>
      <c r="I163" s="49">
        <v>0</v>
      </c>
      <c r="J163" s="211"/>
    </row>
    <row r="164" spans="1:11" x14ac:dyDescent="0.2">
      <c r="A164" s="44" t="s">
        <v>409</v>
      </c>
      <c r="B164" s="45">
        <v>2006</v>
      </c>
      <c r="C164" s="46" t="s">
        <v>410</v>
      </c>
      <c r="D164" s="46" t="s">
        <v>90</v>
      </c>
      <c r="E164" s="47">
        <v>351100</v>
      </c>
      <c r="F164" s="47">
        <v>3000000</v>
      </c>
      <c r="G164" s="48">
        <v>2090305</v>
      </c>
      <c r="H164" s="48">
        <v>721</v>
      </c>
      <c r="I164" s="49">
        <v>19919</v>
      </c>
      <c r="J164" s="211"/>
    </row>
    <row r="165" spans="1:11" s="50" customFormat="1" x14ac:dyDescent="0.2">
      <c r="A165" s="44" t="s">
        <v>411</v>
      </c>
      <c r="B165" s="45">
        <v>2006</v>
      </c>
      <c r="C165" s="46" t="s">
        <v>412</v>
      </c>
      <c r="D165" s="46" t="s">
        <v>413</v>
      </c>
      <c r="E165" s="47">
        <v>301802</v>
      </c>
      <c r="F165" s="47">
        <v>2950604</v>
      </c>
      <c r="G165" s="48">
        <v>1831104</v>
      </c>
      <c r="H165" s="48">
        <v>297</v>
      </c>
      <c r="I165" s="49">
        <v>0</v>
      </c>
      <c r="J165" s="211"/>
    </row>
    <row r="166" spans="1:11" x14ac:dyDescent="0.2">
      <c r="A166" s="53" t="s">
        <v>411</v>
      </c>
      <c r="B166" s="54">
        <v>2006</v>
      </c>
      <c r="C166" s="55" t="s">
        <v>414</v>
      </c>
      <c r="D166" s="55" t="s">
        <v>415</v>
      </c>
      <c r="E166" s="56">
        <v>63749</v>
      </c>
      <c r="F166" s="56">
        <v>623380</v>
      </c>
      <c r="G166" s="57">
        <v>400787</v>
      </c>
      <c r="H166" s="48">
        <v>175.8</v>
      </c>
      <c r="I166" s="58">
        <v>0</v>
      </c>
      <c r="J166" s="213"/>
    </row>
    <row r="167" spans="1:11" x14ac:dyDescent="0.2">
      <c r="A167" s="44" t="s">
        <v>416</v>
      </c>
      <c r="B167" s="45">
        <v>2006</v>
      </c>
      <c r="C167" s="46" t="s">
        <v>417</v>
      </c>
      <c r="D167" s="46" t="s">
        <v>418</v>
      </c>
      <c r="E167" s="47">
        <v>7121</v>
      </c>
      <c r="F167" s="47">
        <v>58000</v>
      </c>
      <c r="G167" s="48">
        <v>54866</v>
      </c>
      <c r="H167" s="48">
        <v>0</v>
      </c>
      <c r="I167" s="49">
        <v>0</v>
      </c>
      <c r="J167" s="211"/>
    </row>
    <row r="168" spans="1:11" x14ac:dyDescent="0.2">
      <c r="A168" s="44" t="s">
        <v>419</v>
      </c>
      <c r="B168" s="45">
        <v>2006</v>
      </c>
      <c r="C168" s="46" t="s">
        <v>420</v>
      </c>
      <c r="D168" s="46" t="s">
        <v>421</v>
      </c>
      <c r="E168" s="47">
        <v>135392</v>
      </c>
      <c r="F168" s="47">
        <v>1278000</v>
      </c>
      <c r="G168" s="48">
        <v>880500</v>
      </c>
      <c r="H168" s="48">
        <v>88</v>
      </c>
      <c r="I168" s="49">
        <v>30125</v>
      </c>
      <c r="J168" s="211"/>
    </row>
    <row r="169" spans="1:11" x14ac:dyDescent="0.2">
      <c r="A169" s="44" t="s">
        <v>422</v>
      </c>
      <c r="B169" s="45">
        <v>2006</v>
      </c>
      <c r="C169" s="46" t="s">
        <v>423</v>
      </c>
      <c r="D169" s="46" t="s">
        <v>305</v>
      </c>
      <c r="E169" s="47">
        <v>56464</v>
      </c>
      <c r="F169" s="47">
        <v>553345</v>
      </c>
      <c r="G169" s="48">
        <v>314857</v>
      </c>
      <c r="H169" s="48">
        <v>149.9</v>
      </c>
      <c r="I169" s="49">
        <v>0</v>
      </c>
      <c r="J169" s="211"/>
    </row>
    <row r="170" spans="1:11" x14ac:dyDescent="0.2">
      <c r="A170" s="44" t="s">
        <v>422</v>
      </c>
      <c r="B170" s="45">
        <v>2006</v>
      </c>
      <c r="C170" s="46" t="s">
        <v>424</v>
      </c>
      <c r="D170" s="46" t="s">
        <v>305</v>
      </c>
      <c r="E170" s="47">
        <v>33314</v>
      </c>
      <c r="F170" s="47">
        <v>326477</v>
      </c>
      <c r="G170" s="48">
        <v>140665</v>
      </c>
      <c r="H170" s="48">
        <v>113.5</v>
      </c>
      <c r="I170" s="49">
        <v>11104</v>
      </c>
      <c r="J170" s="211"/>
    </row>
    <row r="171" spans="1:11" x14ac:dyDescent="0.2">
      <c r="A171" s="44" t="s">
        <v>425</v>
      </c>
      <c r="B171" s="45">
        <v>2006</v>
      </c>
      <c r="C171" s="46" t="s">
        <v>426</v>
      </c>
      <c r="D171" s="46" t="s">
        <v>346</v>
      </c>
      <c r="E171" s="47">
        <v>262201</v>
      </c>
      <c r="F171" s="47">
        <v>2226689</v>
      </c>
      <c r="G171" s="48">
        <v>1829885</v>
      </c>
      <c r="H171" s="48">
        <v>150</v>
      </c>
      <c r="I171" s="49">
        <v>1045</v>
      </c>
      <c r="J171" s="211"/>
    </row>
    <row r="172" spans="1:11" x14ac:dyDescent="0.2">
      <c r="A172" s="44" t="s">
        <v>427</v>
      </c>
      <c r="B172" s="45">
        <v>2007</v>
      </c>
      <c r="C172" s="46" t="s">
        <v>428</v>
      </c>
      <c r="D172" s="46" t="s">
        <v>282</v>
      </c>
      <c r="E172" s="47">
        <v>400000</v>
      </c>
      <c r="F172" s="47">
        <v>3000000</v>
      </c>
      <c r="G172" s="48">
        <v>1863200</v>
      </c>
      <c r="H172" s="48">
        <v>436</v>
      </c>
      <c r="I172" s="49">
        <v>157600</v>
      </c>
      <c r="J172" s="211"/>
      <c r="K172" s="14"/>
    </row>
    <row r="173" spans="1:11" x14ac:dyDescent="0.2">
      <c r="A173" s="44" t="s">
        <v>429</v>
      </c>
      <c r="B173" s="45">
        <v>2007</v>
      </c>
      <c r="C173" s="46" t="s">
        <v>430</v>
      </c>
      <c r="D173" s="46" t="s">
        <v>203</v>
      </c>
      <c r="E173" s="47">
        <v>9389</v>
      </c>
      <c r="F173" s="47">
        <v>92000</v>
      </c>
      <c r="G173" s="48">
        <v>48690</v>
      </c>
      <c r="H173" s="48">
        <v>0</v>
      </c>
      <c r="I173" s="49">
        <v>0</v>
      </c>
      <c r="J173" s="211"/>
    </row>
    <row r="174" spans="1:11" x14ac:dyDescent="0.2">
      <c r="A174" s="44" t="s">
        <v>431</v>
      </c>
      <c r="B174" s="45">
        <v>2007</v>
      </c>
      <c r="C174" s="46" t="s">
        <v>432</v>
      </c>
      <c r="D174" s="46" t="s">
        <v>433</v>
      </c>
      <c r="E174" s="47">
        <v>195000</v>
      </c>
      <c r="F174" s="47">
        <v>1950000</v>
      </c>
      <c r="G174" s="48">
        <v>1172000</v>
      </c>
      <c r="H174" s="48">
        <v>520</v>
      </c>
      <c r="I174" s="49">
        <v>23000</v>
      </c>
      <c r="J174" s="211"/>
    </row>
    <row r="175" spans="1:11" x14ac:dyDescent="0.2">
      <c r="A175" s="44" t="s">
        <v>434</v>
      </c>
      <c r="B175" s="45">
        <v>2007</v>
      </c>
      <c r="C175" s="46" t="s">
        <v>435</v>
      </c>
      <c r="D175" s="46" t="s">
        <v>436</v>
      </c>
      <c r="E175" s="47">
        <v>139500</v>
      </c>
      <c r="F175" s="47">
        <v>1193500</v>
      </c>
      <c r="G175" s="48">
        <v>770000</v>
      </c>
      <c r="H175" s="48">
        <v>103</v>
      </c>
      <c r="I175" s="49">
        <v>0</v>
      </c>
      <c r="J175" s="211"/>
    </row>
    <row r="176" spans="1:11" x14ac:dyDescent="0.2">
      <c r="A176" s="44" t="s">
        <v>437</v>
      </c>
      <c r="B176" s="45">
        <v>2007</v>
      </c>
      <c r="C176" s="46" t="s">
        <v>438</v>
      </c>
      <c r="D176" s="46" t="s">
        <v>386</v>
      </c>
      <c r="E176" s="47">
        <v>7680</v>
      </c>
      <c r="F176" s="47">
        <v>76800</v>
      </c>
      <c r="G176" s="48">
        <v>48000</v>
      </c>
      <c r="H176" s="48">
        <v>15</v>
      </c>
      <c r="I176" s="49">
        <v>0</v>
      </c>
      <c r="J176" s="211"/>
    </row>
    <row r="177" spans="1:11" x14ac:dyDescent="0.2">
      <c r="A177" s="44" t="s">
        <v>439</v>
      </c>
      <c r="B177" s="45">
        <v>2007</v>
      </c>
      <c r="C177" s="46" t="s">
        <v>440</v>
      </c>
      <c r="D177" s="46" t="s">
        <v>441</v>
      </c>
      <c r="E177" s="47">
        <v>294425</v>
      </c>
      <c r="F177" s="47">
        <v>2940000</v>
      </c>
      <c r="G177" s="48">
        <v>940926</v>
      </c>
      <c r="H177" s="48">
        <v>129.5</v>
      </c>
      <c r="I177" s="49">
        <v>200919</v>
      </c>
      <c r="J177" s="211"/>
    </row>
    <row r="178" spans="1:11" x14ac:dyDescent="0.2">
      <c r="A178" s="44" t="s">
        <v>442</v>
      </c>
      <c r="B178" s="45">
        <v>2007</v>
      </c>
      <c r="C178" s="46" t="s">
        <v>443</v>
      </c>
      <c r="D178" s="46" t="s">
        <v>444</v>
      </c>
      <c r="E178" s="47">
        <v>353899</v>
      </c>
      <c r="F178" s="47">
        <v>1890000</v>
      </c>
      <c r="G178" s="48">
        <v>3405368</v>
      </c>
      <c r="H178" s="48">
        <v>846</v>
      </c>
      <c r="I178" s="49">
        <v>0</v>
      </c>
      <c r="J178" s="211"/>
    </row>
    <row r="179" spans="1:11" x14ac:dyDescent="0.2">
      <c r="A179" s="44" t="s">
        <v>445</v>
      </c>
      <c r="B179" s="45">
        <v>2007</v>
      </c>
      <c r="C179" s="46" t="s">
        <v>446</v>
      </c>
      <c r="D179" s="46" t="s">
        <v>184</v>
      </c>
      <c r="E179" s="47">
        <v>296048</v>
      </c>
      <c r="F179" s="47">
        <v>2960000</v>
      </c>
      <c r="G179" s="48">
        <v>3858804</v>
      </c>
      <c r="H179" s="48">
        <v>469</v>
      </c>
      <c r="I179" s="49">
        <v>-12665</v>
      </c>
      <c r="J179" s="211"/>
    </row>
    <row r="180" spans="1:11" x14ac:dyDescent="0.2">
      <c r="A180" s="44" t="s">
        <v>447</v>
      </c>
      <c r="B180" s="45">
        <v>2008</v>
      </c>
      <c r="C180" s="46" t="s">
        <v>448</v>
      </c>
      <c r="D180" s="46" t="s">
        <v>449</v>
      </c>
      <c r="E180" s="47">
        <v>214654</v>
      </c>
      <c r="F180" s="47">
        <v>1033313</v>
      </c>
      <c r="G180" s="48">
        <v>1369858</v>
      </c>
      <c r="H180" s="48">
        <v>236</v>
      </c>
      <c r="I180" s="49">
        <v>49600</v>
      </c>
      <c r="J180" s="211"/>
      <c r="K180" s="14"/>
    </row>
    <row r="181" spans="1:11" x14ac:dyDescent="0.2">
      <c r="A181" s="44" t="s">
        <v>447</v>
      </c>
      <c r="B181" s="45">
        <v>2008</v>
      </c>
      <c r="C181" s="46" t="s">
        <v>450</v>
      </c>
      <c r="D181" s="46" t="s">
        <v>451</v>
      </c>
      <c r="E181" s="47">
        <v>44679</v>
      </c>
      <c r="F181" s="47">
        <v>330000</v>
      </c>
      <c r="G181" s="48">
        <v>426371</v>
      </c>
      <c r="H181" s="48">
        <v>48.7</v>
      </c>
      <c r="I181" s="49">
        <v>0</v>
      </c>
      <c r="J181" s="211"/>
    </row>
    <row r="182" spans="1:11" ht="13.5" customHeight="1" x14ac:dyDescent="0.2">
      <c r="A182" s="44" t="s">
        <v>452</v>
      </c>
      <c r="B182" s="45">
        <v>2008</v>
      </c>
      <c r="C182" s="46" t="s">
        <v>453</v>
      </c>
      <c r="D182" s="46" t="s">
        <v>454</v>
      </c>
      <c r="E182" s="47">
        <v>136865</v>
      </c>
      <c r="F182" s="47">
        <v>1368646</v>
      </c>
      <c r="G182" s="48">
        <v>981009</v>
      </c>
      <c r="H182" s="48">
        <v>386.2</v>
      </c>
      <c r="I182" s="49">
        <v>8389</v>
      </c>
      <c r="J182" s="211"/>
    </row>
    <row r="183" spans="1:11" x14ac:dyDescent="0.2">
      <c r="A183" s="44" t="s">
        <v>455</v>
      </c>
      <c r="B183" s="45">
        <v>2008</v>
      </c>
      <c r="C183" s="46" t="s">
        <v>456</v>
      </c>
      <c r="D183" s="46" t="s">
        <v>457</v>
      </c>
      <c r="E183" s="47">
        <v>331235</v>
      </c>
      <c r="F183" s="47">
        <v>3000000</v>
      </c>
      <c r="G183" s="48">
        <v>1942720</v>
      </c>
      <c r="H183" s="48">
        <v>605</v>
      </c>
      <c r="I183" s="49">
        <v>0</v>
      </c>
      <c r="J183" s="211"/>
    </row>
    <row r="184" spans="1:11" x14ac:dyDescent="0.2">
      <c r="A184" s="44" t="s">
        <v>458</v>
      </c>
      <c r="B184" s="45">
        <v>2008</v>
      </c>
      <c r="C184" s="46" t="s">
        <v>459</v>
      </c>
      <c r="D184" s="46" t="s">
        <v>460</v>
      </c>
      <c r="E184" s="47">
        <v>120237</v>
      </c>
      <c r="F184" s="47">
        <v>366081</v>
      </c>
      <c r="G184" s="48">
        <v>818466</v>
      </c>
      <c r="H184" s="48">
        <v>0</v>
      </c>
      <c r="I184" s="49">
        <v>0</v>
      </c>
      <c r="J184" s="211"/>
    </row>
    <row r="185" spans="1:11" x14ac:dyDescent="0.2">
      <c r="A185" s="44" t="s">
        <v>461</v>
      </c>
      <c r="B185" s="45">
        <v>2008</v>
      </c>
      <c r="C185" s="46" t="s">
        <v>462</v>
      </c>
      <c r="D185" s="46" t="s">
        <v>463</v>
      </c>
      <c r="E185" s="47">
        <v>99153</v>
      </c>
      <c r="F185" s="47">
        <v>925418</v>
      </c>
      <c r="G185" s="48">
        <v>683395</v>
      </c>
      <c r="H185" s="48">
        <v>0</v>
      </c>
      <c r="I185" s="49">
        <v>2366</v>
      </c>
      <c r="J185" s="211"/>
    </row>
    <row r="186" spans="1:11" s="50" customFormat="1" x14ac:dyDescent="0.2">
      <c r="A186" s="44" t="s">
        <v>461</v>
      </c>
      <c r="B186" s="45">
        <v>2008</v>
      </c>
      <c r="C186" s="46" t="s">
        <v>464</v>
      </c>
      <c r="D186" s="46" t="s">
        <v>465</v>
      </c>
      <c r="E186" s="47">
        <v>33794</v>
      </c>
      <c r="F186" s="47">
        <v>337940</v>
      </c>
      <c r="G186" s="48">
        <v>248384</v>
      </c>
      <c r="H186" s="48">
        <v>64</v>
      </c>
      <c r="I186" s="49">
        <v>0</v>
      </c>
      <c r="J186" s="211"/>
    </row>
    <row r="187" spans="1:11" x14ac:dyDescent="0.2">
      <c r="A187" s="44" t="s">
        <v>466</v>
      </c>
      <c r="B187" s="45">
        <v>2008</v>
      </c>
      <c r="C187" s="46" t="s">
        <v>467</v>
      </c>
      <c r="D187" s="46" t="s">
        <v>152</v>
      </c>
      <c r="E187" s="47">
        <v>107800</v>
      </c>
      <c r="F187" s="47">
        <v>776000</v>
      </c>
      <c r="G187" s="48">
        <v>973000</v>
      </c>
      <c r="H187" s="48">
        <v>145</v>
      </c>
      <c r="I187" s="49">
        <v>0</v>
      </c>
      <c r="J187" s="211"/>
    </row>
    <row r="188" spans="1:11" x14ac:dyDescent="0.2">
      <c r="A188" s="44" t="s">
        <v>468</v>
      </c>
      <c r="B188" s="45">
        <v>2009</v>
      </c>
      <c r="C188" s="46" t="s">
        <v>469</v>
      </c>
      <c r="D188" s="46" t="s">
        <v>470</v>
      </c>
      <c r="E188" s="47">
        <v>65137</v>
      </c>
      <c r="F188" s="47">
        <f>651370+111194</f>
        <v>762564</v>
      </c>
      <c r="G188" s="48">
        <v>398813</v>
      </c>
      <c r="H188" s="48">
        <v>181.6</v>
      </c>
      <c r="I188" s="49">
        <f>(3593*95000)/100000</f>
        <v>3413.35</v>
      </c>
      <c r="J188" s="211"/>
      <c r="K188" s="14"/>
    </row>
    <row r="189" spans="1:11" x14ac:dyDescent="0.2">
      <c r="A189" s="44" t="s">
        <v>471</v>
      </c>
      <c r="B189" s="45">
        <v>2009</v>
      </c>
      <c r="C189" s="46" t="s">
        <v>472</v>
      </c>
      <c r="D189" s="46" t="s">
        <v>473</v>
      </c>
      <c r="E189" s="47">
        <v>150000</v>
      </c>
      <c r="F189" s="47">
        <v>650000</v>
      </c>
      <c r="G189" s="48">
        <v>1500000</v>
      </c>
      <c r="H189" s="48">
        <v>0</v>
      </c>
      <c r="I189" s="49">
        <v>0</v>
      </c>
      <c r="J189" s="211"/>
    </row>
    <row r="190" spans="1:11" x14ac:dyDescent="0.2">
      <c r="A190" s="53" t="s">
        <v>471</v>
      </c>
      <c r="B190" s="54">
        <v>2009</v>
      </c>
      <c r="C190" s="55" t="s">
        <v>474</v>
      </c>
      <c r="D190" s="55" t="s">
        <v>302</v>
      </c>
      <c r="E190" s="56">
        <v>160000</v>
      </c>
      <c r="F190" s="56">
        <v>1600000</v>
      </c>
      <c r="G190" s="57">
        <f>(E190*0.9)/0.11</f>
        <v>1309090.9090909092</v>
      </c>
      <c r="H190" s="48"/>
      <c r="I190" s="58">
        <f>(E190*0.1)/1</f>
        <v>16000</v>
      </c>
      <c r="J190" s="213"/>
    </row>
    <row r="191" spans="1:11" x14ac:dyDescent="0.2">
      <c r="A191" s="44" t="s">
        <v>475</v>
      </c>
      <c r="B191" s="45">
        <v>2009</v>
      </c>
      <c r="C191" s="46" t="s">
        <v>476</v>
      </c>
      <c r="D191" s="46" t="s">
        <v>305</v>
      </c>
      <c r="E191" s="47">
        <v>31989</v>
      </c>
      <c r="F191" s="47">
        <v>415857</v>
      </c>
      <c r="G191" s="48">
        <v>178655</v>
      </c>
      <c r="H191" s="48">
        <v>194.5</v>
      </c>
      <c r="I191" s="49">
        <v>3404</v>
      </c>
      <c r="J191" s="211"/>
    </row>
    <row r="192" spans="1:11" x14ac:dyDescent="0.2">
      <c r="A192" s="44" t="s">
        <v>475</v>
      </c>
      <c r="B192" s="45">
        <v>2009</v>
      </c>
      <c r="C192" s="46" t="s">
        <v>477</v>
      </c>
      <c r="D192" s="46" t="s">
        <v>478</v>
      </c>
      <c r="E192" s="47">
        <v>326826</v>
      </c>
      <c r="F192" s="47">
        <v>1543000</v>
      </c>
      <c r="G192" s="48">
        <v>3078049</v>
      </c>
      <c r="H192" s="48">
        <v>0</v>
      </c>
      <c r="I192" s="49">
        <v>0</v>
      </c>
      <c r="J192" s="211"/>
    </row>
    <row r="193" spans="1:11" x14ac:dyDescent="0.2">
      <c r="A193" s="44" t="s">
        <v>479</v>
      </c>
      <c r="B193" s="45">
        <v>2009</v>
      </c>
      <c r="C193" s="46" t="s">
        <v>480</v>
      </c>
      <c r="D193" s="46" t="s">
        <v>481</v>
      </c>
      <c r="E193" s="47">
        <v>69900</v>
      </c>
      <c r="F193" s="47">
        <v>908700</v>
      </c>
      <c r="G193" s="48">
        <v>184531</v>
      </c>
      <c r="H193" s="48">
        <v>0</v>
      </c>
      <c r="I193" s="49">
        <v>0</v>
      </c>
      <c r="J193" s="211"/>
    </row>
    <row r="194" spans="1:11" x14ac:dyDescent="0.2">
      <c r="A194" s="44" t="s">
        <v>482</v>
      </c>
      <c r="B194" s="45">
        <v>2009</v>
      </c>
      <c r="C194" s="46" t="s">
        <v>483</v>
      </c>
      <c r="D194" s="46" t="s">
        <v>484</v>
      </c>
      <c r="E194" s="47">
        <v>112018</v>
      </c>
      <c r="F194" s="47">
        <v>867200</v>
      </c>
      <c r="G194" s="48">
        <v>892425</v>
      </c>
      <c r="H194" s="48">
        <v>0</v>
      </c>
      <c r="I194" s="49">
        <v>3000</v>
      </c>
      <c r="J194" s="211"/>
    </row>
    <row r="195" spans="1:11" x14ac:dyDescent="0.2">
      <c r="A195" s="44" t="s">
        <v>485</v>
      </c>
      <c r="B195" s="45">
        <v>2009</v>
      </c>
      <c r="C195" s="46" t="s">
        <v>486</v>
      </c>
      <c r="D195" s="46" t="s">
        <v>349</v>
      </c>
      <c r="E195" s="47">
        <v>4258</v>
      </c>
      <c r="F195" s="47">
        <v>47000</v>
      </c>
      <c r="G195" s="48">
        <v>24229</v>
      </c>
      <c r="H195" s="48">
        <v>9</v>
      </c>
      <c r="I195" s="49">
        <v>0</v>
      </c>
      <c r="J195" s="211"/>
    </row>
    <row r="196" spans="1:11" x14ac:dyDescent="0.2">
      <c r="A196" s="44" t="s">
        <v>485</v>
      </c>
      <c r="B196" s="45">
        <v>2010</v>
      </c>
      <c r="C196" s="46" t="s">
        <v>487</v>
      </c>
      <c r="D196" s="46" t="s">
        <v>449</v>
      </c>
      <c r="E196" s="47">
        <v>200000</v>
      </c>
      <c r="F196" s="47">
        <v>2051600</v>
      </c>
      <c r="G196" s="48">
        <v>862155</v>
      </c>
      <c r="H196" s="48">
        <v>0</v>
      </c>
      <c r="I196" s="49">
        <v>0</v>
      </c>
      <c r="J196" s="211"/>
      <c r="K196" s="14"/>
    </row>
    <row r="197" spans="1:11" x14ac:dyDescent="0.2">
      <c r="A197" s="44" t="s">
        <v>485</v>
      </c>
      <c r="B197" s="45">
        <v>2010</v>
      </c>
      <c r="C197" s="46" t="s">
        <v>488</v>
      </c>
      <c r="D197" s="46" t="s">
        <v>206</v>
      </c>
      <c r="E197" s="47">
        <v>44750</v>
      </c>
      <c r="F197" s="47">
        <v>400000</v>
      </c>
      <c r="G197" s="48">
        <v>300239</v>
      </c>
      <c r="H197" s="48">
        <v>0</v>
      </c>
      <c r="I197" s="49">
        <v>0</v>
      </c>
      <c r="J197" s="211"/>
    </row>
    <row r="198" spans="1:11" x14ac:dyDescent="0.2">
      <c r="A198" s="44" t="s">
        <v>485</v>
      </c>
      <c r="B198" s="45">
        <v>2010</v>
      </c>
      <c r="C198" s="46" t="s">
        <v>489</v>
      </c>
      <c r="D198" s="46" t="s">
        <v>490</v>
      </c>
      <c r="E198" s="47">
        <v>34227</v>
      </c>
      <c r="F198" s="47">
        <v>444951</v>
      </c>
      <c r="G198" s="51">
        <v>227968</v>
      </c>
      <c r="H198" s="51">
        <v>84</v>
      </c>
      <c r="I198" s="52">
        <v>1837</v>
      </c>
      <c r="J198" s="212"/>
    </row>
    <row r="199" spans="1:11" x14ac:dyDescent="0.2">
      <c r="A199" s="44" t="s">
        <v>485</v>
      </c>
      <c r="B199" s="45">
        <v>2010</v>
      </c>
      <c r="C199" s="46" t="s">
        <v>491</v>
      </c>
      <c r="D199" s="46" t="s">
        <v>492</v>
      </c>
      <c r="E199" s="47">
        <v>33299</v>
      </c>
      <c r="F199" s="47">
        <v>385000</v>
      </c>
      <c r="G199" s="48">
        <v>297786</v>
      </c>
      <c r="H199" s="48">
        <v>66</v>
      </c>
      <c r="I199" s="49">
        <v>0</v>
      </c>
      <c r="J199" s="211"/>
    </row>
    <row r="200" spans="1:11" x14ac:dyDescent="0.2">
      <c r="A200" s="44" t="s">
        <v>485</v>
      </c>
      <c r="B200" s="45">
        <v>2010</v>
      </c>
      <c r="C200" s="46" t="s">
        <v>493</v>
      </c>
      <c r="D200" s="46" t="s">
        <v>494</v>
      </c>
      <c r="E200" s="47">
        <v>236250</v>
      </c>
      <c r="F200" s="47">
        <v>2500000</v>
      </c>
      <c r="G200" s="48">
        <v>1575000</v>
      </c>
      <c r="H200" s="48">
        <v>835</v>
      </c>
      <c r="I200" s="49">
        <v>0</v>
      </c>
      <c r="J200" s="211"/>
    </row>
    <row r="201" spans="1:11" x14ac:dyDescent="0.2">
      <c r="A201" s="44" t="s">
        <v>495</v>
      </c>
      <c r="B201" s="45">
        <v>2010</v>
      </c>
      <c r="C201" s="46" t="s">
        <v>496</v>
      </c>
      <c r="D201" s="46" t="s">
        <v>497</v>
      </c>
      <c r="E201" s="47">
        <v>75106</v>
      </c>
      <c r="F201" s="47">
        <v>500000</v>
      </c>
      <c r="G201" s="48">
        <v>739522</v>
      </c>
      <c r="H201" s="48">
        <v>193</v>
      </c>
      <c r="I201" s="49">
        <v>0</v>
      </c>
      <c r="J201" s="211"/>
    </row>
    <row r="202" spans="1:11" x14ac:dyDescent="0.2">
      <c r="A202" s="44" t="s">
        <v>495</v>
      </c>
      <c r="B202" s="45">
        <v>2010</v>
      </c>
      <c r="C202" s="46" t="s">
        <v>498</v>
      </c>
      <c r="D202" s="46" t="s">
        <v>206</v>
      </c>
      <c r="E202" s="47">
        <v>241000</v>
      </c>
      <c r="F202" s="47">
        <v>3000000</v>
      </c>
      <c r="G202" s="48">
        <v>1992540</v>
      </c>
      <c r="H202" s="48">
        <v>0</v>
      </c>
      <c r="I202" s="49">
        <v>0</v>
      </c>
      <c r="J202" s="211"/>
    </row>
    <row r="203" spans="1:11" x14ac:dyDescent="0.2">
      <c r="A203" s="44" t="s">
        <v>495</v>
      </c>
      <c r="B203" s="45">
        <v>2010</v>
      </c>
      <c r="C203" s="46" t="s">
        <v>499</v>
      </c>
      <c r="D203" s="46" t="s">
        <v>500</v>
      </c>
      <c r="E203" s="47">
        <v>88643</v>
      </c>
      <c r="F203" s="47">
        <v>611334</v>
      </c>
      <c r="G203" s="48">
        <v>532904</v>
      </c>
      <c r="H203" s="48">
        <v>189.1</v>
      </c>
      <c r="I203" s="49">
        <v>0</v>
      </c>
      <c r="J203" s="211"/>
    </row>
    <row r="204" spans="1:11" x14ac:dyDescent="0.2">
      <c r="A204" s="44" t="s">
        <v>495</v>
      </c>
      <c r="B204" s="45">
        <v>2010</v>
      </c>
      <c r="C204" s="46" t="s">
        <v>501</v>
      </c>
      <c r="D204" s="46" t="s">
        <v>465</v>
      </c>
      <c r="E204" s="47">
        <v>121039</v>
      </c>
      <c r="F204" s="47">
        <v>1551918</v>
      </c>
      <c r="G204" s="48">
        <v>930127</v>
      </c>
      <c r="H204" s="48"/>
      <c r="I204" s="49">
        <v>0</v>
      </c>
      <c r="J204" s="211"/>
    </row>
    <row r="205" spans="1:11" x14ac:dyDescent="0.2">
      <c r="A205" s="44" t="s">
        <v>495</v>
      </c>
      <c r="B205" s="45">
        <v>2010</v>
      </c>
      <c r="C205" s="46" t="s">
        <v>502</v>
      </c>
      <c r="D205" s="46" t="s">
        <v>90</v>
      </c>
      <c r="E205" s="47">
        <v>196000</v>
      </c>
      <c r="F205" s="47">
        <v>285000</v>
      </c>
      <c r="G205" s="48">
        <v>1681997</v>
      </c>
      <c r="H205" s="48">
        <v>236</v>
      </c>
      <c r="I205" s="49">
        <v>0</v>
      </c>
      <c r="J205" s="211"/>
    </row>
    <row r="206" spans="1:11" x14ac:dyDescent="0.2">
      <c r="A206" s="44" t="s">
        <v>495</v>
      </c>
      <c r="B206" s="45">
        <v>2010</v>
      </c>
      <c r="C206" s="46" t="s">
        <v>503</v>
      </c>
      <c r="D206" s="46" t="s">
        <v>90</v>
      </c>
      <c r="E206" s="47">
        <v>90607</v>
      </c>
      <c r="F206" s="47">
        <v>1177891</v>
      </c>
      <c r="G206" s="48">
        <v>412102</v>
      </c>
      <c r="H206" s="48">
        <v>200</v>
      </c>
      <c r="I206" s="49">
        <v>0</v>
      </c>
      <c r="J206" s="211"/>
    </row>
    <row r="207" spans="1:11" x14ac:dyDescent="0.2">
      <c r="A207" s="44" t="s">
        <v>495</v>
      </c>
      <c r="B207" s="45">
        <v>2010</v>
      </c>
      <c r="C207" s="46" t="s">
        <v>504</v>
      </c>
      <c r="D207" s="46" t="s">
        <v>505</v>
      </c>
      <c r="E207" s="47">
        <v>170901</v>
      </c>
      <c r="F207" s="47">
        <v>1392226</v>
      </c>
      <c r="G207" s="48">
        <v>1036384</v>
      </c>
      <c r="H207" s="48">
        <v>0</v>
      </c>
      <c r="I207" s="49">
        <v>21772</v>
      </c>
      <c r="J207" s="211"/>
    </row>
    <row r="208" spans="1:11" x14ac:dyDescent="0.2">
      <c r="A208" s="44" t="s">
        <v>495</v>
      </c>
      <c r="B208" s="45">
        <v>2010</v>
      </c>
      <c r="C208" s="46" t="s">
        <v>506</v>
      </c>
      <c r="D208" s="46" t="s">
        <v>507</v>
      </c>
      <c r="E208" s="47">
        <v>113392</v>
      </c>
      <c r="F208" s="47">
        <v>1247290</v>
      </c>
      <c r="G208" s="48">
        <v>995863</v>
      </c>
      <c r="H208" s="48">
        <v>165</v>
      </c>
      <c r="I208" s="49">
        <v>2845</v>
      </c>
      <c r="J208" s="211"/>
    </row>
    <row r="209" spans="1:10" x14ac:dyDescent="0.2">
      <c r="A209" s="44">
        <v>40219</v>
      </c>
      <c r="B209" s="45">
        <v>2010</v>
      </c>
      <c r="C209" s="46" t="s">
        <v>508</v>
      </c>
      <c r="D209" s="46" t="s">
        <v>449</v>
      </c>
      <c r="E209" s="47">
        <v>182674</v>
      </c>
      <c r="F209" s="47">
        <v>1999806</v>
      </c>
      <c r="G209" s="48">
        <v>1367569</v>
      </c>
      <c r="H209" s="48">
        <v>0</v>
      </c>
      <c r="I209" s="49">
        <v>0</v>
      </c>
      <c r="J209" s="211"/>
    </row>
    <row r="210" spans="1:10" x14ac:dyDescent="0.2">
      <c r="A210" s="44" t="s">
        <v>509</v>
      </c>
      <c r="B210" s="45">
        <v>2010</v>
      </c>
      <c r="C210" s="46" t="s">
        <v>510</v>
      </c>
      <c r="D210" s="46" t="s">
        <v>511</v>
      </c>
      <c r="E210" s="47">
        <v>23874</v>
      </c>
      <c r="F210" s="47">
        <v>290805</v>
      </c>
      <c r="G210" s="48">
        <v>194963</v>
      </c>
      <c r="H210" s="48">
        <v>0</v>
      </c>
      <c r="I210" s="49">
        <v>0</v>
      </c>
      <c r="J210" s="211"/>
    </row>
    <row r="211" spans="1:10" x14ac:dyDescent="0.2">
      <c r="A211" s="44" t="s">
        <v>509</v>
      </c>
      <c r="B211" s="45">
        <v>2010</v>
      </c>
      <c r="C211" s="46" t="s">
        <v>512</v>
      </c>
      <c r="D211" s="46" t="s">
        <v>513</v>
      </c>
      <c r="E211" s="47">
        <v>174610</v>
      </c>
      <c r="F211" s="47">
        <v>1966762</v>
      </c>
      <c r="G211" s="48">
        <v>758957</v>
      </c>
      <c r="H211" s="48">
        <v>77</v>
      </c>
      <c r="I211" s="49">
        <v>86062</v>
      </c>
      <c r="J211" s="211"/>
    </row>
    <row r="212" spans="1:10" x14ac:dyDescent="0.2">
      <c r="A212" s="44" t="s">
        <v>514</v>
      </c>
      <c r="B212" s="45">
        <v>2010</v>
      </c>
      <c r="C212" s="46" t="s">
        <v>515</v>
      </c>
      <c r="D212" s="46" t="s">
        <v>516</v>
      </c>
      <c r="E212" s="47">
        <v>61579</v>
      </c>
      <c r="F212" s="47">
        <v>766231</v>
      </c>
      <c r="G212" s="48">
        <v>381107</v>
      </c>
      <c r="H212" s="48">
        <v>121</v>
      </c>
      <c r="I212" s="49">
        <v>2738</v>
      </c>
      <c r="J212" s="211"/>
    </row>
    <row r="213" spans="1:10" x14ac:dyDescent="0.2">
      <c r="A213" s="44" t="s">
        <v>514</v>
      </c>
      <c r="B213" s="45">
        <v>2010</v>
      </c>
      <c r="C213" s="46" t="s">
        <v>517</v>
      </c>
      <c r="D213" s="46" t="s">
        <v>518</v>
      </c>
      <c r="E213" s="47">
        <v>60531</v>
      </c>
      <c r="F213" s="47">
        <v>657461</v>
      </c>
      <c r="G213" s="48">
        <v>670308</v>
      </c>
      <c r="H213" s="48">
        <v>91.6</v>
      </c>
      <c r="I213" s="49">
        <f>-30878</f>
        <v>-30878</v>
      </c>
      <c r="J213" s="211"/>
    </row>
    <row r="214" spans="1:10" x14ac:dyDescent="0.2">
      <c r="A214" s="44">
        <v>40254</v>
      </c>
      <c r="B214" s="45">
        <v>2010</v>
      </c>
      <c r="C214" s="46" t="s">
        <v>519</v>
      </c>
      <c r="D214" s="46" t="s">
        <v>520</v>
      </c>
      <c r="E214" s="47">
        <v>8511</v>
      </c>
      <c r="F214" s="47">
        <v>59404</v>
      </c>
      <c r="G214" s="48">
        <v>49946</v>
      </c>
      <c r="H214" s="48">
        <v>9.6</v>
      </c>
      <c r="I214" s="49">
        <v>2380</v>
      </c>
      <c r="J214" s="211"/>
    </row>
    <row r="215" spans="1:10" x14ac:dyDescent="0.2">
      <c r="A215" s="44" t="s">
        <v>521</v>
      </c>
      <c r="B215" s="45">
        <v>2010</v>
      </c>
      <c r="C215" s="46" t="s">
        <v>522</v>
      </c>
      <c r="D215" s="46" t="s">
        <v>523</v>
      </c>
      <c r="E215" s="47">
        <v>14600</v>
      </c>
      <c r="F215" s="47">
        <v>189930</v>
      </c>
      <c r="G215" s="48">
        <v>170714</v>
      </c>
      <c r="H215" s="48">
        <v>0</v>
      </c>
      <c r="I215" s="49">
        <v>0</v>
      </c>
      <c r="J215" s="211"/>
    </row>
    <row r="216" spans="1:10" x14ac:dyDescent="0.2">
      <c r="A216" s="44">
        <v>40289</v>
      </c>
      <c r="B216" s="45">
        <v>2010</v>
      </c>
      <c r="C216" s="46" t="s">
        <v>524</v>
      </c>
      <c r="D216" s="46" t="s">
        <v>525</v>
      </c>
      <c r="E216" s="47">
        <v>2953</v>
      </c>
      <c r="F216" s="47">
        <v>30868</v>
      </c>
      <c r="G216" s="48">
        <v>15269</v>
      </c>
      <c r="H216" s="48">
        <v>45</v>
      </c>
      <c r="I216" s="49">
        <v>0</v>
      </c>
      <c r="J216" s="211"/>
    </row>
    <row r="217" spans="1:10" x14ac:dyDescent="0.2">
      <c r="A217" s="53">
        <v>40289</v>
      </c>
      <c r="B217" s="54">
        <v>2010</v>
      </c>
      <c r="C217" s="55" t="s">
        <v>526</v>
      </c>
      <c r="D217" s="55" t="s">
        <v>527</v>
      </c>
      <c r="E217" s="56">
        <v>20971</v>
      </c>
      <c r="F217" s="56">
        <v>125000</v>
      </c>
      <c r="G217" s="57">
        <v>158551</v>
      </c>
      <c r="H217" s="48">
        <v>0</v>
      </c>
      <c r="I217" s="58">
        <v>0</v>
      </c>
      <c r="J217" s="213"/>
    </row>
    <row r="218" spans="1:10" x14ac:dyDescent="0.2">
      <c r="A218" s="44">
        <v>40289</v>
      </c>
      <c r="B218" s="45">
        <v>2010</v>
      </c>
      <c r="C218" s="46" t="s">
        <v>528</v>
      </c>
      <c r="D218" s="46" t="s">
        <v>346</v>
      </c>
      <c r="E218" s="47">
        <v>350000</v>
      </c>
      <c r="F218" s="47">
        <v>3000000</v>
      </c>
      <c r="G218" s="48">
        <v>2586000</v>
      </c>
      <c r="H218" s="48">
        <v>0</v>
      </c>
      <c r="I218" s="49">
        <v>0</v>
      </c>
      <c r="J218" s="211"/>
    </row>
    <row r="219" spans="1:10" x14ac:dyDescent="0.2">
      <c r="A219" s="44">
        <v>40289</v>
      </c>
      <c r="B219" s="45">
        <v>2010</v>
      </c>
      <c r="C219" s="46" t="s">
        <v>529</v>
      </c>
      <c r="D219" s="46" t="s">
        <v>530</v>
      </c>
      <c r="E219" s="47">
        <v>199928</v>
      </c>
      <c r="F219" s="47">
        <v>2200000</v>
      </c>
      <c r="G219" s="48">
        <v>1700000</v>
      </c>
      <c r="H219" s="48">
        <v>0</v>
      </c>
      <c r="I219" s="49">
        <v>0</v>
      </c>
      <c r="J219" s="211"/>
    </row>
    <row r="220" spans="1:10" x14ac:dyDescent="0.2">
      <c r="A220" s="44">
        <v>40303</v>
      </c>
      <c r="B220" s="45">
        <v>2010</v>
      </c>
      <c r="C220" s="46" t="s">
        <v>531</v>
      </c>
      <c r="D220" s="46" t="s">
        <v>532</v>
      </c>
      <c r="E220" s="47">
        <v>12700</v>
      </c>
      <c r="F220" s="47">
        <v>165100</v>
      </c>
      <c r="G220" s="48">
        <v>56900</v>
      </c>
      <c r="H220" s="48">
        <v>0</v>
      </c>
      <c r="I220" s="49">
        <v>0</v>
      </c>
      <c r="J220" s="211"/>
    </row>
    <row r="221" spans="1:10" x14ac:dyDescent="0.2">
      <c r="A221" s="44">
        <v>40303</v>
      </c>
      <c r="B221" s="45">
        <v>2010</v>
      </c>
      <c r="C221" s="46" t="s">
        <v>533</v>
      </c>
      <c r="D221" s="46" t="s">
        <v>534</v>
      </c>
      <c r="E221" s="47">
        <v>10265</v>
      </c>
      <c r="F221" s="47">
        <v>60000</v>
      </c>
      <c r="G221" s="48">
        <v>0</v>
      </c>
      <c r="H221" s="48">
        <v>0</v>
      </c>
      <c r="I221" s="49">
        <f>(5032*95000)/100000</f>
        <v>4780.3999999999996</v>
      </c>
      <c r="J221" s="211"/>
    </row>
    <row r="222" spans="1:10" x14ac:dyDescent="0.2">
      <c r="A222" s="44">
        <v>40303</v>
      </c>
      <c r="B222" s="45">
        <v>2010</v>
      </c>
      <c r="C222" s="46" t="s">
        <v>535</v>
      </c>
      <c r="D222" s="46" t="s">
        <v>536</v>
      </c>
      <c r="E222" s="47">
        <v>127131</v>
      </c>
      <c r="F222" s="47">
        <v>1398441</v>
      </c>
      <c r="G222" s="48">
        <v>547565</v>
      </c>
      <c r="H222" s="48">
        <v>182</v>
      </c>
      <c r="I222" s="49">
        <v>44723</v>
      </c>
      <c r="J222" s="211"/>
    </row>
    <row r="223" spans="1:10" x14ac:dyDescent="0.2">
      <c r="A223" s="44">
        <v>40303</v>
      </c>
      <c r="B223" s="45">
        <v>2010</v>
      </c>
      <c r="C223" s="46" t="s">
        <v>537</v>
      </c>
      <c r="D223" s="46" t="s">
        <v>538</v>
      </c>
      <c r="E223" s="47">
        <v>18085</v>
      </c>
      <c r="F223" s="47">
        <v>198935</v>
      </c>
      <c r="G223" s="48">
        <v>120242</v>
      </c>
      <c r="H223" s="48">
        <v>48</v>
      </c>
      <c r="I223" s="49">
        <v>5156</v>
      </c>
      <c r="J223" s="211"/>
    </row>
    <row r="224" spans="1:10" x14ac:dyDescent="0.2">
      <c r="A224" s="44">
        <v>40317</v>
      </c>
      <c r="B224" s="45">
        <v>2010</v>
      </c>
      <c r="C224" s="46" t="s">
        <v>539</v>
      </c>
      <c r="D224" s="46" t="s">
        <v>540</v>
      </c>
      <c r="E224" s="47">
        <v>222726</v>
      </c>
      <c r="F224" s="47">
        <v>2450000</v>
      </c>
      <c r="G224" s="48">
        <v>1943000</v>
      </c>
      <c r="H224" s="48">
        <v>0</v>
      </c>
      <c r="I224" s="49">
        <v>0</v>
      </c>
      <c r="J224" s="211"/>
    </row>
    <row r="225" spans="1:11" x14ac:dyDescent="0.2">
      <c r="A225" s="44">
        <v>40352</v>
      </c>
      <c r="B225" s="45">
        <v>2010</v>
      </c>
      <c r="C225" s="46" t="s">
        <v>541</v>
      </c>
      <c r="D225" s="46" t="s">
        <v>542</v>
      </c>
      <c r="E225" s="47">
        <v>52577</v>
      </c>
      <c r="F225" s="47">
        <v>527380</v>
      </c>
      <c r="G225" s="48">
        <v>494268</v>
      </c>
      <c r="H225" s="48">
        <v>114</v>
      </c>
      <c r="I225" s="49">
        <v>1470</v>
      </c>
      <c r="J225" s="211"/>
    </row>
    <row r="226" spans="1:11" x14ac:dyDescent="0.2">
      <c r="A226" s="44">
        <v>40352</v>
      </c>
      <c r="B226" s="45">
        <v>2010</v>
      </c>
      <c r="C226" s="46" t="s">
        <v>543</v>
      </c>
      <c r="D226" s="46" t="s">
        <v>544</v>
      </c>
      <c r="E226" s="47">
        <v>21060</v>
      </c>
      <c r="F226" s="47">
        <v>200473</v>
      </c>
      <c r="G226" s="48">
        <v>127370</v>
      </c>
      <c r="H226" s="48">
        <v>2.4</v>
      </c>
      <c r="I226" s="49">
        <v>498</v>
      </c>
      <c r="J226" s="211"/>
    </row>
    <row r="227" spans="1:11" x14ac:dyDescent="0.2">
      <c r="A227" s="44">
        <v>40359</v>
      </c>
      <c r="B227" s="45">
        <v>2010</v>
      </c>
      <c r="C227" s="46" t="s">
        <v>545</v>
      </c>
      <c r="D227" s="46" t="s">
        <v>546</v>
      </c>
      <c r="E227" s="47">
        <v>68828</v>
      </c>
      <c r="F227" s="47">
        <v>756984</v>
      </c>
      <c r="G227" s="48">
        <v>551230</v>
      </c>
      <c r="H227" s="48">
        <v>0</v>
      </c>
      <c r="I227" s="49">
        <v>0</v>
      </c>
      <c r="J227" s="211"/>
    </row>
    <row r="228" spans="1:11" x14ac:dyDescent="0.2">
      <c r="A228" s="44">
        <v>40457</v>
      </c>
      <c r="B228" s="45">
        <v>2010</v>
      </c>
      <c r="C228" s="46" t="s">
        <v>547</v>
      </c>
      <c r="D228" s="46" t="s">
        <v>548</v>
      </c>
      <c r="E228" s="47">
        <v>20721</v>
      </c>
      <c r="F228" s="47">
        <v>216462</v>
      </c>
      <c r="G228" s="48">
        <f>-2296</f>
        <v>-2296</v>
      </c>
      <c r="H228" s="48">
        <v>0</v>
      </c>
      <c r="I228" s="49">
        <v>12520</v>
      </c>
      <c r="J228" s="211"/>
    </row>
    <row r="229" spans="1:11" x14ac:dyDescent="0.2">
      <c r="A229" s="44">
        <v>40457</v>
      </c>
      <c r="B229" s="45">
        <v>2010</v>
      </c>
      <c r="C229" s="46" t="s">
        <v>549</v>
      </c>
      <c r="D229" s="46" t="s">
        <v>550</v>
      </c>
      <c r="E229" s="47">
        <v>137969</v>
      </c>
      <c r="F229" s="47">
        <v>1469146</v>
      </c>
      <c r="G229" s="48">
        <v>620823</v>
      </c>
      <c r="H229" s="48"/>
      <c r="I229" s="49">
        <v>13431</v>
      </c>
      <c r="J229" s="211"/>
    </row>
    <row r="230" spans="1:11" x14ac:dyDescent="0.2">
      <c r="A230" s="44">
        <v>40471</v>
      </c>
      <c r="B230" s="45">
        <v>2010</v>
      </c>
      <c r="C230" s="46" t="s">
        <v>551</v>
      </c>
      <c r="D230" s="46" t="s">
        <v>90</v>
      </c>
      <c r="E230" s="47">
        <v>279641</v>
      </c>
      <c r="F230" s="47">
        <v>3000000</v>
      </c>
      <c r="G230" s="48">
        <v>2283935</v>
      </c>
      <c r="H230" s="48">
        <v>0</v>
      </c>
      <c r="I230" s="49">
        <v>0</v>
      </c>
      <c r="J230" s="211"/>
    </row>
    <row r="231" spans="1:11" x14ac:dyDescent="0.2">
      <c r="A231" s="44">
        <v>40471</v>
      </c>
      <c r="B231" s="45">
        <v>2010</v>
      </c>
      <c r="C231" s="46" t="s">
        <v>552</v>
      </c>
      <c r="D231" s="46" t="s">
        <v>553</v>
      </c>
      <c r="E231" s="47">
        <v>20606</v>
      </c>
      <c r="F231" s="47">
        <v>226666</v>
      </c>
      <c r="G231" s="48">
        <v>152119</v>
      </c>
      <c r="H231" s="48"/>
      <c r="I231" s="49">
        <v>398</v>
      </c>
      <c r="J231" s="211"/>
    </row>
    <row r="232" spans="1:11" x14ac:dyDescent="0.2">
      <c r="A232" s="44">
        <v>40527</v>
      </c>
      <c r="B232" s="45">
        <v>2010</v>
      </c>
      <c r="C232" s="46" t="s">
        <v>554</v>
      </c>
      <c r="D232" s="46" t="s">
        <v>481</v>
      </c>
      <c r="E232" s="47">
        <v>3438</v>
      </c>
      <c r="F232" s="47">
        <v>37812</v>
      </c>
      <c r="G232" s="48">
        <v>33999</v>
      </c>
      <c r="H232" s="48">
        <v>11.3</v>
      </c>
      <c r="I232" s="49">
        <v>0</v>
      </c>
      <c r="J232" s="211"/>
    </row>
    <row r="233" spans="1:11" x14ac:dyDescent="0.2">
      <c r="A233" s="44">
        <v>40527</v>
      </c>
      <c r="B233" s="45">
        <v>2010</v>
      </c>
      <c r="C233" s="46" t="s">
        <v>555</v>
      </c>
      <c r="D233" s="46" t="s">
        <v>556</v>
      </c>
      <c r="E233" s="47">
        <v>62578</v>
      </c>
      <c r="F233" s="47">
        <v>621558</v>
      </c>
      <c r="G233" s="48">
        <v>511057</v>
      </c>
      <c r="H233" s="48">
        <v>0</v>
      </c>
      <c r="I233" s="49">
        <v>0</v>
      </c>
      <c r="J233" s="211"/>
      <c r="K233" s="59"/>
    </row>
    <row r="234" spans="1:11" x14ac:dyDescent="0.2">
      <c r="A234" s="44">
        <v>40541</v>
      </c>
      <c r="B234" s="45">
        <v>2010</v>
      </c>
      <c r="C234" s="46" t="s">
        <v>557</v>
      </c>
      <c r="D234" s="46" t="s">
        <v>558</v>
      </c>
      <c r="E234" s="47">
        <v>14431</v>
      </c>
      <c r="F234" s="47">
        <v>158156</v>
      </c>
      <c r="G234" s="48">
        <v>90678</v>
      </c>
      <c r="H234" s="48"/>
      <c r="I234" s="49">
        <v>1085</v>
      </c>
      <c r="J234" s="211"/>
      <c r="K234" s="59"/>
    </row>
    <row r="235" spans="1:11" x14ac:dyDescent="0.2">
      <c r="A235" s="44">
        <v>40555</v>
      </c>
      <c r="B235" s="45">
        <v>2011</v>
      </c>
      <c r="C235" s="46" t="s">
        <v>559</v>
      </c>
      <c r="D235" s="46" t="s">
        <v>381</v>
      </c>
      <c r="E235" s="47">
        <v>110885</v>
      </c>
      <c r="F235" s="47">
        <v>766165</v>
      </c>
      <c r="G235" s="48">
        <v>959001</v>
      </c>
      <c r="H235" s="48">
        <v>0</v>
      </c>
      <c r="I235" s="49">
        <v>0</v>
      </c>
      <c r="J235" s="211"/>
      <c r="K235" s="59"/>
    </row>
    <row r="236" spans="1:11" x14ac:dyDescent="0.2">
      <c r="A236" s="44">
        <v>40611</v>
      </c>
      <c r="B236" s="45">
        <v>2011</v>
      </c>
      <c r="C236" s="46" t="s">
        <v>560</v>
      </c>
      <c r="D236" s="46" t="s">
        <v>561</v>
      </c>
      <c r="E236" s="47">
        <v>286088</v>
      </c>
      <c r="F236" s="47">
        <v>3000000</v>
      </c>
      <c r="G236" s="48">
        <v>3178759</v>
      </c>
      <c r="H236" s="48"/>
      <c r="I236" s="49">
        <v>0</v>
      </c>
      <c r="J236" s="211"/>
      <c r="K236" s="59"/>
    </row>
    <row r="237" spans="1:11" x14ac:dyDescent="0.2">
      <c r="A237" s="44">
        <v>40639</v>
      </c>
      <c r="B237" s="45">
        <v>2011</v>
      </c>
      <c r="C237" s="46" t="s">
        <v>562</v>
      </c>
      <c r="D237" s="46" t="s">
        <v>484</v>
      </c>
      <c r="E237" s="47">
        <v>86658</v>
      </c>
      <c r="F237" s="47">
        <v>953239</v>
      </c>
      <c r="G237" s="48">
        <v>695289</v>
      </c>
      <c r="H237" s="48"/>
      <c r="I237" s="49">
        <v>0</v>
      </c>
      <c r="J237" s="211"/>
      <c r="K237" s="59"/>
    </row>
    <row r="238" spans="1:11" x14ac:dyDescent="0.2">
      <c r="A238" s="44">
        <v>40639</v>
      </c>
      <c r="B238" s="45">
        <v>2011</v>
      </c>
      <c r="C238" s="46" t="s">
        <v>563</v>
      </c>
      <c r="D238" s="46" t="s">
        <v>564</v>
      </c>
      <c r="E238" s="47">
        <v>65000</v>
      </c>
      <c r="F238" s="47">
        <v>675000</v>
      </c>
      <c r="G238" s="48">
        <v>1745465</v>
      </c>
      <c r="H238" s="48"/>
      <c r="I238" s="49">
        <v>0</v>
      </c>
      <c r="J238" s="211"/>
      <c r="K238" s="59"/>
    </row>
    <row r="239" spans="1:11" x14ac:dyDescent="0.2">
      <c r="A239" s="44">
        <v>40639</v>
      </c>
      <c r="B239" s="45">
        <v>2011</v>
      </c>
      <c r="C239" s="46" t="s">
        <v>565</v>
      </c>
      <c r="D239" s="46" t="s">
        <v>413</v>
      </c>
      <c r="E239" s="47">
        <v>81376</v>
      </c>
      <c r="F239" s="47">
        <v>882987</v>
      </c>
      <c r="G239" s="48">
        <v>600000</v>
      </c>
      <c r="H239" s="48"/>
      <c r="I239" s="49">
        <v>0</v>
      </c>
      <c r="J239" s="211"/>
      <c r="K239" s="59"/>
    </row>
    <row r="240" spans="1:11" x14ac:dyDescent="0.2">
      <c r="A240" s="44">
        <v>40667</v>
      </c>
      <c r="B240" s="45">
        <v>2011</v>
      </c>
      <c r="C240" s="46" t="s">
        <v>566</v>
      </c>
      <c r="D240" s="46" t="s">
        <v>567</v>
      </c>
      <c r="E240" s="47">
        <v>50061</v>
      </c>
      <c r="F240" s="47">
        <v>219993</v>
      </c>
      <c r="G240" s="48">
        <v>187885</v>
      </c>
      <c r="H240" s="48"/>
      <c r="I240" s="49">
        <v>32785</v>
      </c>
      <c r="J240" s="211"/>
      <c r="K240" s="59"/>
    </row>
    <row r="241" spans="1:11" x14ac:dyDescent="0.2">
      <c r="A241" s="44">
        <v>40681</v>
      </c>
      <c r="B241" s="45">
        <v>2011</v>
      </c>
      <c r="C241" s="46" t="s">
        <v>568</v>
      </c>
      <c r="D241" s="46" t="s">
        <v>569</v>
      </c>
      <c r="E241" s="47">
        <v>8000</v>
      </c>
      <c r="F241" s="47">
        <v>65292</v>
      </c>
      <c r="G241" s="48">
        <v>43000</v>
      </c>
      <c r="H241" s="48"/>
      <c r="I241" s="49"/>
      <c r="J241" s="211"/>
      <c r="K241" s="59"/>
    </row>
    <row r="242" spans="1:11" x14ac:dyDescent="0.2">
      <c r="A242" s="44">
        <v>40723</v>
      </c>
      <c r="B242" s="45">
        <v>2011</v>
      </c>
      <c r="C242" s="46" t="s">
        <v>570</v>
      </c>
      <c r="D242" s="46" t="s">
        <v>540</v>
      </c>
      <c r="E242" s="47">
        <v>98186</v>
      </c>
      <c r="F242" s="47">
        <v>887152</v>
      </c>
      <c r="G242" s="48">
        <v>671814</v>
      </c>
      <c r="H242" s="48"/>
      <c r="I242" s="49"/>
      <c r="J242" s="211"/>
      <c r="K242" s="59"/>
    </row>
    <row r="243" spans="1:11" x14ac:dyDescent="0.2">
      <c r="A243" s="44">
        <v>40793</v>
      </c>
      <c r="B243" s="45">
        <v>2011</v>
      </c>
      <c r="C243" s="46" t="s">
        <v>571</v>
      </c>
      <c r="D243" s="46" t="s">
        <v>572</v>
      </c>
      <c r="E243" s="47">
        <v>122317</v>
      </c>
      <c r="F243" s="47">
        <v>1345487</v>
      </c>
      <c r="G243" s="48">
        <v>1000000</v>
      </c>
      <c r="H243" s="48"/>
      <c r="I243" s="49"/>
      <c r="J243" s="211"/>
      <c r="K243" s="59"/>
    </row>
    <row r="244" spans="1:11" x14ac:dyDescent="0.2">
      <c r="A244" s="44">
        <v>40793</v>
      </c>
      <c r="B244" s="45">
        <v>2011</v>
      </c>
      <c r="C244" s="46" t="s">
        <v>573</v>
      </c>
      <c r="D244" s="46" t="s">
        <v>473</v>
      </c>
      <c r="E244" s="47">
        <v>350000</v>
      </c>
      <c r="F244" s="47">
        <v>2056229</v>
      </c>
      <c r="G244" s="48">
        <v>3830000</v>
      </c>
      <c r="H244" s="48"/>
      <c r="I244" s="49"/>
      <c r="J244" s="211"/>
      <c r="K244" s="59"/>
    </row>
    <row r="245" spans="1:11" x14ac:dyDescent="0.2">
      <c r="A245" s="44">
        <v>40793</v>
      </c>
      <c r="B245" s="45">
        <v>2011</v>
      </c>
      <c r="C245" s="46" t="s">
        <v>574</v>
      </c>
      <c r="D245" s="46" t="s">
        <v>575</v>
      </c>
      <c r="E245" s="47">
        <v>33170</v>
      </c>
      <c r="F245" s="47">
        <v>243000</v>
      </c>
      <c r="G245" s="48">
        <v>193276</v>
      </c>
      <c r="H245" s="48">
        <v>82.3</v>
      </c>
      <c r="I245" s="49"/>
      <c r="J245" s="211"/>
      <c r="K245" s="59"/>
    </row>
    <row r="246" spans="1:11" x14ac:dyDescent="0.2">
      <c r="A246" s="44">
        <v>40849</v>
      </c>
      <c r="B246" s="45">
        <v>2011</v>
      </c>
      <c r="C246" s="46" t="s">
        <v>576</v>
      </c>
      <c r="D246" s="46" t="s">
        <v>577</v>
      </c>
      <c r="E246" s="47">
        <v>57633</v>
      </c>
      <c r="F246" s="47">
        <v>458633</v>
      </c>
      <c r="G246" s="48">
        <v>473000</v>
      </c>
      <c r="H246" s="48"/>
      <c r="I246" s="49"/>
      <c r="J246" s="211"/>
      <c r="K246" s="59"/>
    </row>
    <row r="247" spans="1:11" x14ac:dyDescent="0.2">
      <c r="A247" s="44">
        <v>40849</v>
      </c>
      <c r="B247" s="45">
        <v>2011</v>
      </c>
      <c r="C247" s="46" t="s">
        <v>578</v>
      </c>
      <c r="D247" s="46" t="s">
        <v>579</v>
      </c>
      <c r="E247" s="47">
        <v>108500</v>
      </c>
      <c r="F247" s="47">
        <v>1193500</v>
      </c>
      <c r="G247" s="48">
        <v>1321960</v>
      </c>
      <c r="H247" s="48"/>
      <c r="I247" s="49"/>
      <c r="J247" s="211"/>
      <c r="K247" s="59"/>
    </row>
    <row r="248" spans="1:11" x14ac:dyDescent="0.2">
      <c r="A248" s="44">
        <v>40849</v>
      </c>
      <c r="B248" s="45">
        <v>2011</v>
      </c>
      <c r="C248" s="46" t="s">
        <v>580</v>
      </c>
      <c r="D248" s="46" t="s">
        <v>581</v>
      </c>
      <c r="E248" s="47">
        <v>26364</v>
      </c>
      <c r="F248" s="47">
        <v>202000</v>
      </c>
      <c r="G248" s="48">
        <v>216969</v>
      </c>
      <c r="H248" s="48"/>
      <c r="I248" s="49"/>
      <c r="J248" s="211"/>
      <c r="K248" s="59"/>
    </row>
    <row r="249" spans="1:11" x14ac:dyDescent="0.2">
      <c r="A249" s="44">
        <v>40849</v>
      </c>
      <c r="B249" s="45">
        <v>2011</v>
      </c>
      <c r="C249" s="46" t="s">
        <v>582</v>
      </c>
      <c r="D249" s="46" t="s">
        <v>583</v>
      </c>
      <c r="E249" s="47">
        <v>44265</v>
      </c>
      <c r="F249" s="47">
        <v>128534</v>
      </c>
      <c r="G249" s="48">
        <v>318368</v>
      </c>
      <c r="H249" s="48"/>
      <c r="I249" s="49"/>
      <c r="J249" s="211"/>
      <c r="K249" s="59"/>
    </row>
    <row r="250" spans="1:11" x14ac:dyDescent="0.2">
      <c r="A250" s="44">
        <v>40982</v>
      </c>
      <c r="B250" s="45">
        <v>2012</v>
      </c>
      <c r="C250" s="46" t="s">
        <v>584</v>
      </c>
      <c r="D250" s="46" t="s">
        <v>585</v>
      </c>
      <c r="E250" s="47">
        <v>295408</v>
      </c>
      <c r="F250" s="47">
        <v>3000000</v>
      </c>
      <c r="G250" s="48">
        <v>1725114</v>
      </c>
      <c r="H250" s="48"/>
      <c r="I250" s="49"/>
      <c r="J250" s="211"/>
      <c r="K250" s="59"/>
    </row>
    <row r="251" spans="1:11" x14ac:dyDescent="0.2">
      <c r="A251" s="44">
        <v>41010</v>
      </c>
      <c r="B251" s="45">
        <v>2012</v>
      </c>
      <c r="C251" s="46" t="s">
        <v>586</v>
      </c>
      <c r="D251" s="46" t="s">
        <v>587</v>
      </c>
      <c r="E251" s="47">
        <v>164313</v>
      </c>
      <c r="F251" s="47">
        <v>1807443</v>
      </c>
      <c r="G251" s="48">
        <v>1210000</v>
      </c>
      <c r="H251" s="48"/>
      <c r="I251" s="49"/>
      <c r="J251" s="211"/>
      <c r="K251" s="59"/>
    </row>
    <row r="252" spans="1:11" x14ac:dyDescent="0.2">
      <c r="A252" s="44">
        <v>41060</v>
      </c>
      <c r="B252" s="45">
        <v>2012</v>
      </c>
      <c r="C252" s="46" t="s">
        <v>588</v>
      </c>
      <c r="D252" s="46" t="s">
        <v>513</v>
      </c>
      <c r="E252" s="47">
        <v>96827</v>
      </c>
      <c r="F252" s="47">
        <v>1065097</v>
      </c>
      <c r="G252" s="48">
        <v>285787</v>
      </c>
      <c r="H252" s="48"/>
      <c r="I252" s="49">
        <v>49689</v>
      </c>
      <c r="J252" s="211"/>
      <c r="K252" s="59"/>
    </row>
    <row r="253" spans="1:11" x14ac:dyDescent="0.2">
      <c r="A253" s="44">
        <v>41073</v>
      </c>
      <c r="B253" s="45">
        <v>2012</v>
      </c>
      <c r="C253" s="46" t="s">
        <v>589</v>
      </c>
      <c r="D253" s="46" t="s">
        <v>540</v>
      </c>
      <c r="E253" s="47">
        <v>356260</v>
      </c>
      <c r="F253" s="47">
        <v>3000000</v>
      </c>
      <c r="G253" s="48">
        <v>2801573</v>
      </c>
      <c r="H253" s="48"/>
      <c r="I253" s="49"/>
      <c r="J253" s="211"/>
      <c r="K253" s="59"/>
    </row>
    <row r="254" spans="1:11" x14ac:dyDescent="0.2">
      <c r="A254" s="44">
        <v>41165</v>
      </c>
      <c r="B254" s="45">
        <v>2012</v>
      </c>
      <c r="C254" s="46" t="s">
        <v>590</v>
      </c>
      <c r="D254" s="46" t="s">
        <v>591</v>
      </c>
      <c r="E254" s="47">
        <v>36602</v>
      </c>
      <c r="F254" s="47">
        <v>380000</v>
      </c>
      <c r="G254" s="48">
        <v>345615</v>
      </c>
      <c r="H254" s="48"/>
      <c r="I254" s="49"/>
      <c r="J254" s="211"/>
      <c r="K254" s="59"/>
    </row>
    <row r="255" spans="1:11" x14ac:dyDescent="0.2">
      <c r="A255" s="44">
        <v>41192</v>
      </c>
      <c r="B255" s="45">
        <v>2012</v>
      </c>
      <c r="C255" s="46" t="s">
        <v>592</v>
      </c>
      <c r="D255" s="46" t="s">
        <v>216</v>
      </c>
      <c r="E255" s="47">
        <v>173376</v>
      </c>
      <c r="F255" s="47">
        <v>1907136</v>
      </c>
      <c r="G255" s="48">
        <v>1488185</v>
      </c>
      <c r="H255" s="48"/>
      <c r="I255" s="49"/>
      <c r="J255" s="211"/>
      <c r="K255" s="59"/>
    </row>
    <row r="256" spans="1:11" x14ac:dyDescent="0.2">
      <c r="A256" s="44">
        <v>41192</v>
      </c>
      <c r="B256" s="45">
        <v>2012</v>
      </c>
      <c r="C256" s="46" t="s">
        <v>593</v>
      </c>
      <c r="D256" s="46" t="s">
        <v>594</v>
      </c>
      <c r="E256" s="47">
        <v>471682</v>
      </c>
      <c r="F256" s="47">
        <v>2991209</v>
      </c>
      <c r="G256" s="48">
        <v>3161697</v>
      </c>
      <c r="H256" s="48"/>
      <c r="I256" s="49">
        <v>61091</v>
      </c>
      <c r="J256" s="211"/>
      <c r="K256" s="59"/>
    </row>
    <row r="257" spans="1:11" x14ac:dyDescent="0.2">
      <c r="A257" s="44">
        <v>41255</v>
      </c>
      <c r="B257" s="45">
        <v>2012</v>
      </c>
      <c r="C257" s="46" t="s">
        <v>595</v>
      </c>
      <c r="D257" s="60" t="s">
        <v>596</v>
      </c>
      <c r="E257" s="47">
        <v>188216</v>
      </c>
      <c r="F257" s="61">
        <v>2000000</v>
      </c>
      <c r="G257" s="48">
        <v>1548853</v>
      </c>
      <c r="H257" s="48"/>
      <c r="I257" s="49"/>
      <c r="J257" s="211"/>
      <c r="K257" s="59"/>
    </row>
    <row r="258" spans="1:11" x14ac:dyDescent="0.2">
      <c r="A258" s="44">
        <v>41255</v>
      </c>
      <c r="B258" s="45">
        <v>2012</v>
      </c>
      <c r="C258" s="46" t="s">
        <v>597</v>
      </c>
      <c r="D258" s="60" t="s">
        <v>346</v>
      </c>
      <c r="E258" s="47">
        <v>167000</v>
      </c>
      <c r="F258" s="61">
        <v>2000000</v>
      </c>
      <c r="G258" s="48">
        <v>778716</v>
      </c>
      <c r="H258" s="48"/>
      <c r="I258" s="49"/>
      <c r="J258" s="211"/>
      <c r="K258" s="59"/>
    </row>
    <row r="259" spans="1:11" x14ac:dyDescent="0.2">
      <c r="A259" s="44">
        <v>41255</v>
      </c>
      <c r="B259" s="45">
        <v>2012</v>
      </c>
      <c r="C259" s="46" t="s">
        <v>598</v>
      </c>
      <c r="D259" s="60" t="s">
        <v>599</v>
      </c>
      <c r="E259" s="47">
        <v>221885</v>
      </c>
      <c r="F259" s="61">
        <v>2710721</v>
      </c>
      <c r="G259" s="48">
        <v>1145769</v>
      </c>
      <c r="H259" s="48"/>
      <c r="I259" s="49"/>
      <c r="J259" s="211"/>
      <c r="K259" s="59"/>
    </row>
    <row r="260" spans="1:11" ht="15" x14ac:dyDescent="0.25">
      <c r="A260" s="44">
        <v>41255</v>
      </c>
      <c r="B260" s="45">
        <v>2012</v>
      </c>
      <c r="C260" s="46" t="s">
        <v>600</v>
      </c>
      <c r="D260" s="60" t="s">
        <v>556</v>
      </c>
      <c r="E260" s="47">
        <v>119967</v>
      </c>
      <c r="F260" s="62">
        <v>1559577</v>
      </c>
      <c r="G260" s="48">
        <v>942849</v>
      </c>
      <c r="H260" s="48"/>
      <c r="I260" s="49"/>
      <c r="J260" s="211"/>
      <c r="K260" s="59"/>
    </row>
    <row r="261" spans="1:11" ht="15" x14ac:dyDescent="0.25">
      <c r="A261" s="44">
        <v>41255</v>
      </c>
      <c r="B261" s="45">
        <v>2012</v>
      </c>
      <c r="C261" s="46" t="s">
        <v>601</v>
      </c>
      <c r="D261" s="60" t="s">
        <v>602</v>
      </c>
      <c r="E261" s="47">
        <v>99071</v>
      </c>
      <c r="F261" s="62">
        <v>1287920</v>
      </c>
      <c r="G261" s="48">
        <v>778716</v>
      </c>
      <c r="H261" s="48"/>
      <c r="I261" s="49"/>
      <c r="J261" s="211"/>
      <c r="K261" s="59"/>
    </row>
    <row r="262" spans="1:11" x14ac:dyDescent="0.2">
      <c r="A262" s="44">
        <v>41255</v>
      </c>
      <c r="B262" s="45">
        <v>2012</v>
      </c>
      <c r="C262" s="46" t="s">
        <v>603</v>
      </c>
      <c r="D262" s="60" t="s">
        <v>604</v>
      </c>
      <c r="E262" s="47">
        <v>79396</v>
      </c>
      <c r="F262" s="61">
        <v>602188</v>
      </c>
      <c r="G262" s="48">
        <v>508711</v>
      </c>
      <c r="H262" s="48"/>
      <c r="I262" s="49">
        <v>4117</v>
      </c>
      <c r="J262" s="211"/>
      <c r="K262" s="59"/>
    </row>
    <row r="263" spans="1:11" x14ac:dyDescent="0.2">
      <c r="A263" s="44">
        <v>41255</v>
      </c>
      <c r="B263" s="45">
        <v>2012</v>
      </c>
      <c r="C263" s="46" t="s">
        <v>605</v>
      </c>
      <c r="D263" s="60" t="s">
        <v>413</v>
      </c>
      <c r="E263" s="47">
        <v>46887</v>
      </c>
      <c r="F263" s="61">
        <v>426526</v>
      </c>
      <c r="G263" s="48">
        <v>347000</v>
      </c>
      <c r="H263" s="48"/>
      <c r="I263" s="49"/>
      <c r="J263" s="211"/>
      <c r="K263" s="59"/>
    </row>
    <row r="264" spans="1:11" x14ac:dyDescent="0.2">
      <c r="A264" s="44">
        <v>41255</v>
      </c>
      <c r="B264" s="45">
        <v>2012</v>
      </c>
      <c r="C264" s="46" t="s">
        <v>606</v>
      </c>
      <c r="D264" s="60" t="s">
        <v>607</v>
      </c>
      <c r="E264" s="47">
        <v>155261</v>
      </c>
      <c r="F264" s="61">
        <v>1809734</v>
      </c>
      <c r="G264" s="48">
        <v>2391156</v>
      </c>
      <c r="H264" s="48"/>
      <c r="I264" s="49"/>
      <c r="J264" s="211"/>
      <c r="K264" s="59"/>
    </row>
    <row r="265" spans="1:11" x14ac:dyDescent="0.2">
      <c r="A265" s="44">
        <v>41283</v>
      </c>
      <c r="B265" s="45">
        <v>2013</v>
      </c>
      <c r="C265" s="46" t="s">
        <v>608</v>
      </c>
      <c r="D265" s="60" t="s">
        <v>609</v>
      </c>
      <c r="E265" s="47">
        <v>72043</v>
      </c>
      <c r="F265" s="61">
        <v>900000</v>
      </c>
      <c r="G265" s="48">
        <v>550574</v>
      </c>
      <c r="H265" s="48"/>
      <c r="I265" s="49"/>
      <c r="J265" s="211"/>
      <c r="K265" s="59"/>
    </row>
    <row r="266" spans="1:11" x14ac:dyDescent="0.2">
      <c r="A266" s="44">
        <v>41318</v>
      </c>
      <c r="B266" s="45">
        <v>2013</v>
      </c>
      <c r="C266" s="46" t="s">
        <v>610</v>
      </c>
      <c r="D266" s="63" t="s">
        <v>611</v>
      </c>
      <c r="E266" s="64">
        <v>221244</v>
      </c>
      <c r="F266" s="64">
        <v>2876172</v>
      </c>
      <c r="G266" s="65">
        <v>2100000</v>
      </c>
      <c r="H266" s="48"/>
      <c r="I266" s="49"/>
      <c r="J266" s="211"/>
      <c r="K266" s="59"/>
    </row>
    <row r="267" spans="1:11" x14ac:dyDescent="0.2">
      <c r="A267" s="44">
        <v>41318</v>
      </c>
      <c r="B267" s="45">
        <v>2013</v>
      </c>
      <c r="C267" s="46" t="s">
        <v>612</v>
      </c>
      <c r="D267" s="63" t="s">
        <v>613</v>
      </c>
      <c r="E267" s="64">
        <v>97197</v>
      </c>
      <c r="F267" s="64">
        <v>750000</v>
      </c>
      <c r="G267" s="65">
        <v>694261</v>
      </c>
      <c r="H267" s="48"/>
      <c r="I267" s="49"/>
      <c r="J267" s="211"/>
      <c r="K267" s="59"/>
    </row>
    <row r="268" spans="1:11" x14ac:dyDescent="0.2">
      <c r="A268" s="44">
        <v>41318</v>
      </c>
      <c r="B268" s="45">
        <v>2013</v>
      </c>
      <c r="C268" s="46" t="s">
        <v>614</v>
      </c>
      <c r="D268" s="63" t="s">
        <v>615</v>
      </c>
      <c r="E268" s="64">
        <v>87826</v>
      </c>
      <c r="F268" s="64">
        <v>1141738</v>
      </c>
      <c r="G268" s="65">
        <v>444026</v>
      </c>
      <c r="H268" s="48"/>
      <c r="I268" s="49"/>
      <c r="J268" s="211"/>
      <c r="K268" s="59"/>
    </row>
    <row r="269" spans="1:11" x14ac:dyDescent="0.2">
      <c r="A269" s="44">
        <v>41318</v>
      </c>
      <c r="B269" s="45">
        <v>2013</v>
      </c>
      <c r="C269" s="46" t="s">
        <v>616</v>
      </c>
      <c r="D269" s="63" t="s">
        <v>617</v>
      </c>
      <c r="E269" s="64">
        <v>6640</v>
      </c>
      <c r="F269" s="64">
        <v>161890</v>
      </c>
      <c r="G269" s="65">
        <v>99954</v>
      </c>
      <c r="H269" s="48"/>
      <c r="I269" s="49"/>
      <c r="J269" s="211"/>
      <c r="K269" s="59"/>
    </row>
    <row r="270" spans="1:11" x14ac:dyDescent="0.2">
      <c r="A270" s="44">
        <v>41333</v>
      </c>
      <c r="B270" s="45">
        <v>2013</v>
      </c>
      <c r="C270" s="46" t="s">
        <v>618</v>
      </c>
      <c r="D270" s="63" t="s">
        <v>619</v>
      </c>
      <c r="E270" s="64">
        <v>76312</v>
      </c>
      <c r="F270" s="64">
        <v>992054</v>
      </c>
      <c r="G270" s="65">
        <v>640200</v>
      </c>
      <c r="H270" s="48"/>
      <c r="I270" s="49"/>
      <c r="J270" s="211"/>
      <c r="K270" s="59"/>
    </row>
    <row r="271" spans="1:11" x14ac:dyDescent="0.2">
      <c r="A271" s="44">
        <v>41374</v>
      </c>
      <c r="B271" s="45">
        <v>2013</v>
      </c>
      <c r="C271" s="46" t="s">
        <v>620</v>
      </c>
      <c r="D271" s="63" t="s">
        <v>621</v>
      </c>
      <c r="E271" s="64">
        <v>96601</v>
      </c>
      <c r="F271" s="64">
        <f>500000-24664</f>
        <v>475336</v>
      </c>
      <c r="G271" s="65">
        <v>694726</v>
      </c>
      <c r="H271" s="65"/>
      <c r="I271" s="66">
        <v>8775</v>
      </c>
      <c r="K271" s="59"/>
    </row>
    <row r="272" spans="1:11" x14ac:dyDescent="0.2">
      <c r="A272" s="44">
        <v>41374</v>
      </c>
      <c r="B272" s="45">
        <v>2013</v>
      </c>
      <c r="C272" s="46" t="s">
        <v>622</v>
      </c>
      <c r="D272" s="63" t="s">
        <v>623</v>
      </c>
      <c r="E272" s="64">
        <v>88168</v>
      </c>
      <c r="F272" s="64">
        <v>1146184</v>
      </c>
      <c r="G272" s="65">
        <v>644859</v>
      </c>
      <c r="H272" s="65"/>
      <c r="I272" s="66">
        <v>293</v>
      </c>
      <c r="K272" s="59"/>
    </row>
    <row r="273" spans="1:11" x14ac:dyDescent="0.2">
      <c r="A273" s="44">
        <v>41374</v>
      </c>
      <c r="B273" s="45">
        <v>2013</v>
      </c>
      <c r="C273" s="46" t="s">
        <v>624</v>
      </c>
      <c r="D273" s="63" t="s">
        <v>625</v>
      </c>
      <c r="E273" s="64">
        <v>6839</v>
      </c>
      <c r="F273" s="64">
        <v>85000</v>
      </c>
      <c r="G273" s="65">
        <v>32961</v>
      </c>
      <c r="H273" s="65"/>
      <c r="I273" s="66"/>
      <c r="K273" s="59"/>
    </row>
    <row r="274" spans="1:11" x14ac:dyDescent="0.2">
      <c r="A274" s="44">
        <v>41374</v>
      </c>
      <c r="B274" s="45">
        <v>2013</v>
      </c>
      <c r="C274" s="46" t="s">
        <v>626</v>
      </c>
      <c r="D274" s="63" t="s">
        <v>627</v>
      </c>
      <c r="E274" s="64">
        <v>286421</v>
      </c>
      <c r="F274" s="64">
        <v>2755000</v>
      </c>
      <c r="G274" s="65">
        <v>2046935</v>
      </c>
      <c r="H274" s="48">
        <v>5619</v>
      </c>
      <c r="I274" s="66"/>
      <c r="K274" s="59"/>
    </row>
    <row r="275" spans="1:11" x14ac:dyDescent="0.2">
      <c r="A275" s="44">
        <v>41402</v>
      </c>
      <c r="B275" s="45">
        <v>2013</v>
      </c>
      <c r="C275" s="67" t="s">
        <v>628</v>
      </c>
      <c r="D275" s="63" t="s">
        <v>629</v>
      </c>
      <c r="E275" s="64">
        <v>52981</v>
      </c>
      <c r="F275" s="64">
        <v>687000</v>
      </c>
      <c r="G275" s="65">
        <v>295000</v>
      </c>
      <c r="H275" s="48"/>
      <c r="I275" s="66"/>
      <c r="K275" s="59"/>
    </row>
    <row r="276" spans="1:11" x14ac:dyDescent="0.2">
      <c r="A276" s="44">
        <v>41402</v>
      </c>
      <c r="B276" s="45">
        <v>2013</v>
      </c>
      <c r="C276" s="67" t="s">
        <v>630</v>
      </c>
      <c r="D276" s="63" t="s">
        <v>631</v>
      </c>
      <c r="E276" s="64">
        <v>80634</v>
      </c>
      <c r="F276" s="64">
        <v>607596</v>
      </c>
      <c r="G276" s="65">
        <v>332062</v>
      </c>
      <c r="H276" s="48"/>
      <c r="I276" s="66"/>
      <c r="K276" s="59"/>
    </row>
    <row r="277" spans="1:11" x14ac:dyDescent="0.2">
      <c r="A277" s="44">
        <v>41402</v>
      </c>
      <c r="B277" s="45">
        <v>2013</v>
      </c>
      <c r="C277" s="67" t="s">
        <v>632</v>
      </c>
      <c r="D277" s="63" t="s">
        <v>633</v>
      </c>
      <c r="E277" s="64">
        <v>46838</v>
      </c>
      <c r="F277" s="64">
        <v>150000</v>
      </c>
      <c r="G277" s="65">
        <v>234573</v>
      </c>
      <c r="H277" s="48"/>
      <c r="I277" s="66">
        <v>6619</v>
      </c>
      <c r="K277" s="59"/>
    </row>
    <row r="278" spans="1:11" x14ac:dyDescent="0.2">
      <c r="A278" s="44">
        <v>41437</v>
      </c>
      <c r="B278" s="45">
        <v>2013</v>
      </c>
      <c r="C278" s="67" t="s">
        <v>634</v>
      </c>
      <c r="D278" s="63" t="s">
        <v>635</v>
      </c>
      <c r="E278" s="64">
        <v>110763</v>
      </c>
      <c r="F278" s="64">
        <v>1439914</v>
      </c>
      <c r="G278" s="65">
        <v>738246</v>
      </c>
      <c r="H278" s="48"/>
      <c r="I278" s="66"/>
      <c r="K278" s="59"/>
    </row>
    <row r="279" spans="1:11" x14ac:dyDescent="0.2">
      <c r="A279" s="44">
        <v>41528</v>
      </c>
      <c r="B279" s="45">
        <v>2013</v>
      </c>
      <c r="C279" s="67" t="s">
        <v>636</v>
      </c>
      <c r="D279" s="63" t="s">
        <v>637</v>
      </c>
      <c r="E279" s="64">
        <v>54539</v>
      </c>
      <c r="F279" s="64">
        <v>700000</v>
      </c>
      <c r="G279" s="65">
        <v>0</v>
      </c>
      <c r="H279" s="48"/>
      <c r="I279" s="66">
        <v>137904</v>
      </c>
      <c r="K279" s="59"/>
    </row>
    <row r="280" spans="1:11" x14ac:dyDescent="0.2">
      <c r="A280" s="44">
        <v>41556</v>
      </c>
      <c r="B280" s="45">
        <v>2013</v>
      </c>
      <c r="C280" s="67" t="s">
        <v>638</v>
      </c>
      <c r="D280" s="63" t="s">
        <v>536</v>
      </c>
      <c r="E280" s="64">
        <v>138282</v>
      </c>
      <c r="F280" s="64">
        <v>1800000</v>
      </c>
      <c r="G280" s="65">
        <v>1074000</v>
      </c>
      <c r="H280" s="48"/>
      <c r="I280" s="66">
        <v>800</v>
      </c>
      <c r="K280" s="59"/>
    </row>
    <row r="281" spans="1:11" x14ac:dyDescent="0.2">
      <c r="A281" s="44">
        <v>41654</v>
      </c>
      <c r="B281" s="45">
        <v>2014</v>
      </c>
      <c r="C281" s="67" t="s">
        <v>639</v>
      </c>
      <c r="D281" s="63" t="s">
        <v>640</v>
      </c>
      <c r="E281" s="64">
        <v>101967</v>
      </c>
      <c r="F281" s="64">
        <v>1300000</v>
      </c>
      <c r="G281" s="65">
        <v>907524</v>
      </c>
      <c r="H281" s="48"/>
      <c r="I281" s="66"/>
      <c r="K281" s="59"/>
    </row>
    <row r="282" spans="1:11" x14ac:dyDescent="0.2">
      <c r="A282" s="44">
        <v>41654</v>
      </c>
      <c r="B282" s="45">
        <v>2014</v>
      </c>
      <c r="C282" s="67" t="s">
        <v>641</v>
      </c>
      <c r="D282" s="63" t="s">
        <v>484</v>
      </c>
      <c r="E282" s="64">
        <v>19373</v>
      </c>
      <c r="F282" s="64">
        <v>149706</v>
      </c>
      <c r="G282" s="65">
        <v>144943</v>
      </c>
      <c r="H282" s="48"/>
      <c r="I282" s="66"/>
      <c r="K282" s="59"/>
    </row>
    <row r="283" spans="1:11" x14ac:dyDescent="0.2">
      <c r="A283" s="44">
        <v>41654</v>
      </c>
      <c r="B283" s="45">
        <v>2014</v>
      </c>
      <c r="C283" s="67" t="s">
        <v>642</v>
      </c>
      <c r="D283" s="63" t="s">
        <v>643</v>
      </c>
      <c r="E283" s="64">
        <v>368626</v>
      </c>
      <c r="F283" s="64">
        <v>3000000</v>
      </c>
      <c r="G283" s="65">
        <v>2000000</v>
      </c>
      <c r="H283" s="48"/>
      <c r="I283" s="66"/>
      <c r="K283" s="59"/>
    </row>
    <row r="284" spans="1:11" x14ac:dyDescent="0.2">
      <c r="A284" s="44">
        <v>41710</v>
      </c>
      <c r="B284" s="45">
        <v>2014</v>
      </c>
      <c r="C284" s="67" t="s">
        <v>644</v>
      </c>
      <c r="D284" s="63" t="s">
        <v>645</v>
      </c>
      <c r="E284" s="64">
        <v>116672</v>
      </c>
      <c r="F284" s="64">
        <v>750000</v>
      </c>
      <c r="G284" s="65">
        <v>872861</v>
      </c>
      <c r="H284" s="48"/>
      <c r="I284" s="66"/>
      <c r="K284" s="59"/>
    </row>
    <row r="285" spans="1:11" x14ac:dyDescent="0.2">
      <c r="A285" s="44">
        <v>41710</v>
      </c>
      <c r="B285" s="45">
        <v>2014</v>
      </c>
      <c r="C285" s="67" t="s">
        <v>646</v>
      </c>
      <c r="D285" s="63" t="s">
        <v>282</v>
      </c>
      <c r="E285" s="64">
        <v>180000</v>
      </c>
      <c r="F285" s="64">
        <v>1560000</v>
      </c>
      <c r="G285" s="65">
        <v>1432760</v>
      </c>
      <c r="H285" s="48"/>
      <c r="I285" s="66"/>
      <c r="K285" s="59"/>
    </row>
    <row r="286" spans="1:11" x14ac:dyDescent="0.2">
      <c r="A286" s="44">
        <v>41710</v>
      </c>
      <c r="B286" s="45">
        <v>2014</v>
      </c>
      <c r="C286" s="67" t="s">
        <v>647</v>
      </c>
      <c r="D286" s="63" t="s">
        <v>604</v>
      </c>
      <c r="E286" s="64">
        <v>100000</v>
      </c>
      <c r="F286" s="64">
        <v>1100000</v>
      </c>
      <c r="G286" s="65">
        <v>354500</v>
      </c>
      <c r="H286" s="48"/>
      <c r="I286" s="66"/>
      <c r="K286" s="59"/>
    </row>
    <row r="287" spans="1:11" x14ac:dyDescent="0.2">
      <c r="A287" s="44">
        <v>41751</v>
      </c>
      <c r="B287" s="45">
        <v>2014</v>
      </c>
      <c r="C287" s="67" t="s">
        <v>648</v>
      </c>
      <c r="D287" s="63" t="s">
        <v>649</v>
      </c>
      <c r="E287" s="64">
        <v>36557</v>
      </c>
      <c r="F287" s="64">
        <v>475241</v>
      </c>
      <c r="G287" s="65">
        <v>203100</v>
      </c>
      <c r="H287" s="48"/>
      <c r="I287" s="66"/>
      <c r="K287" s="59"/>
    </row>
    <row r="288" spans="1:11" x14ac:dyDescent="0.2">
      <c r="A288" s="44">
        <v>41751</v>
      </c>
      <c r="B288" s="45">
        <v>2014</v>
      </c>
      <c r="C288" s="67" t="s">
        <v>650</v>
      </c>
      <c r="D288" s="63" t="s">
        <v>651</v>
      </c>
      <c r="E288" s="64">
        <v>143622</v>
      </c>
      <c r="F288" s="64">
        <v>1812722</v>
      </c>
      <c r="G288" s="65">
        <v>1163896</v>
      </c>
      <c r="H288" s="48"/>
      <c r="I288" s="66"/>
      <c r="K288" s="59"/>
    </row>
    <row r="289" spans="1:11" x14ac:dyDescent="0.2">
      <c r="A289" s="44">
        <v>41773</v>
      </c>
      <c r="B289" s="45">
        <v>2014</v>
      </c>
      <c r="C289" s="67" t="s">
        <v>652</v>
      </c>
      <c r="D289" s="63" t="s">
        <v>653</v>
      </c>
      <c r="E289" s="64">
        <v>350051</v>
      </c>
      <c r="F289" s="64">
        <v>3000000</v>
      </c>
      <c r="G289" s="65">
        <v>3227583</v>
      </c>
      <c r="H289" s="48"/>
      <c r="I289" s="66">
        <v>46026</v>
      </c>
      <c r="K289" s="59"/>
    </row>
    <row r="290" spans="1:11" x14ac:dyDescent="0.2">
      <c r="A290" s="44">
        <v>41773</v>
      </c>
      <c r="B290" s="45">
        <v>2014</v>
      </c>
      <c r="C290" s="67" t="s">
        <v>654</v>
      </c>
      <c r="D290" s="63" t="s">
        <v>288</v>
      </c>
      <c r="E290" s="64">
        <v>120418</v>
      </c>
      <c r="F290" s="64">
        <v>1242492</v>
      </c>
      <c r="G290" s="65">
        <v>720310</v>
      </c>
      <c r="H290" s="48"/>
      <c r="I290" s="66">
        <v>11637</v>
      </c>
      <c r="K290" s="59"/>
    </row>
    <row r="291" spans="1:11" x14ac:dyDescent="0.2">
      <c r="A291" s="44">
        <v>41808</v>
      </c>
      <c r="B291" s="45">
        <v>2014</v>
      </c>
      <c r="C291" s="67" t="s">
        <v>655</v>
      </c>
      <c r="D291" s="63" t="s">
        <v>656</v>
      </c>
      <c r="E291" s="64">
        <v>135712</v>
      </c>
      <c r="F291" s="64">
        <v>2307104</v>
      </c>
      <c r="G291" s="65">
        <v>1056127</v>
      </c>
      <c r="H291" s="48"/>
      <c r="I291" s="66"/>
      <c r="K291" s="59"/>
    </row>
    <row r="292" spans="1:11" x14ac:dyDescent="0.2">
      <c r="A292" s="44">
        <v>41842</v>
      </c>
      <c r="B292" s="45">
        <v>2014</v>
      </c>
      <c r="C292" s="67" t="s">
        <v>657</v>
      </c>
      <c r="D292" s="63" t="s">
        <v>658</v>
      </c>
      <c r="E292" s="64">
        <v>140584</v>
      </c>
      <c r="F292" s="64">
        <v>1766665</v>
      </c>
      <c r="G292" s="65">
        <v>788148</v>
      </c>
      <c r="H292" s="48"/>
      <c r="I292" s="66">
        <v>8296</v>
      </c>
      <c r="K292" s="59"/>
    </row>
    <row r="293" spans="1:11" x14ac:dyDescent="0.2">
      <c r="A293" s="44">
        <v>41878</v>
      </c>
      <c r="B293" s="45">
        <v>2014</v>
      </c>
      <c r="C293" s="67" t="s">
        <v>659</v>
      </c>
      <c r="D293" s="63" t="s">
        <v>413</v>
      </c>
      <c r="E293" s="64">
        <v>282956</v>
      </c>
      <c r="F293" s="64">
        <v>3000000</v>
      </c>
      <c r="G293" s="65">
        <v>2238000</v>
      </c>
      <c r="H293" s="48"/>
      <c r="I293" s="66"/>
      <c r="K293" s="59"/>
    </row>
    <row r="294" spans="1:11" x14ac:dyDescent="0.2">
      <c r="A294" s="44">
        <v>41878</v>
      </c>
      <c r="B294" s="45">
        <v>2014</v>
      </c>
      <c r="C294" s="67" t="s">
        <v>660</v>
      </c>
      <c r="D294" s="63" t="s">
        <v>661</v>
      </c>
      <c r="E294" s="64">
        <v>228531</v>
      </c>
      <c r="F294" s="64">
        <v>3000000</v>
      </c>
      <c r="G294" s="65">
        <v>1919095</v>
      </c>
      <c r="H294" s="48"/>
      <c r="I294" s="66">
        <v>3671</v>
      </c>
      <c r="K294" s="59"/>
    </row>
    <row r="295" spans="1:11" x14ac:dyDescent="0.2">
      <c r="A295" s="44">
        <v>41919</v>
      </c>
      <c r="B295" s="45">
        <v>2014</v>
      </c>
      <c r="C295" s="67" t="s">
        <v>662</v>
      </c>
      <c r="D295" s="63" t="s">
        <v>663</v>
      </c>
      <c r="E295" s="64">
        <v>159481</v>
      </c>
      <c r="F295" s="64">
        <v>3000000</v>
      </c>
      <c r="G295" s="65">
        <v>1152822</v>
      </c>
      <c r="H295" s="48"/>
      <c r="I295" s="66"/>
      <c r="K295" s="59"/>
    </row>
    <row r="296" spans="1:11" x14ac:dyDescent="0.2">
      <c r="A296" s="44">
        <v>41919</v>
      </c>
      <c r="B296" s="45">
        <v>2014</v>
      </c>
      <c r="C296" s="67" t="s">
        <v>664</v>
      </c>
      <c r="D296" s="63" t="s">
        <v>530</v>
      </c>
      <c r="E296" s="64">
        <v>153475</v>
      </c>
      <c r="F296" s="64">
        <v>3000000</v>
      </c>
      <c r="G296" s="65">
        <v>1578000</v>
      </c>
      <c r="H296" s="48"/>
      <c r="I296" s="66"/>
      <c r="K296" s="59"/>
    </row>
    <row r="297" spans="1:11" x14ac:dyDescent="0.2">
      <c r="A297" s="44">
        <v>41919</v>
      </c>
      <c r="B297" s="45">
        <v>2014</v>
      </c>
      <c r="C297" s="67" t="s">
        <v>665</v>
      </c>
      <c r="D297" s="63" t="s">
        <v>609</v>
      </c>
      <c r="E297" s="64">
        <v>73692</v>
      </c>
      <c r="F297" s="64">
        <v>710000</v>
      </c>
      <c r="G297" s="65">
        <v>402973</v>
      </c>
      <c r="H297" s="48"/>
      <c r="I297" s="66">
        <v>11347</v>
      </c>
      <c r="K297" s="59"/>
    </row>
    <row r="298" spans="1:11" ht="25.5" x14ac:dyDescent="0.2">
      <c r="A298" s="68">
        <v>41960</v>
      </c>
      <c r="B298" s="69">
        <v>2014</v>
      </c>
      <c r="C298" s="67" t="s">
        <v>666</v>
      </c>
      <c r="D298" s="70" t="s">
        <v>667</v>
      </c>
      <c r="E298" s="64">
        <v>44922</v>
      </c>
      <c r="F298" s="64">
        <v>794812</v>
      </c>
      <c r="G298" s="65">
        <v>228428</v>
      </c>
      <c r="H298" s="48"/>
      <c r="I298" s="66"/>
      <c r="K298" s="59"/>
    </row>
    <row r="299" spans="1:11" ht="25.5" x14ac:dyDescent="0.2">
      <c r="A299" s="68">
        <v>41960</v>
      </c>
      <c r="B299" s="69">
        <v>2014</v>
      </c>
      <c r="C299" s="67" t="s">
        <v>668</v>
      </c>
      <c r="D299" s="70" t="s">
        <v>669</v>
      </c>
      <c r="E299" s="64">
        <v>43161</v>
      </c>
      <c r="F299" s="64">
        <v>692584</v>
      </c>
      <c r="G299" s="65">
        <v>199902</v>
      </c>
      <c r="H299" s="48"/>
      <c r="I299" s="66"/>
      <c r="K299" s="59"/>
    </row>
    <row r="300" spans="1:11" ht="25.5" x14ac:dyDescent="0.2">
      <c r="A300" s="68">
        <v>41960</v>
      </c>
      <c r="B300" s="69">
        <v>2014</v>
      </c>
      <c r="C300" s="67" t="s">
        <v>670</v>
      </c>
      <c r="D300" s="70" t="s">
        <v>671</v>
      </c>
      <c r="E300" s="64">
        <v>30266</v>
      </c>
      <c r="F300" s="64">
        <v>478754</v>
      </c>
      <c r="G300" s="65">
        <v>145594</v>
      </c>
      <c r="H300" s="48"/>
      <c r="I300" s="66"/>
      <c r="K300" s="59"/>
    </row>
    <row r="301" spans="1:11" ht="25.5" x14ac:dyDescent="0.2">
      <c r="A301" s="68">
        <v>41960</v>
      </c>
      <c r="B301" s="69">
        <v>2014</v>
      </c>
      <c r="C301" s="67" t="s">
        <v>672</v>
      </c>
      <c r="D301" s="70" t="s">
        <v>673</v>
      </c>
      <c r="E301" s="64">
        <v>5714</v>
      </c>
      <c r="F301" s="64">
        <v>65887</v>
      </c>
      <c r="G301" s="65">
        <v>31709</v>
      </c>
      <c r="H301" s="48"/>
      <c r="I301" s="66"/>
      <c r="K301" s="59"/>
    </row>
    <row r="302" spans="1:11" ht="25.5" x14ac:dyDescent="0.2">
      <c r="A302" s="68">
        <v>41960</v>
      </c>
      <c r="B302" s="69">
        <v>2014</v>
      </c>
      <c r="C302" s="67" t="s">
        <v>674</v>
      </c>
      <c r="D302" s="70" t="s">
        <v>675</v>
      </c>
      <c r="E302" s="64">
        <v>31362</v>
      </c>
      <c r="F302" s="64">
        <v>534346</v>
      </c>
      <c r="G302" s="65">
        <v>162739</v>
      </c>
      <c r="H302" s="48"/>
      <c r="I302" s="66"/>
      <c r="K302" s="59"/>
    </row>
    <row r="303" spans="1:11" ht="25.5" x14ac:dyDescent="0.2">
      <c r="A303" s="68">
        <v>41960</v>
      </c>
      <c r="B303" s="69">
        <v>2014</v>
      </c>
      <c r="C303" s="67" t="s">
        <v>676</v>
      </c>
      <c r="D303" s="70" t="s">
        <v>677</v>
      </c>
      <c r="E303" s="64">
        <v>7250</v>
      </c>
      <c r="F303" s="64">
        <v>81218</v>
      </c>
      <c r="G303" s="65">
        <v>40266</v>
      </c>
      <c r="H303" s="48"/>
      <c r="I303" s="66"/>
      <c r="K303" s="59"/>
    </row>
    <row r="304" spans="1:11" ht="25.5" x14ac:dyDescent="0.2">
      <c r="A304" s="68">
        <v>41960</v>
      </c>
      <c r="B304" s="69">
        <v>2014</v>
      </c>
      <c r="C304" s="67" t="s">
        <v>678</v>
      </c>
      <c r="D304" s="70" t="s">
        <v>679</v>
      </c>
      <c r="E304" s="64">
        <v>31838</v>
      </c>
      <c r="F304" s="64">
        <v>513000</v>
      </c>
      <c r="G304" s="65">
        <v>158220</v>
      </c>
      <c r="H304" s="48"/>
      <c r="I304" s="66"/>
      <c r="K304" s="59"/>
    </row>
    <row r="305" spans="1:11" ht="25.5" x14ac:dyDescent="0.2">
      <c r="A305" s="68">
        <v>41960</v>
      </c>
      <c r="B305" s="69">
        <v>2014</v>
      </c>
      <c r="C305" s="67" t="s">
        <v>680</v>
      </c>
      <c r="D305" s="70" t="s">
        <v>681</v>
      </c>
      <c r="E305" s="64">
        <v>62729</v>
      </c>
      <c r="F305" s="64">
        <v>1084933</v>
      </c>
      <c r="G305" s="65">
        <v>326912</v>
      </c>
      <c r="H305" s="48"/>
      <c r="I305" s="66"/>
      <c r="K305" s="59"/>
    </row>
    <row r="306" spans="1:11" ht="25.5" x14ac:dyDescent="0.2">
      <c r="A306" s="68">
        <v>41960</v>
      </c>
      <c r="B306" s="69">
        <v>2014</v>
      </c>
      <c r="C306" s="67" t="s">
        <v>682</v>
      </c>
      <c r="D306" s="70" t="s">
        <v>683</v>
      </c>
      <c r="E306" s="64">
        <v>79319</v>
      </c>
      <c r="F306" s="64">
        <v>1078750</v>
      </c>
      <c r="G306" s="65">
        <v>330645</v>
      </c>
      <c r="H306" s="48"/>
      <c r="I306" s="66"/>
      <c r="K306" s="59"/>
    </row>
    <row r="307" spans="1:11" ht="25.5" x14ac:dyDescent="0.2">
      <c r="A307" s="68">
        <v>41960</v>
      </c>
      <c r="B307" s="69">
        <v>2014</v>
      </c>
      <c r="C307" s="67" t="s">
        <v>684</v>
      </c>
      <c r="D307" s="70" t="s">
        <v>685</v>
      </c>
      <c r="E307" s="64">
        <v>62512</v>
      </c>
      <c r="F307" s="64">
        <v>796007</v>
      </c>
      <c r="G307" s="65">
        <v>243441</v>
      </c>
      <c r="H307" s="48"/>
      <c r="I307" s="66"/>
      <c r="K307" s="59"/>
    </row>
    <row r="308" spans="1:11" ht="27.75" customHeight="1" x14ac:dyDescent="0.2">
      <c r="A308" s="68">
        <v>41960</v>
      </c>
      <c r="B308" s="69">
        <v>2014</v>
      </c>
      <c r="C308" s="67" t="s">
        <v>686</v>
      </c>
      <c r="D308" s="70" t="s">
        <v>687</v>
      </c>
      <c r="E308" s="64">
        <v>84287</v>
      </c>
      <c r="F308" s="64">
        <v>1378638</v>
      </c>
      <c r="G308" s="65">
        <v>410763</v>
      </c>
      <c r="H308" s="48"/>
      <c r="I308" s="66"/>
      <c r="K308" s="59"/>
    </row>
    <row r="309" spans="1:11" x14ac:dyDescent="0.2">
      <c r="A309" s="68">
        <v>41960</v>
      </c>
      <c r="B309" s="69">
        <v>2014</v>
      </c>
      <c r="C309" s="67" t="s">
        <v>688</v>
      </c>
      <c r="D309" s="63" t="s">
        <v>689</v>
      </c>
      <c r="E309" s="64">
        <v>461458</v>
      </c>
      <c r="F309" s="64">
        <v>3000000</v>
      </c>
      <c r="G309" s="65">
        <v>2795281</v>
      </c>
      <c r="H309" s="48"/>
      <c r="I309" s="66"/>
      <c r="K309" s="59"/>
    </row>
    <row r="310" spans="1:11" x14ac:dyDescent="0.2">
      <c r="A310" s="68">
        <v>41983</v>
      </c>
      <c r="B310" s="69">
        <v>2014</v>
      </c>
      <c r="C310" s="67" t="s">
        <v>690</v>
      </c>
      <c r="D310" s="63" t="s">
        <v>284</v>
      </c>
      <c r="E310" s="64">
        <v>243299</v>
      </c>
      <c r="F310" s="64">
        <v>3000000</v>
      </c>
      <c r="G310" s="65">
        <v>1145065</v>
      </c>
      <c r="H310" s="48"/>
      <c r="I310" s="66"/>
      <c r="K310" s="59"/>
    </row>
    <row r="311" spans="1:11" x14ac:dyDescent="0.2">
      <c r="A311" s="68">
        <v>42018</v>
      </c>
      <c r="B311" s="69">
        <v>2015</v>
      </c>
      <c r="C311" s="67" t="s">
        <v>691</v>
      </c>
      <c r="D311" s="63" t="s">
        <v>692</v>
      </c>
      <c r="E311" s="64">
        <v>268789</v>
      </c>
      <c r="F311" s="64">
        <v>3000000</v>
      </c>
      <c r="G311" s="65">
        <v>2112291</v>
      </c>
      <c r="H311" s="48"/>
      <c r="I311" s="66"/>
      <c r="K311" s="59"/>
    </row>
    <row r="312" spans="1:11" x14ac:dyDescent="0.2">
      <c r="A312" s="68">
        <v>42018</v>
      </c>
      <c r="B312" s="69">
        <v>2015</v>
      </c>
      <c r="C312" s="67" t="s">
        <v>693</v>
      </c>
      <c r="D312" s="63" t="s">
        <v>694</v>
      </c>
      <c r="E312" s="64">
        <v>35672</v>
      </c>
      <c r="F312" s="64">
        <v>562000</v>
      </c>
      <c r="G312" s="65">
        <v>320690</v>
      </c>
      <c r="H312" s="48"/>
      <c r="I312" s="66"/>
      <c r="K312" s="59"/>
    </row>
    <row r="313" spans="1:11" x14ac:dyDescent="0.2">
      <c r="A313" s="68">
        <v>42060</v>
      </c>
      <c r="B313" s="69">
        <v>2015</v>
      </c>
      <c r="C313" s="67" t="s">
        <v>695</v>
      </c>
      <c r="D313" s="63" t="s">
        <v>696</v>
      </c>
      <c r="E313" s="64">
        <v>177388</v>
      </c>
      <c r="F313" s="64">
        <v>3000000</v>
      </c>
      <c r="G313" s="65">
        <v>1735397</v>
      </c>
      <c r="H313" s="48"/>
      <c r="I313" s="66"/>
      <c r="K313" s="59"/>
    </row>
    <row r="314" spans="1:11" x14ac:dyDescent="0.2">
      <c r="A314" s="68">
        <v>42074</v>
      </c>
      <c r="B314" s="69">
        <v>2015</v>
      </c>
      <c r="C314" s="67" t="s">
        <v>697</v>
      </c>
      <c r="D314" s="63" t="s">
        <v>90</v>
      </c>
      <c r="E314" s="64">
        <v>436920</v>
      </c>
      <c r="F314" s="64">
        <v>3000000</v>
      </c>
      <c r="G314" s="65">
        <v>2859000</v>
      </c>
      <c r="H314" s="48"/>
      <c r="I314" s="66"/>
      <c r="K314" s="59"/>
    </row>
    <row r="315" spans="1:11" x14ac:dyDescent="0.2">
      <c r="A315" s="68">
        <v>42102</v>
      </c>
      <c r="B315" s="69">
        <v>2015</v>
      </c>
      <c r="C315" s="67" t="s">
        <v>698</v>
      </c>
      <c r="D315" s="63" t="s">
        <v>699</v>
      </c>
      <c r="E315" s="64">
        <v>255407</v>
      </c>
      <c r="F315" s="64">
        <v>3000000</v>
      </c>
      <c r="G315" s="65">
        <v>1300000</v>
      </c>
      <c r="H315" s="48"/>
      <c r="I315" s="66"/>
      <c r="K315" s="59"/>
    </row>
    <row r="316" spans="1:11" x14ac:dyDescent="0.2">
      <c r="A316" s="68">
        <v>42102</v>
      </c>
      <c r="B316" s="69">
        <v>2015</v>
      </c>
      <c r="C316" s="67" t="s">
        <v>700</v>
      </c>
      <c r="D316" s="63" t="s">
        <v>701</v>
      </c>
      <c r="E316" s="64">
        <v>89992</v>
      </c>
      <c r="F316" s="64">
        <v>1799839</v>
      </c>
      <c r="G316" s="65">
        <v>596649</v>
      </c>
      <c r="H316" s="48"/>
      <c r="I316" s="66"/>
      <c r="K316" s="59"/>
    </row>
    <row r="317" spans="1:11" x14ac:dyDescent="0.2">
      <c r="A317" s="68">
        <v>42165</v>
      </c>
      <c r="B317" s="69">
        <v>2015</v>
      </c>
      <c r="C317" s="67" t="s">
        <v>702</v>
      </c>
      <c r="D317" s="63" t="s">
        <v>703</v>
      </c>
      <c r="E317" s="64">
        <v>220065</v>
      </c>
      <c r="F317" s="64">
        <v>3000000</v>
      </c>
      <c r="G317" s="65">
        <v>1124592</v>
      </c>
      <c r="H317" s="48"/>
      <c r="I317" s="66"/>
      <c r="K317" s="59"/>
    </row>
    <row r="318" spans="1:11" x14ac:dyDescent="0.2">
      <c r="A318" s="68">
        <v>42193</v>
      </c>
      <c r="B318" s="69">
        <v>2015</v>
      </c>
      <c r="C318" s="67" t="s">
        <v>704</v>
      </c>
      <c r="D318" s="63" t="s">
        <v>705</v>
      </c>
      <c r="E318" s="64">
        <v>104177</v>
      </c>
      <c r="F318" s="64">
        <v>2054469</v>
      </c>
      <c r="G318" s="65">
        <v>657258</v>
      </c>
      <c r="H318" s="48"/>
      <c r="I318" s="66"/>
      <c r="K318" s="59"/>
    </row>
    <row r="319" spans="1:11" x14ac:dyDescent="0.2">
      <c r="A319" s="68">
        <v>42193</v>
      </c>
      <c r="B319" s="69">
        <v>2015</v>
      </c>
      <c r="C319" s="67" t="s">
        <v>706</v>
      </c>
      <c r="D319" s="63" t="s">
        <v>649</v>
      </c>
      <c r="E319" s="64">
        <v>16420</v>
      </c>
      <c r="F319" s="64">
        <v>227475</v>
      </c>
      <c r="G319" s="65">
        <v>67000</v>
      </c>
      <c r="H319" s="48"/>
      <c r="I319" s="66"/>
      <c r="K319" s="59"/>
    </row>
    <row r="320" spans="1:11" x14ac:dyDescent="0.2">
      <c r="A320" s="68">
        <v>42228</v>
      </c>
      <c r="B320" s="69">
        <v>2015</v>
      </c>
      <c r="C320" s="67" t="s">
        <v>707</v>
      </c>
      <c r="D320" s="63" t="s">
        <v>708</v>
      </c>
      <c r="E320" s="64">
        <v>127063</v>
      </c>
      <c r="F320" s="64">
        <v>1788433</v>
      </c>
      <c r="G320" s="65">
        <v>749431</v>
      </c>
      <c r="H320" s="48"/>
      <c r="I320" s="66">
        <v>12045</v>
      </c>
      <c r="K320" s="59"/>
    </row>
    <row r="321" spans="1:11" x14ac:dyDescent="0.2">
      <c r="A321" s="68">
        <v>42228</v>
      </c>
      <c r="B321" s="69">
        <v>2015</v>
      </c>
      <c r="C321" s="67" t="s">
        <v>709</v>
      </c>
      <c r="D321" s="63" t="s">
        <v>710</v>
      </c>
      <c r="E321" s="64">
        <v>21300</v>
      </c>
      <c r="F321" s="64">
        <v>419520</v>
      </c>
      <c r="G321" s="65">
        <v>142000</v>
      </c>
      <c r="H321" s="48"/>
      <c r="I321" s="66"/>
      <c r="K321" s="59"/>
    </row>
    <row r="322" spans="1:11" x14ac:dyDescent="0.2">
      <c r="A322" s="68">
        <v>42256</v>
      </c>
      <c r="B322" s="69">
        <v>2015</v>
      </c>
      <c r="C322" s="67" t="s">
        <v>711</v>
      </c>
      <c r="D322" s="63" t="s">
        <v>712</v>
      </c>
      <c r="E322" s="64">
        <v>175288</v>
      </c>
      <c r="F322" s="64">
        <v>2000000</v>
      </c>
      <c r="G322" s="65">
        <v>917012</v>
      </c>
      <c r="H322" s="48"/>
      <c r="I322" s="66"/>
      <c r="K322" s="59"/>
    </row>
    <row r="323" spans="1:11" x14ac:dyDescent="0.2">
      <c r="A323" s="68">
        <v>42291</v>
      </c>
      <c r="B323" s="69">
        <v>2015</v>
      </c>
      <c r="C323" s="67" t="s">
        <v>639</v>
      </c>
      <c r="D323" s="63" t="s">
        <v>713</v>
      </c>
      <c r="E323" s="64">
        <v>181497</v>
      </c>
      <c r="F323" s="64">
        <v>2200000</v>
      </c>
      <c r="G323" s="65">
        <v>1150000</v>
      </c>
      <c r="H323" s="48"/>
      <c r="I323" s="66"/>
      <c r="K323" s="59"/>
    </row>
    <row r="324" spans="1:11" x14ac:dyDescent="0.2">
      <c r="A324" s="68">
        <v>42291</v>
      </c>
      <c r="B324" s="69">
        <v>2015</v>
      </c>
      <c r="C324" s="67" t="s">
        <v>714</v>
      </c>
      <c r="D324" s="63" t="s">
        <v>715</v>
      </c>
      <c r="E324" s="64">
        <v>22533</v>
      </c>
      <c r="F324" s="64">
        <v>146240</v>
      </c>
      <c r="G324" s="65">
        <v>89595</v>
      </c>
      <c r="H324" s="48"/>
      <c r="I324" s="66"/>
      <c r="K324" s="59"/>
    </row>
    <row r="325" spans="1:11" x14ac:dyDescent="0.2">
      <c r="A325" s="68">
        <v>42347</v>
      </c>
      <c r="B325" s="69">
        <v>2015</v>
      </c>
      <c r="C325" s="67" t="s">
        <v>716</v>
      </c>
      <c r="D325" s="63" t="s">
        <v>717</v>
      </c>
      <c r="E325" s="64">
        <v>271866</v>
      </c>
      <c r="F325" s="64">
        <v>2900767</v>
      </c>
      <c r="G325" s="65">
        <v>1857941</v>
      </c>
      <c r="H325" s="48"/>
      <c r="I325" s="66"/>
      <c r="K325" s="59"/>
    </row>
    <row r="326" spans="1:11" x14ac:dyDescent="0.2">
      <c r="A326" s="68">
        <v>42347</v>
      </c>
      <c r="B326" s="69">
        <v>2015</v>
      </c>
      <c r="C326" s="67" t="s">
        <v>718</v>
      </c>
      <c r="D326" s="63" t="s">
        <v>719</v>
      </c>
      <c r="E326" s="64">
        <v>302534</v>
      </c>
      <c r="F326" s="64">
        <v>2800000</v>
      </c>
      <c r="G326" s="65">
        <v>1357662</v>
      </c>
      <c r="H326" s="48"/>
      <c r="I326" s="66"/>
      <c r="K326" s="59"/>
    </row>
    <row r="327" spans="1:11" x14ac:dyDescent="0.2">
      <c r="A327" s="68">
        <v>42382</v>
      </c>
      <c r="B327" s="69">
        <v>2016</v>
      </c>
      <c r="C327" s="67" t="s">
        <v>720</v>
      </c>
      <c r="D327" s="63" t="s">
        <v>507</v>
      </c>
      <c r="E327" s="64">
        <v>225728</v>
      </c>
      <c r="F327" s="64">
        <v>3000000</v>
      </c>
      <c r="G327" s="65">
        <v>3021788</v>
      </c>
      <c r="H327" s="48"/>
      <c r="I327" s="66"/>
      <c r="K327" s="59"/>
    </row>
    <row r="328" spans="1:11" x14ac:dyDescent="0.2">
      <c r="A328" s="68">
        <v>42382</v>
      </c>
      <c r="B328" s="69">
        <v>2016</v>
      </c>
      <c r="C328" s="67" t="s">
        <v>721</v>
      </c>
      <c r="D328" s="63" t="s">
        <v>722</v>
      </c>
      <c r="E328" s="64">
        <v>290546</v>
      </c>
      <c r="F328" s="64">
        <v>3000000</v>
      </c>
      <c r="G328" s="65">
        <v>3514534</v>
      </c>
      <c r="H328" s="48"/>
      <c r="I328" s="66"/>
      <c r="K328" s="59"/>
    </row>
    <row r="329" spans="1:11" x14ac:dyDescent="0.2">
      <c r="A329" s="68">
        <v>42438</v>
      </c>
      <c r="B329" s="69">
        <v>2016</v>
      </c>
      <c r="C329" s="67" t="s">
        <v>723</v>
      </c>
      <c r="D329" s="63" t="s">
        <v>724</v>
      </c>
      <c r="E329" s="64">
        <v>79700</v>
      </c>
      <c r="F329" s="64">
        <v>1355000</v>
      </c>
      <c r="G329" s="65">
        <v>520400</v>
      </c>
      <c r="H329" s="48"/>
      <c r="I329" s="66"/>
      <c r="K329" s="59"/>
    </row>
    <row r="330" spans="1:11" x14ac:dyDescent="0.2">
      <c r="A330" s="68">
        <v>42438</v>
      </c>
      <c r="B330" s="69">
        <v>2016</v>
      </c>
      <c r="C330" s="67" t="s">
        <v>725</v>
      </c>
      <c r="D330" s="63" t="s">
        <v>726</v>
      </c>
      <c r="E330" s="64">
        <v>100005</v>
      </c>
      <c r="F330" s="64">
        <v>2000000</v>
      </c>
      <c r="G330" s="65">
        <v>745612</v>
      </c>
      <c r="H330" s="48"/>
      <c r="I330" s="66"/>
      <c r="K330" s="59"/>
    </row>
    <row r="331" spans="1:11" x14ac:dyDescent="0.2">
      <c r="A331" s="68">
        <v>42507</v>
      </c>
      <c r="B331" s="69">
        <v>2016</v>
      </c>
      <c r="C331" s="67" t="s">
        <v>727</v>
      </c>
      <c r="D331" s="63" t="s">
        <v>463</v>
      </c>
      <c r="E331" s="64">
        <v>200630</v>
      </c>
      <c r="F331" s="64">
        <v>3000000</v>
      </c>
      <c r="G331" s="71">
        <v>1009210</v>
      </c>
      <c r="H331" s="48"/>
      <c r="I331" s="66"/>
      <c r="K331" s="59"/>
    </row>
    <row r="332" spans="1:11" x14ac:dyDescent="0.2">
      <c r="A332" s="68">
        <v>42507</v>
      </c>
      <c r="B332" s="69">
        <v>2016</v>
      </c>
      <c r="C332" s="67" t="s">
        <v>728</v>
      </c>
      <c r="D332" s="63" t="s">
        <v>729</v>
      </c>
      <c r="E332" s="64">
        <v>175822</v>
      </c>
      <c r="F332" s="64">
        <v>2988974</v>
      </c>
      <c r="G332" s="71">
        <v>1713535</v>
      </c>
      <c r="H332" s="48"/>
      <c r="I332" s="66">
        <v>7779</v>
      </c>
      <c r="K332" s="59"/>
    </row>
    <row r="333" spans="1:11" x14ac:dyDescent="0.2">
      <c r="A333" s="68">
        <v>42564</v>
      </c>
      <c r="B333" s="69">
        <v>2016</v>
      </c>
      <c r="C333" s="67" t="s">
        <v>730</v>
      </c>
      <c r="D333" s="63" t="s">
        <v>252</v>
      </c>
      <c r="E333" s="64">
        <v>24165</v>
      </c>
      <c r="F333" s="64">
        <v>410805</v>
      </c>
      <c r="G333" s="71">
        <v>119316</v>
      </c>
      <c r="H333" s="48"/>
      <c r="I333" s="66"/>
      <c r="K333" s="59"/>
    </row>
    <row r="334" spans="1:11" x14ac:dyDescent="0.2">
      <c r="A334" s="68">
        <v>42564</v>
      </c>
      <c r="B334" s="69">
        <v>2016</v>
      </c>
      <c r="C334" s="67" t="s">
        <v>731</v>
      </c>
      <c r="D334" s="63" t="s">
        <v>732</v>
      </c>
      <c r="E334" s="64">
        <v>66420</v>
      </c>
      <c r="F334" s="64">
        <v>1000000</v>
      </c>
      <c r="G334" s="71">
        <v>526600</v>
      </c>
      <c r="H334" s="48"/>
      <c r="I334" s="66"/>
      <c r="K334" s="59"/>
    </row>
    <row r="335" spans="1:11" x14ac:dyDescent="0.2">
      <c r="A335" s="68">
        <v>42683</v>
      </c>
      <c r="B335" s="69">
        <v>2016</v>
      </c>
      <c r="C335" s="67" t="s">
        <v>733</v>
      </c>
      <c r="D335" s="63" t="s">
        <v>734</v>
      </c>
      <c r="E335" s="64">
        <v>47241</v>
      </c>
      <c r="F335" s="64">
        <v>708227</v>
      </c>
      <c r="G335" s="71">
        <v>375000</v>
      </c>
      <c r="H335" s="48"/>
      <c r="I335" s="66"/>
      <c r="K335" s="59"/>
    </row>
    <row r="336" spans="1:11" x14ac:dyDescent="0.2">
      <c r="A336" s="68">
        <v>42718</v>
      </c>
      <c r="B336" s="69">
        <v>2016</v>
      </c>
      <c r="C336" s="67" t="s">
        <v>735</v>
      </c>
      <c r="D336" s="63" t="s">
        <v>736</v>
      </c>
      <c r="E336" s="64">
        <v>8000</v>
      </c>
      <c r="F336" s="64">
        <v>136000</v>
      </c>
      <c r="G336" s="71">
        <v>46000</v>
      </c>
      <c r="H336" s="48"/>
      <c r="I336" s="66"/>
      <c r="K336" s="59"/>
    </row>
    <row r="337" spans="1:11" s="18" customFormat="1" x14ac:dyDescent="0.2">
      <c r="A337" s="17" t="s">
        <v>737</v>
      </c>
      <c r="B337" s="26">
        <f>COUNT(B12:B336)</f>
        <v>325</v>
      </c>
      <c r="E337" s="19">
        <f>SUM(E12:E336)</f>
        <v>38008641.734285712</v>
      </c>
      <c r="F337" s="19">
        <f>SUM(F12:F336)</f>
        <v>335096018</v>
      </c>
      <c r="G337" s="29">
        <f>SUM(G12:G336)</f>
        <v>354270054.57142854</v>
      </c>
      <c r="H337" s="29">
        <f>SUM(H12:H336)</f>
        <v>44249.19999999999</v>
      </c>
      <c r="I337" s="29">
        <f>SUM(I12:I336)</f>
        <v>249767.62142857138</v>
      </c>
      <c r="J337" s="29"/>
    </row>
    <row r="340" spans="1:11" x14ac:dyDescent="0.2">
      <c r="A340" s="72"/>
      <c r="G340" s="14"/>
      <c r="H340" s="14"/>
      <c r="I340" s="14"/>
      <c r="J340" s="14"/>
    </row>
    <row r="341" spans="1:11" x14ac:dyDescent="0.2">
      <c r="G341" s="14"/>
      <c r="H341" s="14"/>
      <c r="I341" s="14"/>
      <c r="J341" s="14"/>
      <c r="K341" s="14"/>
    </row>
    <row r="344" spans="1:11" x14ac:dyDescent="0.2">
      <c r="G344" s="14"/>
      <c r="H344" s="14"/>
      <c r="I344" s="14"/>
      <c r="J344" s="14"/>
    </row>
    <row r="345" spans="1:11" x14ac:dyDescent="0.2">
      <c r="C345" s="73"/>
      <c r="G345" s="14"/>
    </row>
    <row r="346" spans="1:11" x14ac:dyDescent="0.2">
      <c r="C346" s="73"/>
    </row>
    <row r="348" spans="1:11" x14ac:dyDescent="0.2">
      <c r="C348" s="73"/>
    </row>
    <row r="349" spans="1:11" x14ac:dyDescent="0.2">
      <c r="B349" s="74"/>
      <c r="C349" s="73"/>
    </row>
  </sheetData>
  <autoFilter ref="A11:I337"/>
  <mergeCells count="1">
    <mergeCell ref="A1:I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150"/>
  <sheetViews>
    <sheetView zoomScale="70" zoomScaleNormal="70" workbookViewId="0">
      <selection activeCell="R20" sqref="R20"/>
    </sheetView>
  </sheetViews>
  <sheetFormatPr defaultRowHeight="28.5" customHeight="1" x14ac:dyDescent="0.25"/>
  <cols>
    <col min="1" max="2" width="16.85546875" style="4" customWidth="1"/>
    <col min="3" max="3" width="13.85546875" style="4" customWidth="1"/>
    <col min="4" max="4" width="16.85546875" style="4" bestFit="1" customWidth="1"/>
    <col min="5" max="5" width="18.42578125" style="4" customWidth="1"/>
    <col min="6" max="7" width="24" style="4" customWidth="1"/>
    <col min="8" max="8" width="12" style="4" customWidth="1"/>
    <col min="9" max="9" width="73.5703125" style="4" customWidth="1"/>
    <col min="10" max="10" width="14.28515625" style="4" customWidth="1"/>
    <col min="11" max="11" width="11.7109375" style="4" bestFit="1" customWidth="1"/>
    <col min="12" max="12" width="14" style="4" bestFit="1" customWidth="1"/>
    <col min="13" max="13" width="12.7109375" style="4" customWidth="1"/>
    <col min="14" max="14" width="11.42578125" style="4" bestFit="1" customWidth="1"/>
    <col min="15" max="15" width="8.85546875" style="4"/>
    <col min="16" max="16" width="7.140625" style="4" customWidth="1"/>
    <col min="17" max="17" width="14.5703125" style="4" customWidth="1"/>
    <col min="18" max="54" width="16.140625" style="4" customWidth="1"/>
    <col min="55" max="258" width="8.85546875" style="4"/>
    <col min="259" max="260" width="9.140625" style="4" customWidth="1"/>
    <col min="261" max="261" width="13.85546875" style="4" customWidth="1"/>
    <col min="262" max="262" width="16.85546875" style="4" bestFit="1" customWidth="1"/>
    <col min="263" max="263" width="18.42578125" style="4" customWidth="1"/>
    <col min="264" max="264" width="9.140625" style="4" customWidth="1"/>
    <col min="265" max="265" width="12" style="4" customWidth="1"/>
    <col min="266" max="266" width="23.42578125" style="4" bestFit="1" customWidth="1"/>
    <col min="267" max="267" width="11" style="4" customWidth="1"/>
    <col min="268" max="268" width="11.7109375" style="4" bestFit="1" customWidth="1"/>
    <col min="269" max="269" width="14" style="4" bestFit="1" customWidth="1"/>
    <col min="270" max="270" width="12.7109375" style="4" bestFit="1" customWidth="1"/>
    <col min="271" max="271" width="11.42578125" style="4" bestFit="1" customWidth="1"/>
    <col min="272" max="514" width="8.85546875" style="4"/>
    <col min="515" max="516" width="9.140625" style="4" customWidth="1"/>
    <col min="517" max="517" width="13.85546875" style="4" customWidth="1"/>
    <col min="518" max="518" width="16.85546875" style="4" bestFit="1" customWidth="1"/>
    <col min="519" max="519" width="18.42578125" style="4" customWidth="1"/>
    <col min="520" max="520" width="9.140625" style="4" customWidth="1"/>
    <col min="521" max="521" width="12" style="4" customWidth="1"/>
    <col min="522" max="522" width="23.42578125" style="4" bestFit="1" customWidth="1"/>
    <col min="523" max="523" width="11" style="4" customWidth="1"/>
    <col min="524" max="524" width="11.7109375" style="4" bestFit="1" customWidth="1"/>
    <col min="525" max="525" width="14" style="4" bestFit="1" customWidth="1"/>
    <col min="526" max="526" width="12.7109375" style="4" bestFit="1" customWidth="1"/>
    <col min="527" max="527" width="11.42578125" style="4" bestFit="1" customWidth="1"/>
    <col min="528" max="770" width="8.85546875" style="4"/>
    <col min="771" max="772" width="9.140625" style="4" customWidth="1"/>
    <col min="773" max="773" width="13.85546875" style="4" customWidth="1"/>
    <col min="774" max="774" width="16.85546875" style="4" bestFit="1" customWidth="1"/>
    <col min="775" max="775" width="18.42578125" style="4" customWidth="1"/>
    <col min="776" max="776" width="9.140625" style="4" customWidth="1"/>
    <col min="777" max="777" width="12" style="4" customWidth="1"/>
    <col min="778" max="778" width="23.42578125" style="4" bestFit="1" customWidth="1"/>
    <col min="779" max="779" width="11" style="4" customWidth="1"/>
    <col min="780" max="780" width="11.7109375" style="4" bestFit="1" customWidth="1"/>
    <col min="781" max="781" width="14" style="4" bestFit="1" customWidth="1"/>
    <col min="782" max="782" width="12.7109375" style="4" bestFit="1" customWidth="1"/>
    <col min="783" max="783" width="11.42578125" style="4" bestFit="1" customWidth="1"/>
    <col min="784" max="1026" width="8.85546875" style="4"/>
    <col min="1027" max="1028" width="9.140625" style="4" customWidth="1"/>
    <col min="1029" max="1029" width="13.85546875" style="4" customWidth="1"/>
    <col min="1030" max="1030" width="16.85546875" style="4" bestFit="1" customWidth="1"/>
    <col min="1031" max="1031" width="18.42578125" style="4" customWidth="1"/>
    <col min="1032" max="1032" width="9.140625" style="4" customWidth="1"/>
    <col min="1033" max="1033" width="12" style="4" customWidth="1"/>
    <col min="1034" max="1034" width="23.42578125" style="4" bestFit="1" customWidth="1"/>
    <col min="1035" max="1035" width="11" style="4" customWidth="1"/>
    <col min="1036" max="1036" width="11.7109375" style="4" bestFit="1" customWidth="1"/>
    <col min="1037" max="1037" width="14" style="4" bestFit="1" customWidth="1"/>
    <col min="1038" max="1038" width="12.7109375" style="4" bestFit="1" customWidth="1"/>
    <col min="1039" max="1039" width="11.42578125" style="4" bestFit="1" customWidth="1"/>
    <col min="1040" max="1282" width="8.85546875" style="4"/>
    <col min="1283" max="1284" width="9.140625" style="4" customWidth="1"/>
    <col min="1285" max="1285" width="13.85546875" style="4" customWidth="1"/>
    <col min="1286" max="1286" width="16.85546875" style="4" bestFit="1" customWidth="1"/>
    <col min="1287" max="1287" width="18.42578125" style="4" customWidth="1"/>
    <col min="1288" max="1288" width="9.140625" style="4" customWidth="1"/>
    <col min="1289" max="1289" width="12" style="4" customWidth="1"/>
    <col min="1290" max="1290" width="23.42578125" style="4" bestFit="1" customWidth="1"/>
    <col min="1291" max="1291" width="11" style="4" customWidth="1"/>
    <col min="1292" max="1292" width="11.7109375" style="4" bestFit="1" customWidth="1"/>
    <col min="1293" max="1293" width="14" style="4" bestFit="1" customWidth="1"/>
    <col min="1294" max="1294" width="12.7109375" style="4" bestFit="1" customWidth="1"/>
    <col min="1295" max="1295" width="11.42578125" style="4" bestFit="1" customWidth="1"/>
    <col min="1296" max="1538" width="8.85546875" style="4"/>
    <col min="1539" max="1540" width="9.140625" style="4" customWidth="1"/>
    <col min="1541" max="1541" width="13.85546875" style="4" customWidth="1"/>
    <col min="1542" max="1542" width="16.85546875" style="4" bestFit="1" customWidth="1"/>
    <col min="1543" max="1543" width="18.42578125" style="4" customWidth="1"/>
    <col min="1544" max="1544" width="9.140625" style="4" customWidth="1"/>
    <col min="1545" max="1545" width="12" style="4" customWidth="1"/>
    <col min="1546" max="1546" width="23.42578125" style="4" bestFit="1" customWidth="1"/>
    <col min="1547" max="1547" width="11" style="4" customWidth="1"/>
    <col min="1548" max="1548" width="11.7109375" style="4" bestFit="1" customWidth="1"/>
    <col min="1549" max="1549" width="14" style="4" bestFit="1" customWidth="1"/>
    <col min="1550" max="1550" width="12.7109375" style="4" bestFit="1" customWidth="1"/>
    <col min="1551" max="1551" width="11.42578125" style="4" bestFit="1" customWidth="1"/>
    <col min="1552" max="1794" width="8.85546875" style="4"/>
    <col min="1795" max="1796" width="9.140625" style="4" customWidth="1"/>
    <col min="1797" max="1797" width="13.85546875" style="4" customWidth="1"/>
    <col min="1798" max="1798" width="16.85546875" style="4" bestFit="1" customWidth="1"/>
    <col min="1799" max="1799" width="18.42578125" style="4" customWidth="1"/>
    <col min="1800" max="1800" width="9.140625" style="4" customWidth="1"/>
    <col min="1801" max="1801" width="12" style="4" customWidth="1"/>
    <col min="1802" max="1802" width="23.42578125" style="4" bestFit="1" customWidth="1"/>
    <col min="1803" max="1803" width="11" style="4" customWidth="1"/>
    <col min="1804" max="1804" width="11.7109375" style="4" bestFit="1" customWidth="1"/>
    <col min="1805" max="1805" width="14" style="4" bestFit="1" customWidth="1"/>
    <col min="1806" max="1806" width="12.7109375" style="4" bestFit="1" customWidth="1"/>
    <col min="1807" max="1807" width="11.42578125" style="4" bestFit="1" customWidth="1"/>
    <col min="1808" max="2050" width="8.85546875" style="4"/>
    <col min="2051" max="2052" width="9.140625" style="4" customWidth="1"/>
    <col min="2053" max="2053" width="13.85546875" style="4" customWidth="1"/>
    <col min="2054" max="2054" width="16.85546875" style="4" bestFit="1" customWidth="1"/>
    <col min="2055" max="2055" width="18.42578125" style="4" customWidth="1"/>
    <col min="2056" max="2056" width="9.140625" style="4" customWidth="1"/>
    <col min="2057" max="2057" width="12" style="4" customWidth="1"/>
    <col min="2058" max="2058" width="23.42578125" style="4" bestFit="1" customWidth="1"/>
    <col min="2059" max="2059" width="11" style="4" customWidth="1"/>
    <col min="2060" max="2060" width="11.7109375" style="4" bestFit="1" customWidth="1"/>
    <col min="2061" max="2061" width="14" style="4" bestFit="1" customWidth="1"/>
    <col min="2062" max="2062" width="12.7109375" style="4" bestFit="1" customWidth="1"/>
    <col min="2063" max="2063" width="11.42578125" style="4" bestFit="1" customWidth="1"/>
    <col min="2064" max="2306" width="8.85546875" style="4"/>
    <col min="2307" max="2308" width="9.140625" style="4" customWidth="1"/>
    <col min="2309" max="2309" width="13.85546875" style="4" customWidth="1"/>
    <col min="2310" max="2310" width="16.85546875" style="4" bestFit="1" customWidth="1"/>
    <col min="2311" max="2311" width="18.42578125" style="4" customWidth="1"/>
    <col min="2312" max="2312" width="9.140625" style="4" customWidth="1"/>
    <col min="2313" max="2313" width="12" style="4" customWidth="1"/>
    <col min="2314" max="2314" width="23.42578125" style="4" bestFit="1" customWidth="1"/>
    <col min="2315" max="2315" width="11" style="4" customWidth="1"/>
    <col min="2316" max="2316" width="11.7109375" style="4" bestFit="1" customWidth="1"/>
    <col min="2317" max="2317" width="14" style="4" bestFit="1" customWidth="1"/>
    <col min="2318" max="2318" width="12.7109375" style="4" bestFit="1" customWidth="1"/>
    <col min="2319" max="2319" width="11.42578125" style="4" bestFit="1" customWidth="1"/>
    <col min="2320" max="2562" width="8.85546875" style="4"/>
    <col min="2563" max="2564" width="9.140625" style="4" customWidth="1"/>
    <col min="2565" max="2565" width="13.85546875" style="4" customWidth="1"/>
    <col min="2566" max="2566" width="16.85546875" style="4" bestFit="1" customWidth="1"/>
    <col min="2567" max="2567" width="18.42578125" style="4" customWidth="1"/>
    <col min="2568" max="2568" width="9.140625" style="4" customWidth="1"/>
    <col min="2569" max="2569" width="12" style="4" customWidth="1"/>
    <col min="2570" max="2570" width="23.42578125" style="4" bestFit="1" customWidth="1"/>
    <col min="2571" max="2571" width="11" style="4" customWidth="1"/>
    <col min="2572" max="2572" width="11.7109375" style="4" bestFit="1" customWidth="1"/>
    <col min="2573" max="2573" width="14" style="4" bestFit="1" customWidth="1"/>
    <col min="2574" max="2574" width="12.7109375" style="4" bestFit="1" customWidth="1"/>
    <col min="2575" max="2575" width="11.42578125" style="4" bestFit="1" customWidth="1"/>
    <col min="2576" max="2818" width="8.85546875" style="4"/>
    <col min="2819" max="2820" width="9.140625" style="4" customWidth="1"/>
    <col min="2821" max="2821" width="13.85546875" style="4" customWidth="1"/>
    <col min="2822" max="2822" width="16.85546875" style="4" bestFit="1" customWidth="1"/>
    <col min="2823" max="2823" width="18.42578125" style="4" customWidth="1"/>
    <col min="2824" max="2824" width="9.140625" style="4" customWidth="1"/>
    <col min="2825" max="2825" width="12" style="4" customWidth="1"/>
    <col min="2826" max="2826" width="23.42578125" style="4" bestFit="1" customWidth="1"/>
    <col min="2827" max="2827" width="11" style="4" customWidth="1"/>
    <col min="2828" max="2828" width="11.7109375" style="4" bestFit="1" customWidth="1"/>
    <col min="2829" max="2829" width="14" style="4" bestFit="1" customWidth="1"/>
    <col min="2830" max="2830" width="12.7109375" style="4" bestFit="1" customWidth="1"/>
    <col min="2831" max="2831" width="11.42578125" style="4" bestFit="1" customWidth="1"/>
    <col min="2832" max="3074" width="8.85546875" style="4"/>
    <col min="3075" max="3076" width="9.140625" style="4" customWidth="1"/>
    <col min="3077" max="3077" width="13.85546875" style="4" customWidth="1"/>
    <col min="3078" max="3078" width="16.85546875" style="4" bestFit="1" customWidth="1"/>
    <col min="3079" max="3079" width="18.42578125" style="4" customWidth="1"/>
    <col min="3080" max="3080" width="9.140625" style="4" customWidth="1"/>
    <col min="3081" max="3081" width="12" style="4" customWidth="1"/>
    <col min="3082" max="3082" width="23.42578125" style="4" bestFit="1" customWidth="1"/>
    <col min="3083" max="3083" width="11" style="4" customWidth="1"/>
    <col min="3084" max="3084" width="11.7109375" style="4" bestFit="1" customWidth="1"/>
    <col min="3085" max="3085" width="14" style="4" bestFit="1" customWidth="1"/>
    <col min="3086" max="3086" width="12.7109375" style="4" bestFit="1" customWidth="1"/>
    <col min="3087" max="3087" width="11.42578125" style="4" bestFit="1" customWidth="1"/>
    <col min="3088" max="3330" width="8.85546875" style="4"/>
    <col min="3331" max="3332" width="9.140625" style="4" customWidth="1"/>
    <col min="3333" max="3333" width="13.85546875" style="4" customWidth="1"/>
    <col min="3334" max="3334" width="16.85546875" style="4" bestFit="1" customWidth="1"/>
    <col min="3335" max="3335" width="18.42578125" style="4" customWidth="1"/>
    <col min="3336" max="3336" width="9.140625" style="4" customWidth="1"/>
    <col min="3337" max="3337" width="12" style="4" customWidth="1"/>
    <col min="3338" max="3338" width="23.42578125" style="4" bestFit="1" customWidth="1"/>
    <col min="3339" max="3339" width="11" style="4" customWidth="1"/>
    <col min="3340" max="3340" width="11.7109375" style="4" bestFit="1" customWidth="1"/>
    <col min="3341" max="3341" width="14" style="4" bestFit="1" customWidth="1"/>
    <col min="3342" max="3342" width="12.7109375" style="4" bestFit="1" customWidth="1"/>
    <col min="3343" max="3343" width="11.42578125" style="4" bestFit="1" customWidth="1"/>
    <col min="3344" max="3586" width="8.85546875" style="4"/>
    <col min="3587" max="3588" width="9.140625" style="4" customWidth="1"/>
    <col min="3589" max="3589" width="13.85546875" style="4" customWidth="1"/>
    <col min="3590" max="3590" width="16.85546875" style="4" bestFit="1" customWidth="1"/>
    <col min="3591" max="3591" width="18.42578125" style="4" customWidth="1"/>
    <col min="3592" max="3592" width="9.140625" style="4" customWidth="1"/>
    <col min="3593" max="3593" width="12" style="4" customWidth="1"/>
    <col min="3594" max="3594" width="23.42578125" style="4" bestFit="1" customWidth="1"/>
    <col min="3595" max="3595" width="11" style="4" customWidth="1"/>
    <col min="3596" max="3596" width="11.7109375" style="4" bestFit="1" customWidth="1"/>
    <col min="3597" max="3597" width="14" style="4" bestFit="1" customWidth="1"/>
    <col min="3598" max="3598" width="12.7109375" style="4" bestFit="1" customWidth="1"/>
    <col min="3599" max="3599" width="11.42578125" style="4" bestFit="1" customWidth="1"/>
    <col min="3600" max="3842" width="8.85546875" style="4"/>
    <col min="3843" max="3844" width="9.140625" style="4" customWidth="1"/>
    <col min="3845" max="3845" width="13.85546875" style="4" customWidth="1"/>
    <col min="3846" max="3846" width="16.85546875" style="4" bestFit="1" customWidth="1"/>
    <col min="3847" max="3847" width="18.42578125" style="4" customWidth="1"/>
    <col min="3848" max="3848" width="9.140625" style="4" customWidth="1"/>
    <col min="3849" max="3849" width="12" style="4" customWidth="1"/>
    <col min="3850" max="3850" width="23.42578125" style="4" bestFit="1" customWidth="1"/>
    <col min="3851" max="3851" width="11" style="4" customWidth="1"/>
    <col min="3852" max="3852" width="11.7109375" style="4" bestFit="1" customWidth="1"/>
    <col min="3853" max="3853" width="14" style="4" bestFit="1" customWidth="1"/>
    <col min="3854" max="3854" width="12.7109375" style="4" bestFit="1" customWidth="1"/>
    <col min="3855" max="3855" width="11.42578125" style="4" bestFit="1" customWidth="1"/>
    <col min="3856" max="4098" width="8.85546875" style="4"/>
    <col min="4099" max="4100" width="9.140625" style="4" customWidth="1"/>
    <col min="4101" max="4101" width="13.85546875" style="4" customWidth="1"/>
    <col min="4102" max="4102" width="16.85546875" style="4" bestFit="1" customWidth="1"/>
    <col min="4103" max="4103" width="18.42578125" style="4" customWidth="1"/>
    <col min="4104" max="4104" width="9.140625" style="4" customWidth="1"/>
    <col min="4105" max="4105" width="12" style="4" customWidth="1"/>
    <col min="4106" max="4106" width="23.42578125" style="4" bestFit="1" customWidth="1"/>
    <col min="4107" max="4107" width="11" style="4" customWidth="1"/>
    <col min="4108" max="4108" width="11.7109375" style="4" bestFit="1" customWidth="1"/>
    <col min="4109" max="4109" width="14" style="4" bestFit="1" customWidth="1"/>
    <col min="4110" max="4110" width="12.7109375" style="4" bestFit="1" customWidth="1"/>
    <col min="4111" max="4111" width="11.42578125" style="4" bestFit="1" customWidth="1"/>
    <col min="4112" max="4354" width="8.85546875" style="4"/>
    <col min="4355" max="4356" width="9.140625" style="4" customWidth="1"/>
    <col min="4357" max="4357" width="13.85546875" style="4" customWidth="1"/>
    <col min="4358" max="4358" width="16.85546875" style="4" bestFit="1" customWidth="1"/>
    <col min="4359" max="4359" width="18.42578125" style="4" customWidth="1"/>
    <col min="4360" max="4360" width="9.140625" style="4" customWidth="1"/>
    <col min="4361" max="4361" width="12" style="4" customWidth="1"/>
    <col min="4362" max="4362" width="23.42578125" style="4" bestFit="1" customWidth="1"/>
    <col min="4363" max="4363" width="11" style="4" customWidth="1"/>
    <col min="4364" max="4364" width="11.7109375" style="4" bestFit="1" customWidth="1"/>
    <col min="4365" max="4365" width="14" style="4" bestFit="1" customWidth="1"/>
    <col min="4366" max="4366" width="12.7109375" style="4" bestFit="1" customWidth="1"/>
    <col min="4367" max="4367" width="11.42578125" style="4" bestFit="1" customWidth="1"/>
    <col min="4368" max="4610" width="8.85546875" style="4"/>
    <col min="4611" max="4612" width="9.140625" style="4" customWidth="1"/>
    <col min="4613" max="4613" width="13.85546875" style="4" customWidth="1"/>
    <col min="4614" max="4614" width="16.85546875" style="4" bestFit="1" customWidth="1"/>
    <col min="4615" max="4615" width="18.42578125" style="4" customWidth="1"/>
    <col min="4616" max="4616" width="9.140625" style="4" customWidth="1"/>
    <col min="4617" max="4617" width="12" style="4" customWidth="1"/>
    <col min="4618" max="4618" width="23.42578125" style="4" bestFit="1" customWidth="1"/>
    <col min="4619" max="4619" width="11" style="4" customWidth="1"/>
    <col min="4620" max="4620" width="11.7109375" style="4" bestFit="1" customWidth="1"/>
    <col min="4621" max="4621" width="14" style="4" bestFit="1" customWidth="1"/>
    <col min="4622" max="4622" width="12.7109375" style="4" bestFit="1" customWidth="1"/>
    <col min="4623" max="4623" width="11.42578125" style="4" bestFit="1" customWidth="1"/>
    <col min="4624" max="4866" width="8.85546875" style="4"/>
    <col min="4867" max="4868" width="9.140625" style="4" customWidth="1"/>
    <col min="4869" max="4869" width="13.85546875" style="4" customWidth="1"/>
    <col min="4870" max="4870" width="16.85546875" style="4" bestFit="1" customWidth="1"/>
    <col min="4871" max="4871" width="18.42578125" style="4" customWidth="1"/>
    <col min="4872" max="4872" width="9.140625" style="4" customWidth="1"/>
    <col min="4873" max="4873" width="12" style="4" customWidth="1"/>
    <col min="4874" max="4874" width="23.42578125" style="4" bestFit="1" customWidth="1"/>
    <col min="4875" max="4875" width="11" style="4" customWidth="1"/>
    <col min="4876" max="4876" width="11.7109375" style="4" bestFit="1" customWidth="1"/>
    <col min="4877" max="4877" width="14" style="4" bestFit="1" customWidth="1"/>
    <col min="4878" max="4878" width="12.7109375" style="4" bestFit="1" customWidth="1"/>
    <col min="4879" max="4879" width="11.42578125" style="4" bestFit="1" customWidth="1"/>
    <col min="4880" max="5122" width="8.85546875" style="4"/>
    <col min="5123" max="5124" width="9.140625" style="4" customWidth="1"/>
    <col min="5125" max="5125" width="13.85546875" style="4" customWidth="1"/>
    <col min="5126" max="5126" width="16.85546875" style="4" bestFit="1" customWidth="1"/>
    <col min="5127" max="5127" width="18.42578125" style="4" customWidth="1"/>
    <col min="5128" max="5128" width="9.140625" style="4" customWidth="1"/>
    <col min="5129" max="5129" width="12" style="4" customWidth="1"/>
    <col min="5130" max="5130" width="23.42578125" style="4" bestFit="1" customWidth="1"/>
    <col min="5131" max="5131" width="11" style="4" customWidth="1"/>
    <col min="5132" max="5132" width="11.7109375" style="4" bestFit="1" customWidth="1"/>
    <col min="5133" max="5133" width="14" style="4" bestFit="1" customWidth="1"/>
    <col min="5134" max="5134" width="12.7109375" style="4" bestFit="1" customWidth="1"/>
    <col min="5135" max="5135" width="11.42578125" style="4" bestFit="1" customWidth="1"/>
    <col min="5136" max="5378" width="8.85546875" style="4"/>
    <col min="5379" max="5380" width="9.140625" style="4" customWidth="1"/>
    <col min="5381" max="5381" width="13.85546875" style="4" customWidth="1"/>
    <col min="5382" max="5382" width="16.85546875" style="4" bestFit="1" customWidth="1"/>
    <col min="5383" max="5383" width="18.42578125" style="4" customWidth="1"/>
    <col min="5384" max="5384" width="9.140625" style="4" customWidth="1"/>
    <col min="5385" max="5385" width="12" style="4" customWidth="1"/>
    <col min="5386" max="5386" width="23.42578125" style="4" bestFit="1" customWidth="1"/>
    <col min="5387" max="5387" width="11" style="4" customWidth="1"/>
    <col min="5388" max="5388" width="11.7109375" style="4" bestFit="1" customWidth="1"/>
    <col min="5389" max="5389" width="14" style="4" bestFit="1" customWidth="1"/>
    <col min="5390" max="5390" width="12.7109375" style="4" bestFit="1" customWidth="1"/>
    <col min="5391" max="5391" width="11.42578125" style="4" bestFit="1" customWidth="1"/>
    <col min="5392" max="5634" width="8.85546875" style="4"/>
    <col min="5635" max="5636" width="9.140625" style="4" customWidth="1"/>
    <col min="5637" max="5637" width="13.85546875" style="4" customWidth="1"/>
    <col min="5638" max="5638" width="16.85546875" style="4" bestFit="1" customWidth="1"/>
    <col min="5639" max="5639" width="18.42578125" style="4" customWidth="1"/>
    <col min="5640" max="5640" width="9.140625" style="4" customWidth="1"/>
    <col min="5641" max="5641" width="12" style="4" customWidth="1"/>
    <col min="5642" max="5642" width="23.42578125" style="4" bestFit="1" customWidth="1"/>
    <col min="5643" max="5643" width="11" style="4" customWidth="1"/>
    <col min="5644" max="5644" width="11.7109375" style="4" bestFit="1" customWidth="1"/>
    <col min="5645" max="5645" width="14" style="4" bestFit="1" customWidth="1"/>
    <col min="5646" max="5646" width="12.7109375" style="4" bestFit="1" customWidth="1"/>
    <col min="5647" max="5647" width="11.42578125" style="4" bestFit="1" customWidth="1"/>
    <col min="5648" max="5890" width="8.85546875" style="4"/>
    <col min="5891" max="5892" width="9.140625" style="4" customWidth="1"/>
    <col min="5893" max="5893" width="13.85546875" style="4" customWidth="1"/>
    <col min="5894" max="5894" width="16.85546875" style="4" bestFit="1" customWidth="1"/>
    <col min="5895" max="5895" width="18.42578125" style="4" customWidth="1"/>
    <col min="5896" max="5896" width="9.140625" style="4" customWidth="1"/>
    <col min="5897" max="5897" width="12" style="4" customWidth="1"/>
    <col min="5898" max="5898" width="23.42578125" style="4" bestFit="1" customWidth="1"/>
    <col min="5899" max="5899" width="11" style="4" customWidth="1"/>
    <col min="5900" max="5900" width="11.7109375" style="4" bestFit="1" customWidth="1"/>
    <col min="5901" max="5901" width="14" style="4" bestFit="1" customWidth="1"/>
    <col min="5902" max="5902" width="12.7109375" style="4" bestFit="1" customWidth="1"/>
    <col min="5903" max="5903" width="11.42578125" style="4" bestFit="1" customWidth="1"/>
    <col min="5904" max="6146" width="8.85546875" style="4"/>
    <col min="6147" max="6148" width="9.140625" style="4" customWidth="1"/>
    <col min="6149" max="6149" width="13.85546875" style="4" customWidth="1"/>
    <col min="6150" max="6150" width="16.85546875" style="4" bestFit="1" customWidth="1"/>
    <col min="6151" max="6151" width="18.42578125" style="4" customWidth="1"/>
    <col min="6152" max="6152" width="9.140625" style="4" customWidth="1"/>
    <col min="6153" max="6153" width="12" style="4" customWidth="1"/>
    <col min="6154" max="6154" width="23.42578125" style="4" bestFit="1" customWidth="1"/>
    <col min="6155" max="6155" width="11" style="4" customWidth="1"/>
    <col min="6156" max="6156" width="11.7109375" style="4" bestFit="1" customWidth="1"/>
    <col min="6157" max="6157" width="14" style="4" bestFit="1" customWidth="1"/>
    <col min="6158" max="6158" width="12.7109375" style="4" bestFit="1" customWidth="1"/>
    <col min="6159" max="6159" width="11.42578125" style="4" bestFit="1" customWidth="1"/>
    <col min="6160" max="6402" width="8.85546875" style="4"/>
    <col min="6403" max="6404" width="9.140625" style="4" customWidth="1"/>
    <col min="6405" max="6405" width="13.85546875" style="4" customWidth="1"/>
    <col min="6406" max="6406" width="16.85546875" style="4" bestFit="1" customWidth="1"/>
    <col min="6407" max="6407" width="18.42578125" style="4" customWidth="1"/>
    <col min="6408" max="6408" width="9.140625" style="4" customWidth="1"/>
    <col min="6409" max="6409" width="12" style="4" customWidth="1"/>
    <col min="6410" max="6410" width="23.42578125" style="4" bestFit="1" customWidth="1"/>
    <col min="6411" max="6411" width="11" style="4" customWidth="1"/>
    <col min="6412" max="6412" width="11.7109375" style="4" bestFit="1" customWidth="1"/>
    <col min="6413" max="6413" width="14" style="4" bestFit="1" customWidth="1"/>
    <col min="6414" max="6414" width="12.7109375" style="4" bestFit="1" customWidth="1"/>
    <col min="6415" max="6415" width="11.42578125" style="4" bestFit="1" customWidth="1"/>
    <col min="6416" max="6658" width="8.85546875" style="4"/>
    <col min="6659" max="6660" width="9.140625" style="4" customWidth="1"/>
    <col min="6661" max="6661" width="13.85546875" style="4" customWidth="1"/>
    <col min="6662" max="6662" width="16.85546875" style="4" bestFit="1" customWidth="1"/>
    <col min="6663" max="6663" width="18.42578125" style="4" customWidth="1"/>
    <col min="6664" max="6664" width="9.140625" style="4" customWidth="1"/>
    <col min="6665" max="6665" width="12" style="4" customWidth="1"/>
    <col min="6666" max="6666" width="23.42578125" style="4" bestFit="1" customWidth="1"/>
    <col min="6667" max="6667" width="11" style="4" customWidth="1"/>
    <col min="6668" max="6668" width="11.7109375" style="4" bestFit="1" customWidth="1"/>
    <col min="6669" max="6669" width="14" style="4" bestFit="1" customWidth="1"/>
    <col min="6670" max="6670" width="12.7109375" style="4" bestFit="1" customWidth="1"/>
    <col min="6671" max="6671" width="11.42578125" style="4" bestFit="1" customWidth="1"/>
    <col min="6672" max="6914" width="8.85546875" style="4"/>
    <col min="6915" max="6916" width="9.140625" style="4" customWidth="1"/>
    <col min="6917" max="6917" width="13.85546875" style="4" customWidth="1"/>
    <col min="6918" max="6918" width="16.85546875" style="4" bestFit="1" customWidth="1"/>
    <col min="6919" max="6919" width="18.42578125" style="4" customWidth="1"/>
    <col min="6920" max="6920" width="9.140625" style="4" customWidth="1"/>
    <col min="6921" max="6921" width="12" style="4" customWidth="1"/>
    <col min="6922" max="6922" width="23.42578125" style="4" bestFit="1" customWidth="1"/>
    <col min="6923" max="6923" width="11" style="4" customWidth="1"/>
    <col min="6924" max="6924" width="11.7109375" style="4" bestFit="1" customWidth="1"/>
    <col min="6925" max="6925" width="14" style="4" bestFit="1" customWidth="1"/>
    <col min="6926" max="6926" width="12.7109375" style="4" bestFit="1" customWidth="1"/>
    <col min="6927" max="6927" width="11.42578125" style="4" bestFit="1" customWidth="1"/>
    <col min="6928" max="7170" width="8.85546875" style="4"/>
    <col min="7171" max="7172" width="9.140625" style="4" customWidth="1"/>
    <col min="7173" max="7173" width="13.85546875" style="4" customWidth="1"/>
    <col min="7174" max="7174" width="16.85546875" style="4" bestFit="1" customWidth="1"/>
    <col min="7175" max="7175" width="18.42578125" style="4" customWidth="1"/>
    <col min="7176" max="7176" width="9.140625" style="4" customWidth="1"/>
    <col min="7177" max="7177" width="12" style="4" customWidth="1"/>
    <col min="7178" max="7178" width="23.42578125" style="4" bestFit="1" customWidth="1"/>
    <col min="7179" max="7179" width="11" style="4" customWidth="1"/>
    <col min="7180" max="7180" width="11.7109375" style="4" bestFit="1" customWidth="1"/>
    <col min="7181" max="7181" width="14" style="4" bestFit="1" customWidth="1"/>
    <col min="7182" max="7182" width="12.7109375" style="4" bestFit="1" customWidth="1"/>
    <col min="7183" max="7183" width="11.42578125" style="4" bestFit="1" customWidth="1"/>
    <col min="7184" max="7426" width="8.85546875" style="4"/>
    <col min="7427" max="7428" width="9.140625" style="4" customWidth="1"/>
    <col min="7429" max="7429" width="13.85546875" style="4" customWidth="1"/>
    <col min="7430" max="7430" width="16.85546875" style="4" bestFit="1" customWidth="1"/>
    <col min="7431" max="7431" width="18.42578125" style="4" customWidth="1"/>
    <col min="7432" max="7432" width="9.140625" style="4" customWidth="1"/>
    <col min="7433" max="7433" width="12" style="4" customWidth="1"/>
    <col min="7434" max="7434" width="23.42578125" style="4" bestFit="1" customWidth="1"/>
    <col min="7435" max="7435" width="11" style="4" customWidth="1"/>
    <col min="7436" max="7436" width="11.7109375" style="4" bestFit="1" customWidth="1"/>
    <col min="7437" max="7437" width="14" style="4" bestFit="1" customWidth="1"/>
    <col min="7438" max="7438" width="12.7109375" style="4" bestFit="1" customWidth="1"/>
    <col min="7439" max="7439" width="11.42578125" style="4" bestFit="1" customWidth="1"/>
    <col min="7440" max="7682" width="8.85546875" style="4"/>
    <col min="7683" max="7684" width="9.140625" style="4" customWidth="1"/>
    <col min="7685" max="7685" width="13.85546875" style="4" customWidth="1"/>
    <col min="7686" max="7686" width="16.85546875" style="4" bestFit="1" customWidth="1"/>
    <col min="7687" max="7687" width="18.42578125" style="4" customWidth="1"/>
    <col min="7688" max="7688" width="9.140625" style="4" customWidth="1"/>
    <col min="7689" max="7689" width="12" style="4" customWidth="1"/>
    <col min="7690" max="7690" width="23.42578125" style="4" bestFit="1" customWidth="1"/>
    <col min="7691" max="7691" width="11" style="4" customWidth="1"/>
    <col min="7692" max="7692" width="11.7109375" style="4" bestFit="1" customWidth="1"/>
    <col min="7693" max="7693" width="14" style="4" bestFit="1" customWidth="1"/>
    <col min="7694" max="7694" width="12.7109375" style="4" bestFit="1" customWidth="1"/>
    <col min="7695" max="7695" width="11.42578125" style="4" bestFit="1" customWidth="1"/>
    <col min="7696" max="7938" width="8.85546875" style="4"/>
    <col min="7939" max="7940" width="9.140625" style="4" customWidth="1"/>
    <col min="7941" max="7941" width="13.85546875" style="4" customWidth="1"/>
    <col min="7942" max="7942" width="16.85546875" style="4" bestFit="1" customWidth="1"/>
    <col min="7943" max="7943" width="18.42578125" style="4" customWidth="1"/>
    <col min="7944" max="7944" width="9.140625" style="4" customWidth="1"/>
    <col min="7945" max="7945" width="12" style="4" customWidth="1"/>
    <col min="7946" max="7946" width="23.42578125" style="4" bestFit="1" customWidth="1"/>
    <col min="7947" max="7947" width="11" style="4" customWidth="1"/>
    <col min="7948" max="7948" width="11.7109375" style="4" bestFit="1" customWidth="1"/>
    <col min="7949" max="7949" width="14" style="4" bestFit="1" customWidth="1"/>
    <col min="7950" max="7950" width="12.7109375" style="4" bestFit="1" customWidth="1"/>
    <col min="7951" max="7951" width="11.42578125" style="4" bestFit="1" customWidth="1"/>
    <col min="7952" max="8194" width="8.85546875" style="4"/>
    <col min="8195" max="8196" width="9.140625" style="4" customWidth="1"/>
    <col min="8197" max="8197" width="13.85546875" style="4" customWidth="1"/>
    <col min="8198" max="8198" width="16.85546875" style="4" bestFit="1" customWidth="1"/>
    <col min="8199" max="8199" width="18.42578125" style="4" customWidth="1"/>
    <col min="8200" max="8200" width="9.140625" style="4" customWidth="1"/>
    <col min="8201" max="8201" width="12" style="4" customWidth="1"/>
    <col min="8202" max="8202" width="23.42578125" style="4" bestFit="1" customWidth="1"/>
    <col min="8203" max="8203" width="11" style="4" customWidth="1"/>
    <col min="8204" max="8204" width="11.7109375" style="4" bestFit="1" customWidth="1"/>
    <col min="8205" max="8205" width="14" style="4" bestFit="1" customWidth="1"/>
    <col min="8206" max="8206" width="12.7109375" style="4" bestFit="1" customWidth="1"/>
    <col min="8207" max="8207" width="11.42578125" style="4" bestFit="1" customWidth="1"/>
    <col min="8208" max="8450" width="8.85546875" style="4"/>
    <col min="8451" max="8452" width="9.140625" style="4" customWidth="1"/>
    <col min="8453" max="8453" width="13.85546875" style="4" customWidth="1"/>
    <col min="8454" max="8454" width="16.85546875" style="4" bestFit="1" customWidth="1"/>
    <col min="8455" max="8455" width="18.42578125" style="4" customWidth="1"/>
    <col min="8456" max="8456" width="9.140625" style="4" customWidth="1"/>
    <col min="8457" max="8457" width="12" style="4" customWidth="1"/>
    <col min="8458" max="8458" width="23.42578125" style="4" bestFit="1" customWidth="1"/>
    <col min="8459" max="8459" width="11" style="4" customWidth="1"/>
    <col min="8460" max="8460" width="11.7109375" style="4" bestFit="1" customWidth="1"/>
    <col min="8461" max="8461" width="14" style="4" bestFit="1" customWidth="1"/>
    <col min="8462" max="8462" width="12.7109375" style="4" bestFit="1" customWidth="1"/>
    <col min="8463" max="8463" width="11.42578125" style="4" bestFit="1" customWidth="1"/>
    <col min="8464" max="8706" width="8.85546875" style="4"/>
    <col min="8707" max="8708" width="9.140625" style="4" customWidth="1"/>
    <col min="8709" max="8709" width="13.85546875" style="4" customWidth="1"/>
    <col min="8710" max="8710" width="16.85546875" style="4" bestFit="1" customWidth="1"/>
    <col min="8711" max="8711" width="18.42578125" style="4" customWidth="1"/>
    <col min="8712" max="8712" width="9.140625" style="4" customWidth="1"/>
    <col min="8713" max="8713" width="12" style="4" customWidth="1"/>
    <col min="8714" max="8714" width="23.42578125" style="4" bestFit="1" customWidth="1"/>
    <col min="8715" max="8715" width="11" style="4" customWidth="1"/>
    <col min="8716" max="8716" width="11.7109375" style="4" bestFit="1" customWidth="1"/>
    <col min="8717" max="8717" width="14" style="4" bestFit="1" customWidth="1"/>
    <col min="8718" max="8718" width="12.7109375" style="4" bestFit="1" customWidth="1"/>
    <col min="8719" max="8719" width="11.42578125" style="4" bestFit="1" customWidth="1"/>
    <col min="8720" max="8962" width="8.85546875" style="4"/>
    <col min="8963" max="8964" width="9.140625" style="4" customWidth="1"/>
    <col min="8965" max="8965" width="13.85546875" style="4" customWidth="1"/>
    <col min="8966" max="8966" width="16.85546875" style="4" bestFit="1" customWidth="1"/>
    <col min="8967" max="8967" width="18.42578125" style="4" customWidth="1"/>
    <col min="8968" max="8968" width="9.140625" style="4" customWidth="1"/>
    <col min="8969" max="8969" width="12" style="4" customWidth="1"/>
    <col min="8970" max="8970" width="23.42578125" style="4" bestFit="1" customWidth="1"/>
    <col min="8971" max="8971" width="11" style="4" customWidth="1"/>
    <col min="8972" max="8972" width="11.7109375" style="4" bestFit="1" customWidth="1"/>
    <col min="8973" max="8973" width="14" style="4" bestFit="1" customWidth="1"/>
    <col min="8974" max="8974" width="12.7109375" style="4" bestFit="1" customWidth="1"/>
    <col min="8975" max="8975" width="11.42578125" style="4" bestFit="1" customWidth="1"/>
    <col min="8976" max="9218" width="8.85546875" style="4"/>
    <col min="9219" max="9220" width="9.140625" style="4" customWidth="1"/>
    <col min="9221" max="9221" width="13.85546875" style="4" customWidth="1"/>
    <col min="9222" max="9222" width="16.85546875" style="4" bestFit="1" customWidth="1"/>
    <col min="9223" max="9223" width="18.42578125" style="4" customWidth="1"/>
    <col min="9224" max="9224" width="9.140625" style="4" customWidth="1"/>
    <col min="9225" max="9225" width="12" style="4" customWidth="1"/>
    <col min="9226" max="9226" width="23.42578125" style="4" bestFit="1" customWidth="1"/>
    <col min="9227" max="9227" width="11" style="4" customWidth="1"/>
    <col min="9228" max="9228" width="11.7109375" style="4" bestFit="1" customWidth="1"/>
    <col min="9229" max="9229" width="14" style="4" bestFit="1" customWidth="1"/>
    <col min="9230" max="9230" width="12.7109375" style="4" bestFit="1" customWidth="1"/>
    <col min="9231" max="9231" width="11.42578125" style="4" bestFit="1" customWidth="1"/>
    <col min="9232" max="9474" width="8.85546875" style="4"/>
    <col min="9475" max="9476" width="9.140625" style="4" customWidth="1"/>
    <col min="9477" max="9477" width="13.85546875" style="4" customWidth="1"/>
    <col min="9478" max="9478" width="16.85546875" style="4" bestFit="1" customWidth="1"/>
    <col min="9479" max="9479" width="18.42578125" style="4" customWidth="1"/>
    <col min="9480" max="9480" width="9.140625" style="4" customWidth="1"/>
    <col min="9481" max="9481" width="12" style="4" customWidth="1"/>
    <col min="9482" max="9482" width="23.42578125" style="4" bestFit="1" customWidth="1"/>
    <col min="9483" max="9483" width="11" style="4" customWidth="1"/>
    <col min="9484" max="9484" width="11.7109375" style="4" bestFit="1" customWidth="1"/>
    <col min="9485" max="9485" width="14" style="4" bestFit="1" customWidth="1"/>
    <col min="9486" max="9486" width="12.7109375" style="4" bestFit="1" customWidth="1"/>
    <col min="9487" max="9487" width="11.42578125" style="4" bestFit="1" customWidth="1"/>
    <col min="9488" max="9730" width="8.85546875" style="4"/>
    <col min="9731" max="9732" width="9.140625" style="4" customWidth="1"/>
    <col min="9733" max="9733" width="13.85546875" style="4" customWidth="1"/>
    <col min="9734" max="9734" width="16.85546875" style="4" bestFit="1" customWidth="1"/>
    <col min="9735" max="9735" width="18.42578125" style="4" customWidth="1"/>
    <col min="9736" max="9736" width="9.140625" style="4" customWidth="1"/>
    <col min="9737" max="9737" width="12" style="4" customWidth="1"/>
    <col min="9738" max="9738" width="23.42578125" style="4" bestFit="1" customWidth="1"/>
    <col min="9739" max="9739" width="11" style="4" customWidth="1"/>
    <col min="9740" max="9740" width="11.7109375" style="4" bestFit="1" customWidth="1"/>
    <col min="9741" max="9741" width="14" style="4" bestFit="1" customWidth="1"/>
    <col min="9742" max="9742" width="12.7109375" style="4" bestFit="1" customWidth="1"/>
    <col min="9743" max="9743" width="11.42578125" style="4" bestFit="1" customWidth="1"/>
    <col min="9744" max="9986" width="8.85546875" style="4"/>
    <col min="9987" max="9988" width="9.140625" style="4" customWidth="1"/>
    <col min="9989" max="9989" width="13.85546875" style="4" customWidth="1"/>
    <col min="9990" max="9990" width="16.85546875" style="4" bestFit="1" customWidth="1"/>
    <col min="9991" max="9991" width="18.42578125" style="4" customWidth="1"/>
    <col min="9992" max="9992" width="9.140625" style="4" customWidth="1"/>
    <col min="9993" max="9993" width="12" style="4" customWidth="1"/>
    <col min="9994" max="9994" width="23.42578125" style="4" bestFit="1" customWidth="1"/>
    <col min="9995" max="9995" width="11" style="4" customWidth="1"/>
    <col min="9996" max="9996" width="11.7109375" style="4" bestFit="1" customWidth="1"/>
    <col min="9997" max="9997" width="14" style="4" bestFit="1" customWidth="1"/>
    <col min="9998" max="9998" width="12.7109375" style="4" bestFit="1" customWidth="1"/>
    <col min="9999" max="9999" width="11.42578125" style="4" bestFit="1" customWidth="1"/>
    <col min="10000" max="10242" width="8.85546875" style="4"/>
    <col min="10243" max="10244" width="9.140625" style="4" customWidth="1"/>
    <col min="10245" max="10245" width="13.85546875" style="4" customWidth="1"/>
    <col min="10246" max="10246" width="16.85546875" style="4" bestFit="1" customWidth="1"/>
    <col min="10247" max="10247" width="18.42578125" style="4" customWidth="1"/>
    <col min="10248" max="10248" width="9.140625" style="4" customWidth="1"/>
    <col min="10249" max="10249" width="12" style="4" customWidth="1"/>
    <col min="10250" max="10250" width="23.42578125" style="4" bestFit="1" customWidth="1"/>
    <col min="10251" max="10251" width="11" style="4" customWidth="1"/>
    <col min="10252" max="10252" width="11.7109375" style="4" bestFit="1" customWidth="1"/>
    <col min="10253" max="10253" width="14" style="4" bestFit="1" customWidth="1"/>
    <col min="10254" max="10254" width="12.7109375" style="4" bestFit="1" customWidth="1"/>
    <col min="10255" max="10255" width="11.42578125" style="4" bestFit="1" customWidth="1"/>
    <col min="10256" max="10498" width="8.85546875" style="4"/>
    <col min="10499" max="10500" width="9.140625" style="4" customWidth="1"/>
    <col min="10501" max="10501" width="13.85546875" style="4" customWidth="1"/>
    <col min="10502" max="10502" width="16.85546875" style="4" bestFit="1" customWidth="1"/>
    <col min="10503" max="10503" width="18.42578125" style="4" customWidth="1"/>
    <col min="10504" max="10504" width="9.140625" style="4" customWidth="1"/>
    <col min="10505" max="10505" width="12" style="4" customWidth="1"/>
    <col min="10506" max="10506" width="23.42578125" style="4" bestFit="1" customWidth="1"/>
    <col min="10507" max="10507" width="11" style="4" customWidth="1"/>
    <col min="10508" max="10508" width="11.7109375" style="4" bestFit="1" customWidth="1"/>
    <col min="10509" max="10509" width="14" style="4" bestFit="1" customWidth="1"/>
    <col min="10510" max="10510" width="12.7109375" style="4" bestFit="1" customWidth="1"/>
    <col min="10511" max="10511" width="11.42578125" style="4" bestFit="1" customWidth="1"/>
    <col min="10512" max="10754" width="8.85546875" style="4"/>
    <col min="10755" max="10756" width="9.140625" style="4" customWidth="1"/>
    <col min="10757" max="10757" width="13.85546875" style="4" customWidth="1"/>
    <col min="10758" max="10758" width="16.85546875" style="4" bestFit="1" customWidth="1"/>
    <col min="10759" max="10759" width="18.42578125" style="4" customWidth="1"/>
    <col min="10760" max="10760" width="9.140625" style="4" customWidth="1"/>
    <col min="10761" max="10761" width="12" style="4" customWidth="1"/>
    <col min="10762" max="10762" width="23.42578125" style="4" bestFit="1" customWidth="1"/>
    <col min="10763" max="10763" width="11" style="4" customWidth="1"/>
    <col min="10764" max="10764" width="11.7109375" style="4" bestFit="1" customWidth="1"/>
    <col min="10765" max="10765" width="14" style="4" bestFit="1" customWidth="1"/>
    <col min="10766" max="10766" width="12.7109375" style="4" bestFit="1" customWidth="1"/>
    <col min="10767" max="10767" width="11.42578125" style="4" bestFit="1" customWidth="1"/>
    <col min="10768" max="11010" width="8.85546875" style="4"/>
    <col min="11011" max="11012" width="9.140625" style="4" customWidth="1"/>
    <col min="11013" max="11013" width="13.85546875" style="4" customWidth="1"/>
    <col min="11014" max="11014" width="16.85546875" style="4" bestFit="1" customWidth="1"/>
    <col min="11015" max="11015" width="18.42578125" style="4" customWidth="1"/>
    <col min="11016" max="11016" width="9.140625" style="4" customWidth="1"/>
    <col min="11017" max="11017" width="12" style="4" customWidth="1"/>
    <col min="11018" max="11018" width="23.42578125" style="4" bestFit="1" customWidth="1"/>
    <col min="11019" max="11019" width="11" style="4" customWidth="1"/>
    <col min="11020" max="11020" width="11.7109375" style="4" bestFit="1" customWidth="1"/>
    <col min="11021" max="11021" width="14" style="4" bestFit="1" customWidth="1"/>
    <col min="11022" max="11022" width="12.7109375" style="4" bestFit="1" customWidth="1"/>
    <col min="11023" max="11023" width="11.42578125" style="4" bestFit="1" customWidth="1"/>
    <col min="11024" max="11266" width="8.85546875" style="4"/>
    <col min="11267" max="11268" width="9.140625" style="4" customWidth="1"/>
    <col min="11269" max="11269" width="13.85546875" style="4" customWidth="1"/>
    <col min="11270" max="11270" width="16.85546875" style="4" bestFit="1" customWidth="1"/>
    <col min="11271" max="11271" width="18.42578125" style="4" customWidth="1"/>
    <col min="11272" max="11272" width="9.140625" style="4" customWidth="1"/>
    <col min="11273" max="11273" width="12" style="4" customWidth="1"/>
    <col min="11274" max="11274" width="23.42578125" style="4" bestFit="1" customWidth="1"/>
    <col min="11275" max="11275" width="11" style="4" customWidth="1"/>
    <col min="11276" max="11276" width="11.7109375" style="4" bestFit="1" customWidth="1"/>
    <col min="11277" max="11277" width="14" style="4" bestFit="1" customWidth="1"/>
    <col min="11278" max="11278" width="12.7109375" style="4" bestFit="1" customWidth="1"/>
    <col min="11279" max="11279" width="11.42578125" style="4" bestFit="1" customWidth="1"/>
    <col min="11280" max="11522" width="8.85546875" style="4"/>
    <col min="11523" max="11524" width="9.140625" style="4" customWidth="1"/>
    <col min="11525" max="11525" width="13.85546875" style="4" customWidth="1"/>
    <col min="11526" max="11526" width="16.85546875" style="4" bestFit="1" customWidth="1"/>
    <col min="11527" max="11527" width="18.42578125" style="4" customWidth="1"/>
    <col min="11528" max="11528" width="9.140625" style="4" customWidth="1"/>
    <col min="11529" max="11529" width="12" style="4" customWidth="1"/>
    <col min="11530" max="11530" width="23.42578125" style="4" bestFit="1" customWidth="1"/>
    <col min="11531" max="11531" width="11" style="4" customWidth="1"/>
    <col min="11532" max="11532" width="11.7109375" style="4" bestFit="1" customWidth="1"/>
    <col min="11533" max="11533" width="14" style="4" bestFit="1" customWidth="1"/>
    <col min="11534" max="11534" width="12.7109375" style="4" bestFit="1" customWidth="1"/>
    <col min="11535" max="11535" width="11.42578125" style="4" bestFit="1" customWidth="1"/>
    <col min="11536" max="11778" width="8.85546875" style="4"/>
    <col min="11779" max="11780" width="9.140625" style="4" customWidth="1"/>
    <col min="11781" max="11781" width="13.85546875" style="4" customWidth="1"/>
    <col min="11782" max="11782" width="16.85546875" style="4" bestFit="1" customWidth="1"/>
    <col min="11783" max="11783" width="18.42578125" style="4" customWidth="1"/>
    <col min="11784" max="11784" width="9.140625" style="4" customWidth="1"/>
    <col min="11785" max="11785" width="12" style="4" customWidth="1"/>
    <col min="11786" max="11786" width="23.42578125" style="4" bestFit="1" customWidth="1"/>
    <col min="11787" max="11787" width="11" style="4" customWidth="1"/>
    <col min="11788" max="11788" width="11.7109375" style="4" bestFit="1" customWidth="1"/>
    <col min="11789" max="11789" width="14" style="4" bestFit="1" customWidth="1"/>
    <col min="11790" max="11790" width="12.7109375" style="4" bestFit="1" customWidth="1"/>
    <col min="11791" max="11791" width="11.42578125" style="4" bestFit="1" customWidth="1"/>
    <col min="11792" max="12034" width="8.85546875" style="4"/>
    <col min="12035" max="12036" width="9.140625" style="4" customWidth="1"/>
    <col min="12037" max="12037" width="13.85546875" style="4" customWidth="1"/>
    <col min="12038" max="12038" width="16.85546875" style="4" bestFit="1" customWidth="1"/>
    <col min="12039" max="12039" width="18.42578125" style="4" customWidth="1"/>
    <col min="12040" max="12040" width="9.140625" style="4" customWidth="1"/>
    <col min="12041" max="12041" width="12" style="4" customWidth="1"/>
    <col min="12042" max="12042" width="23.42578125" style="4" bestFit="1" customWidth="1"/>
    <col min="12043" max="12043" width="11" style="4" customWidth="1"/>
    <col min="12044" max="12044" width="11.7109375" style="4" bestFit="1" customWidth="1"/>
    <col min="12045" max="12045" width="14" style="4" bestFit="1" customWidth="1"/>
    <col min="12046" max="12046" width="12.7109375" style="4" bestFit="1" customWidth="1"/>
    <col min="12047" max="12047" width="11.42578125" style="4" bestFit="1" customWidth="1"/>
    <col min="12048" max="12290" width="8.85546875" style="4"/>
    <col min="12291" max="12292" width="9.140625" style="4" customWidth="1"/>
    <col min="12293" max="12293" width="13.85546875" style="4" customWidth="1"/>
    <col min="12294" max="12294" width="16.85546875" style="4" bestFit="1" customWidth="1"/>
    <col min="12295" max="12295" width="18.42578125" style="4" customWidth="1"/>
    <col min="12296" max="12296" width="9.140625" style="4" customWidth="1"/>
    <col min="12297" max="12297" width="12" style="4" customWidth="1"/>
    <col min="12298" max="12298" width="23.42578125" style="4" bestFit="1" customWidth="1"/>
    <col min="12299" max="12299" width="11" style="4" customWidth="1"/>
    <col min="12300" max="12300" width="11.7109375" style="4" bestFit="1" customWidth="1"/>
    <col min="12301" max="12301" width="14" style="4" bestFit="1" customWidth="1"/>
    <col min="12302" max="12302" width="12.7109375" style="4" bestFit="1" customWidth="1"/>
    <col min="12303" max="12303" width="11.42578125" style="4" bestFit="1" customWidth="1"/>
    <col min="12304" max="12546" width="8.85546875" style="4"/>
    <col min="12547" max="12548" width="9.140625" style="4" customWidth="1"/>
    <col min="12549" max="12549" width="13.85546875" style="4" customWidth="1"/>
    <col min="12550" max="12550" width="16.85546875" style="4" bestFit="1" customWidth="1"/>
    <col min="12551" max="12551" width="18.42578125" style="4" customWidth="1"/>
    <col min="12552" max="12552" width="9.140625" style="4" customWidth="1"/>
    <col min="12553" max="12553" width="12" style="4" customWidth="1"/>
    <col min="12554" max="12554" width="23.42578125" style="4" bestFit="1" customWidth="1"/>
    <col min="12555" max="12555" width="11" style="4" customWidth="1"/>
    <col min="12556" max="12556" width="11.7109375" style="4" bestFit="1" customWidth="1"/>
    <col min="12557" max="12557" width="14" style="4" bestFit="1" customWidth="1"/>
    <col min="12558" max="12558" width="12.7109375" style="4" bestFit="1" customWidth="1"/>
    <col min="12559" max="12559" width="11.42578125" style="4" bestFit="1" customWidth="1"/>
    <col min="12560" max="12802" width="8.85546875" style="4"/>
    <col min="12803" max="12804" width="9.140625" style="4" customWidth="1"/>
    <col min="12805" max="12805" width="13.85546875" style="4" customWidth="1"/>
    <col min="12806" max="12806" width="16.85546875" style="4" bestFit="1" customWidth="1"/>
    <col min="12807" max="12807" width="18.42578125" style="4" customWidth="1"/>
    <col min="12808" max="12808" width="9.140625" style="4" customWidth="1"/>
    <col min="12809" max="12809" width="12" style="4" customWidth="1"/>
    <col min="12810" max="12810" width="23.42578125" style="4" bestFit="1" customWidth="1"/>
    <col min="12811" max="12811" width="11" style="4" customWidth="1"/>
    <col min="12812" max="12812" width="11.7109375" style="4" bestFit="1" customWidth="1"/>
    <col min="12813" max="12813" width="14" style="4" bestFit="1" customWidth="1"/>
    <col min="12814" max="12814" width="12.7109375" style="4" bestFit="1" customWidth="1"/>
    <col min="12815" max="12815" width="11.42578125" style="4" bestFit="1" customWidth="1"/>
    <col min="12816" max="13058" width="8.85546875" style="4"/>
    <col min="13059" max="13060" width="9.140625" style="4" customWidth="1"/>
    <col min="13061" max="13061" width="13.85546875" style="4" customWidth="1"/>
    <col min="13062" max="13062" width="16.85546875" style="4" bestFit="1" customWidth="1"/>
    <col min="13063" max="13063" width="18.42578125" style="4" customWidth="1"/>
    <col min="13064" max="13064" width="9.140625" style="4" customWidth="1"/>
    <col min="13065" max="13065" width="12" style="4" customWidth="1"/>
    <col min="13066" max="13066" width="23.42578125" style="4" bestFit="1" customWidth="1"/>
    <col min="13067" max="13067" width="11" style="4" customWidth="1"/>
    <col min="13068" max="13068" width="11.7109375" style="4" bestFit="1" customWidth="1"/>
    <col min="13069" max="13069" width="14" style="4" bestFit="1" customWidth="1"/>
    <col min="13070" max="13070" width="12.7109375" style="4" bestFit="1" customWidth="1"/>
    <col min="13071" max="13071" width="11.42578125" style="4" bestFit="1" customWidth="1"/>
    <col min="13072" max="13314" width="8.85546875" style="4"/>
    <col min="13315" max="13316" width="9.140625" style="4" customWidth="1"/>
    <col min="13317" max="13317" width="13.85546875" style="4" customWidth="1"/>
    <col min="13318" max="13318" width="16.85546875" style="4" bestFit="1" customWidth="1"/>
    <col min="13319" max="13319" width="18.42578125" style="4" customWidth="1"/>
    <col min="13320" max="13320" width="9.140625" style="4" customWidth="1"/>
    <col min="13321" max="13321" width="12" style="4" customWidth="1"/>
    <col min="13322" max="13322" width="23.42578125" style="4" bestFit="1" customWidth="1"/>
    <col min="13323" max="13323" width="11" style="4" customWidth="1"/>
    <col min="13324" max="13324" width="11.7109375" style="4" bestFit="1" customWidth="1"/>
    <col min="13325" max="13325" width="14" style="4" bestFit="1" customWidth="1"/>
    <col min="13326" max="13326" width="12.7109375" style="4" bestFit="1" customWidth="1"/>
    <col min="13327" max="13327" width="11.42578125" style="4" bestFit="1" customWidth="1"/>
    <col min="13328" max="13570" width="8.85546875" style="4"/>
    <col min="13571" max="13572" width="9.140625" style="4" customWidth="1"/>
    <col min="13573" max="13573" width="13.85546875" style="4" customWidth="1"/>
    <col min="13574" max="13574" width="16.85546875" style="4" bestFit="1" customWidth="1"/>
    <col min="13575" max="13575" width="18.42578125" style="4" customWidth="1"/>
    <col min="13576" max="13576" width="9.140625" style="4" customWidth="1"/>
    <col min="13577" max="13577" width="12" style="4" customWidth="1"/>
    <col min="13578" max="13578" width="23.42578125" style="4" bestFit="1" customWidth="1"/>
    <col min="13579" max="13579" width="11" style="4" customWidth="1"/>
    <col min="13580" max="13580" width="11.7109375" style="4" bestFit="1" customWidth="1"/>
    <col min="13581" max="13581" width="14" style="4" bestFit="1" customWidth="1"/>
    <col min="13582" max="13582" width="12.7109375" style="4" bestFit="1" customWidth="1"/>
    <col min="13583" max="13583" width="11.42578125" style="4" bestFit="1" customWidth="1"/>
    <col min="13584" max="13826" width="8.85546875" style="4"/>
    <col min="13827" max="13828" width="9.140625" style="4" customWidth="1"/>
    <col min="13829" max="13829" width="13.85546875" style="4" customWidth="1"/>
    <col min="13830" max="13830" width="16.85546875" style="4" bestFit="1" customWidth="1"/>
    <col min="13831" max="13831" width="18.42578125" style="4" customWidth="1"/>
    <col min="13832" max="13832" width="9.140625" style="4" customWidth="1"/>
    <col min="13833" max="13833" width="12" style="4" customWidth="1"/>
    <col min="13834" max="13834" width="23.42578125" style="4" bestFit="1" customWidth="1"/>
    <col min="13835" max="13835" width="11" style="4" customWidth="1"/>
    <col min="13836" max="13836" width="11.7109375" style="4" bestFit="1" customWidth="1"/>
    <col min="13837" max="13837" width="14" style="4" bestFit="1" customWidth="1"/>
    <col min="13838" max="13838" width="12.7109375" style="4" bestFit="1" customWidth="1"/>
    <col min="13839" max="13839" width="11.42578125" style="4" bestFit="1" customWidth="1"/>
    <col min="13840" max="14082" width="8.85546875" style="4"/>
    <col min="14083" max="14084" width="9.140625" style="4" customWidth="1"/>
    <col min="14085" max="14085" width="13.85546875" style="4" customWidth="1"/>
    <col min="14086" max="14086" width="16.85546875" style="4" bestFit="1" customWidth="1"/>
    <col min="14087" max="14087" width="18.42578125" style="4" customWidth="1"/>
    <col min="14088" max="14088" width="9.140625" style="4" customWidth="1"/>
    <col min="14089" max="14089" width="12" style="4" customWidth="1"/>
    <col min="14090" max="14090" width="23.42578125" style="4" bestFit="1" customWidth="1"/>
    <col min="14091" max="14091" width="11" style="4" customWidth="1"/>
    <col min="14092" max="14092" width="11.7109375" style="4" bestFit="1" customWidth="1"/>
    <col min="14093" max="14093" width="14" style="4" bestFit="1" customWidth="1"/>
    <col min="14094" max="14094" width="12.7109375" style="4" bestFit="1" customWidth="1"/>
    <col min="14095" max="14095" width="11.42578125" style="4" bestFit="1" customWidth="1"/>
    <col min="14096" max="14338" width="8.85546875" style="4"/>
    <col min="14339" max="14340" width="9.140625" style="4" customWidth="1"/>
    <col min="14341" max="14341" width="13.85546875" style="4" customWidth="1"/>
    <col min="14342" max="14342" width="16.85546875" style="4" bestFit="1" customWidth="1"/>
    <col min="14343" max="14343" width="18.42578125" style="4" customWidth="1"/>
    <col min="14344" max="14344" width="9.140625" style="4" customWidth="1"/>
    <col min="14345" max="14345" width="12" style="4" customWidth="1"/>
    <col min="14346" max="14346" width="23.42578125" style="4" bestFit="1" customWidth="1"/>
    <col min="14347" max="14347" width="11" style="4" customWidth="1"/>
    <col min="14348" max="14348" width="11.7109375" style="4" bestFit="1" customWidth="1"/>
    <col min="14349" max="14349" width="14" style="4" bestFit="1" customWidth="1"/>
    <col min="14350" max="14350" width="12.7109375" style="4" bestFit="1" customWidth="1"/>
    <col min="14351" max="14351" width="11.42578125" style="4" bestFit="1" customWidth="1"/>
    <col min="14352" max="14594" width="8.85546875" style="4"/>
    <col min="14595" max="14596" width="9.140625" style="4" customWidth="1"/>
    <col min="14597" max="14597" width="13.85546875" style="4" customWidth="1"/>
    <col min="14598" max="14598" width="16.85546875" style="4" bestFit="1" customWidth="1"/>
    <col min="14599" max="14599" width="18.42578125" style="4" customWidth="1"/>
    <col min="14600" max="14600" width="9.140625" style="4" customWidth="1"/>
    <col min="14601" max="14601" width="12" style="4" customWidth="1"/>
    <col min="14602" max="14602" width="23.42578125" style="4" bestFit="1" customWidth="1"/>
    <col min="14603" max="14603" width="11" style="4" customWidth="1"/>
    <col min="14604" max="14604" width="11.7109375" style="4" bestFit="1" customWidth="1"/>
    <col min="14605" max="14605" width="14" style="4" bestFit="1" customWidth="1"/>
    <col min="14606" max="14606" width="12.7109375" style="4" bestFit="1" customWidth="1"/>
    <col min="14607" max="14607" width="11.42578125" style="4" bestFit="1" customWidth="1"/>
    <col min="14608" max="14850" width="8.85546875" style="4"/>
    <col min="14851" max="14852" width="9.140625" style="4" customWidth="1"/>
    <col min="14853" max="14853" width="13.85546875" style="4" customWidth="1"/>
    <col min="14854" max="14854" width="16.85546875" style="4" bestFit="1" customWidth="1"/>
    <col min="14855" max="14855" width="18.42578125" style="4" customWidth="1"/>
    <col min="14856" max="14856" width="9.140625" style="4" customWidth="1"/>
    <col min="14857" max="14857" width="12" style="4" customWidth="1"/>
    <col min="14858" max="14858" width="23.42578125" style="4" bestFit="1" customWidth="1"/>
    <col min="14859" max="14859" width="11" style="4" customWidth="1"/>
    <col min="14860" max="14860" width="11.7109375" style="4" bestFit="1" customWidth="1"/>
    <col min="14861" max="14861" width="14" style="4" bestFit="1" customWidth="1"/>
    <col min="14862" max="14862" width="12.7109375" style="4" bestFit="1" customWidth="1"/>
    <col min="14863" max="14863" width="11.42578125" style="4" bestFit="1" customWidth="1"/>
    <col min="14864" max="15106" width="8.85546875" style="4"/>
    <col min="15107" max="15108" width="9.140625" style="4" customWidth="1"/>
    <col min="15109" max="15109" width="13.85546875" style="4" customWidth="1"/>
    <col min="15110" max="15110" width="16.85546875" style="4" bestFit="1" customWidth="1"/>
    <col min="15111" max="15111" width="18.42578125" style="4" customWidth="1"/>
    <col min="15112" max="15112" width="9.140625" style="4" customWidth="1"/>
    <col min="15113" max="15113" width="12" style="4" customWidth="1"/>
    <col min="15114" max="15114" width="23.42578125" style="4" bestFit="1" customWidth="1"/>
    <col min="15115" max="15115" width="11" style="4" customWidth="1"/>
    <col min="15116" max="15116" width="11.7109375" style="4" bestFit="1" customWidth="1"/>
    <col min="15117" max="15117" width="14" style="4" bestFit="1" customWidth="1"/>
    <col min="15118" max="15118" width="12.7109375" style="4" bestFit="1" customWidth="1"/>
    <col min="15119" max="15119" width="11.42578125" style="4" bestFit="1" customWidth="1"/>
    <col min="15120" max="15362" width="8.85546875" style="4"/>
    <col min="15363" max="15364" width="9.140625" style="4" customWidth="1"/>
    <col min="15365" max="15365" width="13.85546875" style="4" customWidth="1"/>
    <col min="15366" max="15366" width="16.85546875" style="4" bestFit="1" customWidth="1"/>
    <col min="15367" max="15367" width="18.42578125" style="4" customWidth="1"/>
    <col min="15368" max="15368" width="9.140625" style="4" customWidth="1"/>
    <col min="15369" max="15369" width="12" style="4" customWidth="1"/>
    <col min="15370" max="15370" width="23.42578125" style="4" bestFit="1" customWidth="1"/>
    <col min="15371" max="15371" width="11" style="4" customWidth="1"/>
    <col min="15372" max="15372" width="11.7109375" style="4" bestFit="1" customWidth="1"/>
    <col min="15373" max="15373" width="14" style="4" bestFit="1" customWidth="1"/>
    <col min="15374" max="15374" width="12.7109375" style="4" bestFit="1" customWidth="1"/>
    <col min="15375" max="15375" width="11.42578125" style="4" bestFit="1" customWidth="1"/>
    <col min="15376" max="15618" width="8.85546875" style="4"/>
    <col min="15619" max="15620" width="9.140625" style="4" customWidth="1"/>
    <col min="15621" max="15621" width="13.85546875" style="4" customWidth="1"/>
    <col min="15622" max="15622" width="16.85546875" style="4" bestFit="1" customWidth="1"/>
    <col min="15623" max="15623" width="18.42578125" style="4" customWidth="1"/>
    <col min="15624" max="15624" width="9.140625" style="4" customWidth="1"/>
    <col min="15625" max="15625" width="12" style="4" customWidth="1"/>
    <col min="15626" max="15626" width="23.42578125" style="4" bestFit="1" customWidth="1"/>
    <col min="15627" max="15627" width="11" style="4" customWidth="1"/>
    <col min="15628" max="15628" width="11.7109375" style="4" bestFit="1" customWidth="1"/>
    <col min="15629" max="15629" width="14" style="4" bestFit="1" customWidth="1"/>
    <col min="15630" max="15630" width="12.7109375" style="4" bestFit="1" customWidth="1"/>
    <col min="15631" max="15631" width="11.42578125" style="4" bestFit="1" customWidth="1"/>
    <col min="15632" max="15874" width="8.85546875" style="4"/>
    <col min="15875" max="15876" width="9.140625" style="4" customWidth="1"/>
    <col min="15877" max="15877" width="13.85546875" style="4" customWidth="1"/>
    <col min="15878" max="15878" width="16.85546875" style="4" bestFit="1" customWidth="1"/>
    <col min="15879" max="15879" width="18.42578125" style="4" customWidth="1"/>
    <col min="15880" max="15880" width="9.140625" style="4" customWidth="1"/>
    <col min="15881" max="15881" width="12" style="4" customWidth="1"/>
    <col min="15882" max="15882" width="23.42578125" style="4" bestFit="1" customWidth="1"/>
    <col min="15883" max="15883" width="11" style="4" customWidth="1"/>
    <col min="15884" max="15884" width="11.7109375" style="4" bestFit="1" customWidth="1"/>
    <col min="15885" max="15885" width="14" style="4" bestFit="1" customWidth="1"/>
    <col min="15886" max="15886" width="12.7109375" style="4" bestFit="1" customWidth="1"/>
    <col min="15887" max="15887" width="11.42578125" style="4" bestFit="1" customWidth="1"/>
    <col min="15888" max="16130" width="8.85546875" style="4"/>
    <col min="16131" max="16132" width="9.140625" style="4" customWidth="1"/>
    <col min="16133" max="16133" width="13.85546875" style="4" customWidth="1"/>
    <col min="16134" max="16134" width="16.85546875" style="4" bestFit="1" customWidth="1"/>
    <col min="16135" max="16135" width="18.42578125" style="4" customWidth="1"/>
    <col min="16136" max="16136" width="9.140625" style="4" customWidth="1"/>
    <col min="16137" max="16137" width="12" style="4" customWidth="1"/>
    <col min="16138" max="16138" width="23.42578125" style="4" bestFit="1" customWidth="1"/>
    <col min="16139" max="16139" width="11" style="4" customWidth="1"/>
    <col min="16140" max="16140" width="11.7109375" style="4" bestFit="1" customWidth="1"/>
    <col min="16141" max="16141" width="14" style="4" bestFit="1" customWidth="1"/>
    <col min="16142" max="16142" width="12.7109375" style="4" bestFit="1" customWidth="1"/>
    <col min="16143" max="16143" width="11.42578125" style="4" bestFit="1" customWidth="1"/>
    <col min="16144" max="16384" width="8.85546875" style="4"/>
  </cols>
  <sheetData>
    <row r="1" spans="1:19" ht="28.5" customHeight="1" x14ac:dyDescent="0.35">
      <c r="A1" s="77" t="s">
        <v>8</v>
      </c>
      <c r="B1" s="77" t="s">
        <v>744</v>
      </c>
      <c r="C1" s="78" t="s">
        <v>745</v>
      </c>
      <c r="D1" s="78" t="s">
        <v>746</v>
      </c>
      <c r="E1" s="79" t="s">
        <v>747</v>
      </c>
      <c r="F1" s="78" t="s">
        <v>748</v>
      </c>
      <c r="G1" s="78"/>
      <c r="H1" s="78" t="s">
        <v>749</v>
      </c>
      <c r="I1" s="78" t="s">
        <v>750</v>
      </c>
      <c r="J1" s="80" t="s">
        <v>47</v>
      </c>
      <c r="K1" s="80" t="s">
        <v>46</v>
      </c>
      <c r="L1" s="81" t="s">
        <v>48</v>
      </c>
      <c r="M1" s="82" t="s">
        <v>49</v>
      </c>
      <c r="N1" s="83" t="s">
        <v>50</v>
      </c>
      <c r="O1" s="10" t="s">
        <v>1629</v>
      </c>
    </row>
    <row r="2" spans="1:19" ht="45" customHeight="1" x14ac:dyDescent="0.3">
      <c r="A2" s="69">
        <v>1</v>
      </c>
      <c r="B2" s="84" t="s">
        <v>751</v>
      </c>
      <c r="C2" s="85" t="s">
        <v>570</v>
      </c>
      <c r="D2" s="63" t="s">
        <v>540</v>
      </c>
      <c r="E2" s="86">
        <v>40723</v>
      </c>
      <c r="F2" s="63" t="s">
        <v>752</v>
      </c>
      <c r="G2" s="63">
        <v>11</v>
      </c>
      <c r="H2" s="85" t="s">
        <v>5</v>
      </c>
      <c r="I2" s="70" t="s">
        <v>753</v>
      </c>
      <c r="J2" s="64">
        <v>887152</v>
      </c>
      <c r="K2" s="64">
        <v>98186</v>
      </c>
      <c r="L2" s="87">
        <v>671814</v>
      </c>
      <c r="M2" s="87">
        <v>0</v>
      </c>
      <c r="N2" s="88">
        <v>0</v>
      </c>
      <c r="O2" s="18">
        <v>1</v>
      </c>
    </row>
    <row r="3" spans="1:19" ht="45" customHeight="1" x14ac:dyDescent="0.3">
      <c r="A3" s="69">
        <v>1</v>
      </c>
      <c r="B3" s="89" t="s">
        <v>754</v>
      </c>
      <c r="C3" s="85" t="s">
        <v>539</v>
      </c>
      <c r="D3" s="63" t="s">
        <v>540</v>
      </c>
      <c r="E3" s="86">
        <v>40317</v>
      </c>
      <c r="F3" s="63" t="s">
        <v>755</v>
      </c>
      <c r="G3" s="63">
        <v>10</v>
      </c>
      <c r="H3" s="85" t="s">
        <v>5</v>
      </c>
      <c r="I3" s="70" t="s">
        <v>756</v>
      </c>
      <c r="J3" s="64">
        <v>2450000</v>
      </c>
      <c r="K3" s="64">
        <v>222726</v>
      </c>
      <c r="L3" s="87">
        <v>1943000</v>
      </c>
      <c r="M3" s="87">
        <v>0</v>
      </c>
      <c r="N3" s="88">
        <v>0</v>
      </c>
      <c r="O3" s="43">
        <v>1</v>
      </c>
      <c r="S3" s="4">
        <f>SUMIF(G2:G150,2009,J2:J150)</f>
        <v>4384757</v>
      </c>
    </row>
    <row r="4" spans="1:19" ht="28.5" customHeight="1" x14ac:dyDescent="0.3">
      <c r="A4" s="69"/>
      <c r="B4" s="84" t="s">
        <v>751</v>
      </c>
      <c r="C4" s="85" t="s">
        <v>589</v>
      </c>
      <c r="D4" s="63" t="s">
        <v>540</v>
      </c>
      <c r="E4" s="86">
        <v>41073</v>
      </c>
      <c r="F4" s="63"/>
      <c r="G4" s="63">
        <v>2012</v>
      </c>
      <c r="H4" s="85" t="s">
        <v>5</v>
      </c>
      <c r="I4" s="70" t="s">
        <v>757</v>
      </c>
      <c r="J4" s="64">
        <v>3000000</v>
      </c>
      <c r="K4" s="64">
        <v>356260</v>
      </c>
      <c r="L4" s="87">
        <v>2801573</v>
      </c>
      <c r="M4" s="87">
        <v>0</v>
      </c>
      <c r="N4" s="88">
        <v>0</v>
      </c>
      <c r="O4" s="13"/>
    </row>
    <row r="5" spans="1:19" ht="28.5" customHeight="1" x14ac:dyDescent="0.3">
      <c r="A5" s="69">
        <v>1</v>
      </c>
      <c r="B5" s="90" t="s">
        <v>758</v>
      </c>
      <c r="C5" s="85" t="s">
        <v>502</v>
      </c>
      <c r="D5" s="63" t="s">
        <v>90</v>
      </c>
      <c r="E5" s="86">
        <v>40205</v>
      </c>
      <c r="F5" s="63" t="s">
        <v>759</v>
      </c>
      <c r="G5" s="63">
        <v>2010</v>
      </c>
      <c r="H5" s="85" t="s">
        <v>5</v>
      </c>
      <c r="I5" s="70" t="s">
        <v>760</v>
      </c>
      <c r="J5" s="64">
        <v>285000</v>
      </c>
      <c r="K5" s="64">
        <v>196000</v>
      </c>
      <c r="L5" s="87">
        <v>1681997</v>
      </c>
      <c r="M5" s="87">
        <v>236</v>
      </c>
      <c r="N5" s="88">
        <v>0</v>
      </c>
      <c r="O5" s="13"/>
    </row>
    <row r="6" spans="1:19" ht="28.5" customHeight="1" x14ac:dyDescent="0.3">
      <c r="A6" s="69">
        <v>2</v>
      </c>
      <c r="B6" s="69" t="s">
        <v>751</v>
      </c>
      <c r="C6" s="85" t="s">
        <v>510</v>
      </c>
      <c r="D6" s="63" t="s">
        <v>511</v>
      </c>
      <c r="E6" s="86">
        <v>40226</v>
      </c>
      <c r="F6" s="63" t="s">
        <v>761</v>
      </c>
      <c r="G6" s="63">
        <v>2010</v>
      </c>
      <c r="H6" s="85" t="s">
        <v>5</v>
      </c>
      <c r="I6" s="70" t="s">
        <v>762</v>
      </c>
      <c r="J6" s="64">
        <v>290805</v>
      </c>
      <c r="K6" s="64">
        <v>23874</v>
      </c>
      <c r="L6" s="87">
        <v>194963</v>
      </c>
      <c r="M6" s="87">
        <v>0</v>
      </c>
      <c r="N6" s="88">
        <v>0</v>
      </c>
      <c r="O6" s="13"/>
    </row>
    <row r="7" spans="1:19" ht="28.5" customHeight="1" x14ac:dyDescent="0.3">
      <c r="A7" s="69">
        <v>2</v>
      </c>
      <c r="B7" s="91" t="s">
        <v>758</v>
      </c>
      <c r="C7" s="85" t="s">
        <v>551</v>
      </c>
      <c r="D7" s="63" t="s">
        <v>90</v>
      </c>
      <c r="E7" s="86">
        <v>40471</v>
      </c>
      <c r="F7" s="63" t="s">
        <v>763</v>
      </c>
      <c r="G7" s="63">
        <v>2010</v>
      </c>
      <c r="H7" s="85" t="s">
        <v>5</v>
      </c>
      <c r="I7" s="70" t="s">
        <v>764</v>
      </c>
      <c r="J7" s="64">
        <v>3000000</v>
      </c>
      <c r="K7" s="64">
        <v>279641</v>
      </c>
      <c r="L7" s="87">
        <v>2283935</v>
      </c>
      <c r="M7" s="87">
        <v>0</v>
      </c>
      <c r="N7" s="88">
        <v>0</v>
      </c>
      <c r="O7" s="13"/>
    </row>
    <row r="8" spans="1:19" ht="28.5" customHeight="1" x14ac:dyDescent="0.3">
      <c r="A8" s="69">
        <v>2</v>
      </c>
      <c r="B8" s="91" t="s">
        <v>758</v>
      </c>
      <c r="C8" s="85" t="s">
        <v>503</v>
      </c>
      <c r="D8" s="63" t="s">
        <v>90</v>
      </c>
      <c r="E8" s="86">
        <v>40205</v>
      </c>
      <c r="F8" s="63" t="s">
        <v>759</v>
      </c>
      <c r="G8" s="63">
        <v>10</v>
      </c>
      <c r="H8" s="85" t="s">
        <v>5</v>
      </c>
      <c r="I8" s="70" t="s">
        <v>765</v>
      </c>
      <c r="J8" s="64">
        <v>1177891</v>
      </c>
      <c r="K8" s="64">
        <v>90607</v>
      </c>
      <c r="L8" s="87">
        <v>412102</v>
      </c>
      <c r="M8" s="87">
        <v>200</v>
      </c>
      <c r="N8" s="88">
        <v>0</v>
      </c>
      <c r="O8" s="13">
        <v>1</v>
      </c>
      <c r="S8" s="4">
        <f>SUMIF(G2:G147,10,L2:L147)</f>
        <v>8291172</v>
      </c>
    </row>
    <row r="9" spans="1:19" ht="28.5" customHeight="1" x14ac:dyDescent="0.3">
      <c r="A9" s="69">
        <v>1</v>
      </c>
      <c r="B9" s="92" t="s">
        <v>766</v>
      </c>
      <c r="C9" s="85" t="s">
        <v>626</v>
      </c>
      <c r="D9" s="63" t="s">
        <v>627</v>
      </c>
      <c r="E9" s="93">
        <v>41374</v>
      </c>
      <c r="F9" s="63"/>
      <c r="G9" s="63">
        <v>2013</v>
      </c>
      <c r="H9" s="85" t="s">
        <v>5</v>
      </c>
      <c r="I9" s="70" t="s">
        <v>767</v>
      </c>
      <c r="J9" s="64">
        <v>2755000</v>
      </c>
      <c r="K9" s="64">
        <v>286421</v>
      </c>
      <c r="L9" s="65">
        <v>2046935</v>
      </c>
      <c r="M9" s="65">
        <v>5619</v>
      </c>
      <c r="N9" s="66">
        <v>0</v>
      </c>
      <c r="O9" s="13"/>
    </row>
    <row r="10" spans="1:19" ht="28.5" customHeight="1" x14ac:dyDescent="0.3">
      <c r="A10" s="69">
        <v>1</v>
      </c>
      <c r="B10" s="94" t="s">
        <v>768</v>
      </c>
      <c r="C10" s="85" t="s">
        <v>642</v>
      </c>
      <c r="D10" s="63" t="s">
        <v>643</v>
      </c>
      <c r="E10" s="93">
        <v>41654</v>
      </c>
      <c r="F10" s="13"/>
      <c r="G10" s="13">
        <v>2014</v>
      </c>
      <c r="H10" s="85" t="s">
        <v>5</v>
      </c>
      <c r="I10" s="70" t="s">
        <v>769</v>
      </c>
      <c r="J10" s="64">
        <v>3000000</v>
      </c>
      <c r="K10" s="64">
        <v>368626</v>
      </c>
      <c r="L10" s="65">
        <v>2000000</v>
      </c>
      <c r="M10" s="65">
        <v>0</v>
      </c>
      <c r="N10" s="66">
        <v>0</v>
      </c>
      <c r="O10" s="13"/>
    </row>
    <row r="11" spans="1:19" ht="45" customHeight="1" x14ac:dyDescent="0.3">
      <c r="A11" s="12"/>
      <c r="B11" s="95"/>
      <c r="C11" s="85" t="s">
        <v>697</v>
      </c>
      <c r="D11" s="63" t="s">
        <v>90</v>
      </c>
      <c r="E11" s="93">
        <v>42074</v>
      </c>
      <c r="F11" s="13"/>
      <c r="G11" s="13">
        <v>15</v>
      </c>
      <c r="H11" s="85" t="s">
        <v>5</v>
      </c>
      <c r="I11" s="70" t="s">
        <v>770</v>
      </c>
      <c r="J11" s="64">
        <v>3000000</v>
      </c>
      <c r="K11" s="64">
        <v>436920</v>
      </c>
      <c r="L11" s="65">
        <v>2859000</v>
      </c>
      <c r="M11" s="65">
        <v>0</v>
      </c>
      <c r="N11" s="66">
        <v>0</v>
      </c>
      <c r="O11" s="13">
        <v>1</v>
      </c>
    </row>
    <row r="12" spans="1:19" ht="28.5" customHeight="1" x14ac:dyDescent="0.3">
      <c r="A12" s="69">
        <v>2</v>
      </c>
      <c r="B12" s="91" t="s">
        <v>751</v>
      </c>
      <c r="C12" s="85" t="s">
        <v>515</v>
      </c>
      <c r="D12" s="63" t="s">
        <v>516</v>
      </c>
      <c r="E12" s="86">
        <v>40240</v>
      </c>
      <c r="F12" s="63" t="s">
        <v>771</v>
      </c>
      <c r="G12" s="63">
        <v>2010</v>
      </c>
      <c r="H12" s="85" t="s">
        <v>772</v>
      </c>
      <c r="I12" s="70" t="s">
        <v>773</v>
      </c>
      <c r="J12" s="64">
        <v>766231</v>
      </c>
      <c r="K12" s="64">
        <v>61579</v>
      </c>
      <c r="L12" s="87">
        <v>380837</v>
      </c>
      <c r="M12" s="87">
        <v>121</v>
      </c>
      <c r="N12" s="88">
        <v>2738</v>
      </c>
    </row>
    <row r="13" spans="1:19" ht="45" customHeight="1" x14ac:dyDescent="0.3">
      <c r="B13" s="96"/>
      <c r="C13" s="85" t="s">
        <v>698</v>
      </c>
      <c r="D13" s="63" t="s">
        <v>699</v>
      </c>
      <c r="E13" s="93">
        <v>42102</v>
      </c>
      <c r="F13" s="96"/>
      <c r="G13" s="96">
        <v>15</v>
      </c>
      <c r="H13" s="85" t="s">
        <v>772</v>
      </c>
      <c r="I13" s="70" t="s">
        <v>774</v>
      </c>
      <c r="J13" s="64">
        <v>1453985</v>
      </c>
      <c r="K13" s="64">
        <v>255407</v>
      </c>
      <c r="L13" s="71">
        <v>1300000</v>
      </c>
      <c r="M13" s="71">
        <v>0</v>
      </c>
      <c r="N13" s="66">
        <v>0</v>
      </c>
      <c r="O13" s="13">
        <v>1</v>
      </c>
    </row>
    <row r="14" spans="1:19" ht="45" customHeight="1" x14ac:dyDescent="0.3">
      <c r="C14" s="97" t="s">
        <v>775</v>
      </c>
      <c r="D14" s="98" t="s">
        <v>712</v>
      </c>
      <c r="E14" s="99">
        <v>42256</v>
      </c>
      <c r="G14" s="4">
        <v>15</v>
      </c>
      <c r="H14" s="85" t="s">
        <v>772</v>
      </c>
      <c r="I14" s="100" t="s">
        <v>776</v>
      </c>
      <c r="J14" s="101">
        <v>2000000</v>
      </c>
      <c r="K14" s="101">
        <v>175288</v>
      </c>
      <c r="L14" s="102">
        <v>917012</v>
      </c>
      <c r="M14" s="102">
        <v>0</v>
      </c>
      <c r="N14" s="103">
        <v>0</v>
      </c>
      <c r="O14" s="13">
        <v>1</v>
      </c>
    </row>
    <row r="15" spans="1:19" ht="45" customHeight="1" x14ac:dyDescent="0.3">
      <c r="C15" s="85" t="s">
        <v>718</v>
      </c>
      <c r="D15" s="63" t="s">
        <v>719</v>
      </c>
      <c r="E15" s="93">
        <v>42347</v>
      </c>
      <c r="F15" s="63"/>
      <c r="G15" s="63">
        <v>15</v>
      </c>
      <c r="H15" s="85" t="s">
        <v>772</v>
      </c>
      <c r="I15" s="70" t="s">
        <v>777</v>
      </c>
      <c r="J15" s="64">
        <v>2800000</v>
      </c>
      <c r="K15" s="64">
        <v>302534</v>
      </c>
      <c r="L15" s="65">
        <v>1357662</v>
      </c>
      <c r="M15" s="65">
        <v>0</v>
      </c>
      <c r="N15" s="66">
        <v>0</v>
      </c>
      <c r="O15" s="4">
        <v>1</v>
      </c>
    </row>
    <row r="16" spans="1:19" ht="28.5" customHeight="1" x14ac:dyDescent="0.3">
      <c r="A16" s="69">
        <v>1</v>
      </c>
      <c r="B16" s="69" t="s">
        <v>778</v>
      </c>
      <c r="C16" s="85" t="s">
        <v>563</v>
      </c>
      <c r="D16" s="63" t="s">
        <v>564</v>
      </c>
      <c r="E16" s="104" t="s">
        <v>779</v>
      </c>
      <c r="F16" s="63" t="s">
        <v>780</v>
      </c>
      <c r="G16" s="63">
        <v>2012</v>
      </c>
      <c r="H16" s="85" t="s">
        <v>781</v>
      </c>
      <c r="I16" s="70" t="s">
        <v>782</v>
      </c>
      <c r="J16" s="64">
        <v>675000</v>
      </c>
      <c r="K16" s="64">
        <v>65000</v>
      </c>
      <c r="L16" s="87">
        <v>1745465</v>
      </c>
      <c r="M16" s="87">
        <v>0</v>
      </c>
      <c r="N16" s="88">
        <v>0</v>
      </c>
      <c r="Q16" s="276"/>
    </row>
    <row r="17" spans="1:25" ht="28.5" customHeight="1" x14ac:dyDescent="0.3">
      <c r="A17" s="69">
        <v>1</v>
      </c>
      <c r="B17" s="84" t="s">
        <v>778</v>
      </c>
      <c r="C17" s="85" t="s">
        <v>555</v>
      </c>
      <c r="D17" s="63" t="s">
        <v>556</v>
      </c>
      <c r="E17" s="86">
        <v>40527</v>
      </c>
      <c r="F17" s="63" t="s">
        <v>783</v>
      </c>
      <c r="G17" s="63">
        <v>2010</v>
      </c>
      <c r="H17" s="85" t="s">
        <v>781</v>
      </c>
      <c r="I17" s="70" t="s">
        <v>784</v>
      </c>
      <c r="J17" s="64">
        <v>621558</v>
      </c>
      <c r="K17" s="64">
        <v>62578</v>
      </c>
      <c r="L17" s="87">
        <v>511057</v>
      </c>
      <c r="M17" s="87">
        <v>0</v>
      </c>
      <c r="N17" s="88">
        <v>0</v>
      </c>
    </row>
    <row r="18" spans="1:25" ht="45" customHeight="1" x14ac:dyDescent="0.3">
      <c r="A18" s="69">
        <v>1</v>
      </c>
      <c r="B18" s="91" t="s">
        <v>785</v>
      </c>
      <c r="C18" s="85" t="s">
        <v>537</v>
      </c>
      <c r="D18" s="63" t="s">
        <v>538</v>
      </c>
      <c r="E18" s="86">
        <v>40303</v>
      </c>
      <c r="F18" s="63" t="s">
        <v>786</v>
      </c>
      <c r="G18" s="63">
        <v>10</v>
      </c>
      <c r="H18" s="85" t="s">
        <v>781</v>
      </c>
      <c r="I18" s="70" t="s">
        <v>787</v>
      </c>
      <c r="J18" s="64">
        <v>198935</v>
      </c>
      <c r="K18" s="64">
        <v>18085</v>
      </c>
      <c r="L18" s="87">
        <v>120242</v>
      </c>
      <c r="M18" s="87">
        <v>48</v>
      </c>
      <c r="N18" s="88">
        <v>5156</v>
      </c>
      <c r="O18" s="4">
        <v>1</v>
      </c>
    </row>
    <row r="19" spans="1:25" ht="28.5" customHeight="1" x14ac:dyDescent="0.3">
      <c r="A19" s="69">
        <v>1</v>
      </c>
      <c r="B19" s="92" t="s">
        <v>778</v>
      </c>
      <c r="C19" s="105" t="s">
        <v>600</v>
      </c>
      <c r="D19" s="60" t="s">
        <v>556</v>
      </c>
      <c r="E19" s="86">
        <v>41255</v>
      </c>
      <c r="F19" s="63"/>
      <c r="G19" s="63">
        <v>2012</v>
      </c>
      <c r="H19" s="85" t="s">
        <v>781</v>
      </c>
      <c r="I19" s="70" t="s">
        <v>788</v>
      </c>
      <c r="J19" s="62">
        <v>1559577</v>
      </c>
      <c r="K19" s="47">
        <v>119967</v>
      </c>
      <c r="L19" s="48">
        <v>942849</v>
      </c>
      <c r="M19" s="48"/>
      <c r="N19" s="49"/>
    </row>
    <row r="20" spans="1:25" ht="45" customHeight="1" x14ac:dyDescent="0.3">
      <c r="A20" s="69">
        <v>1</v>
      </c>
      <c r="B20" s="94" t="s">
        <v>789</v>
      </c>
      <c r="C20" s="85" t="s">
        <v>614</v>
      </c>
      <c r="D20" s="63" t="s">
        <v>615</v>
      </c>
      <c r="E20" s="93">
        <v>41318</v>
      </c>
      <c r="F20" s="63"/>
      <c r="G20" s="63">
        <v>13</v>
      </c>
      <c r="H20" s="85" t="s">
        <v>781</v>
      </c>
      <c r="I20" s="70" t="s">
        <v>790</v>
      </c>
      <c r="J20" s="64">
        <v>1141738</v>
      </c>
      <c r="K20" s="64">
        <v>87826</v>
      </c>
      <c r="L20" s="65">
        <v>444026</v>
      </c>
      <c r="M20" s="65">
        <v>0</v>
      </c>
      <c r="N20" s="66">
        <v>0</v>
      </c>
      <c r="O20" s="4">
        <v>1</v>
      </c>
    </row>
    <row r="21" spans="1:25" ht="28.5" customHeight="1" x14ac:dyDescent="0.3">
      <c r="A21" s="69">
        <v>1</v>
      </c>
      <c r="B21" s="92" t="s">
        <v>785</v>
      </c>
      <c r="C21" s="85" t="s">
        <v>636</v>
      </c>
      <c r="D21" s="63" t="s">
        <v>637</v>
      </c>
      <c r="E21" s="93">
        <v>41528</v>
      </c>
      <c r="F21" s="63"/>
      <c r="G21" s="63">
        <v>2013</v>
      </c>
      <c r="H21" s="85" t="s">
        <v>781</v>
      </c>
      <c r="I21" s="70" t="s">
        <v>791</v>
      </c>
      <c r="J21" s="64">
        <v>700000</v>
      </c>
      <c r="K21" s="64">
        <v>54539</v>
      </c>
      <c r="L21" s="65">
        <v>0</v>
      </c>
      <c r="M21" s="65">
        <v>0</v>
      </c>
      <c r="N21" s="66">
        <v>137904</v>
      </c>
    </row>
    <row r="22" spans="1:25" ht="45" customHeight="1" x14ac:dyDescent="0.3">
      <c r="A22" s="69">
        <v>1</v>
      </c>
      <c r="B22" s="94" t="s">
        <v>789</v>
      </c>
      <c r="C22" s="85" t="s">
        <v>657</v>
      </c>
      <c r="D22" s="63" t="s">
        <v>658</v>
      </c>
      <c r="E22" s="93">
        <v>41842</v>
      </c>
      <c r="F22" s="63"/>
      <c r="G22" s="63">
        <v>14</v>
      </c>
      <c r="H22" s="85" t="s">
        <v>781</v>
      </c>
      <c r="I22" s="70" t="s">
        <v>792</v>
      </c>
      <c r="J22" s="64">
        <v>1766665</v>
      </c>
      <c r="K22" s="64">
        <v>140584</v>
      </c>
      <c r="L22" s="65">
        <v>788148</v>
      </c>
      <c r="M22" s="65">
        <v>0</v>
      </c>
      <c r="N22" s="66">
        <v>8296</v>
      </c>
      <c r="O22" s="4">
        <v>1</v>
      </c>
    </row>
    <row r="23" spans="1:25" ht="45" customHeight="1" x14ac:dyDescent="0.3">
      <c r="C23" s="85" t="s">
        <v>723</v>
      </c>
      <c r="D23" s="63" t="s">
        <v>724</v>
      </c>
      <c r="E23" s="93">
        <v>42438</v>
      </c>
      <c r="G23" s="4">
        <v>16</v>
      </c>
      <c r="H23" s="85" t="s">
        <v>781</v>
      </c>
      <c r="I23" s="70" t="s">
        <v>793</v>
      </c>
      <c r="J23" s="64">
        <v>1355000</v>
      </c>
      <c r="K23" s="64">
        <v>79700</v>
      </c>
      <c r="L23" s="65">
        <v>520400</v>
      </c>
      <c r="M23" s="65">
        <v>0</v>
      </c>
      <c r="N23" s="66">
        <v>0</v>
      </c>
      <c r="O23" s="4">
        <v>1</v>
      </c>
    </row>
    <row r="24" spans="1:25" ht="28.5" customHeight="1" x14ac:dyDescent="0.3">
      <c r="A24" s="69">
        <v>2</v>
      </c>
      <c r="B24" s="69" t="s">
        <v>751</v>
      </c>
      <c r="C24" s="85" t="s">
        <v>547</v>
      </c>
      <c r="D24" s="63" t="s">
        <v>548</v>
      </c>
      <c r="E24" s="86">
        <v>40457</v>
      </c>
      <c r="F24" s="63" t="s">
        <v>794</v>
      </c>
      <c r="G24" s="63">
        <v>2010</v>
      </c>
      <c r="H24" s="63" t="s">
        <v>548</v>
      </c>
      <c r="I24" s="70" t="s">
        <v>795</v>
      </c>
      <c r="J24" s="64">
        <v>216462</v>
      </c>
      <c r="K24" s="64">
        <v>20721</v>
      </c>
      <c r="L24" s="87">
        <v>-2296</v>
      </c>
      <c r="M24" s="87">
        <v>0</v>
      </c>
      <c r="N24" s="88">
        <v>12520</v>
      </c>
    </row>
    <row r="25" spans="1:25" ht="28.5" customHeight="1" x14ac:dyDescent="0.3">
      <c r="A25" s="69">
        <v>1</v>
      </c>
      <c r="B25" s="91" t="s">
        <v>789</v>
      </c>
      <c r="C25" s="85" t="s">
        <v>517</v>
      </c>
      <c r="D25" s="63" t="s">
        <v>518</v>
      </c>
      <c r="E25" s="86">
        <v>40240</v>
      </c>
      <c r="F25" s="63" t="s">
        <v>796</v>
      </c>
      <c r="G25" s="63">
        <v>2010</v>
      </c>
      <c r="H25" s="85" t="s">
        <v>797</v>
      </c>
      <c r="I25" s="70" t="s">
        <v>798</v>
      </c>
      <c r="J25" s="64">
        <v>657461</v>
      </c>
      <c r="K25" s="64">
        <v>60531</v>
      </c>
      <c r="L25" s="87">
        <v>670308</v>
      </c>
      <c r="M25" s="87">
        <v>91.6</v>
      </c>
      <c r="N25" s="88">
        <v>-30878</v>
      </c>
    </row>
    <row r="26" spans="1:25" ht="28.5" customHeight="1" x14ac:dyDescent="0.3">
      <c r="A26" s="69">
        <v>2</v>
      </c>
      <c r="B26" s="69" t="s">
        <v>751</v>
      </c>
      <c r="C26" s="85" t="s">
        <v>483</v>
      </c>
      <c r="D26" s="63" t="s">
        <v>484</v>
      </c>
      <c r="E26" s="86">
        <v>40149</v>
      </c>
      <c r="F26" s="63" t="s">
        <v>799</v>
      </c>
      <c r="G26" s="63">
        <v>2009</v>
      </c>
      <c r="H26" s="85" t="s">
        <v>800</v>
      </c>
      <c r="I26" s="70" t="s">
        <v>801</v>
      </c>
      <c r="J26" s="64">
        <v>867200</v>
      </c>
      <c r="K26" s="64">
        <v>112018</v>
      </c>
      <c r="L26" s="87">
        <v>892425</v>
      </c>
      <c r="M26" s="87">
        <v>0</v>
      </c>
      <c r="N26" s="88">
        <v>3000</v>
      </c>
    </row>
    <row r="27" spans="1:25" ht="45" customHeight="1" x14ac:dyDescent="0.3">
      <c r="A27" s="69">
        <v>2</v>
      </c>
      <c r="B27" s="69" t="s">
        <v>751</v>
      </c>
      <c r="C27" s="85" t="s">
        <v>562</v>
      </c>
      <c r="D27" s="63" t="s">
        <v>484</v>
      </c>
      <c r="E27" s="86">
        <v>40639</v>
      </c>
      <c r="F27" s="63" t="s">
        <v>799</v>
      </c>
      <c r="G27" s="63">
        <v>11</v>
      </c>
      <c r="H27" s="85" t="s">
        <v>800</v>
      </c>
      <c r="I27" s="70" t="s">
        <v>802</v>
      </c>
      <c r="J27" s="64">
        <v>953239</v>
      </c>
      <c r="K27" s="64">
        <v>86658</v>
      </c>
      <c r="L27" s="87">
        <v>695289</v>
      </c>
      <c r="M27" s="87">
        <v>77</v>
      </c>
      <c r="N27" s="88">
        <v>0</v>
      </c>
      <c r="O27" s="4">
        <v>1</v>
      </c>
    </row>
    <row r="28" spans="1:25" ht="28.5" customHeight="1" x14ac:dyDescent="0.3">
      <c r="A28" s="69">
        <v>2</v>
      </c>
      <c r="B28" s="90" t="s">
        <v>751</v>
      </c>
      <c r="C28" s="85" t="s">
        <v>580</v>
      </c>
      <c r="D28" s="46" t="s">
        <v>581</v>
      </c>
      <c r="E28" s="86">
        <v>40849</v>
      </c>
      <c r="F28" s="106"/>
      <c r="G28" s="106">
        <v>2011</v>
      </c>
      <c r="H28" s="91" t="s">
        <v>800</v>
      </c>
      <c r="I28" s="70" t="s">
        <v>803</v>
      </c>
      <c r="J28" s="47">
        <v>202000</v>
      </c>
      <c r="K28" s="47">
        <v>26364</v>
      </c>
      <c r="L28" s="48">
        <v>216969</v>
      </c>
      <c r="M28" s="87"/>
      <c r="N28" s="88"/>
    </row>
    <row r="29" spans="1:25" ht="28.5" customHeight="1" x14ac:dyDescent="0.3">
      <c r="A29" s="69">
        <v>1</v>
      </c>
      <c r="B29" s="94" t="s">
        <v>768</v>
      </c>
      <c r="C29" s="85" t="s">
        <v>641</v>
      </c>
      <c r="D29" s="63" t="s">
        <v>484</v>
      </c>
      <c r="E29" s="93">
        <v>41654</v>
      </c>
      <c r="F29" s="63"/>
      <c r="G29" s="13">
        <v>2014</v>
      </c>
      <c r="H29" s="85" t="s">
        <v>800</v>
      </c>
      <c r="I29" s="70" t="s">
        <v>804</v>
      </c>
      <c r="J29" s="64">
        <v>149706</v>
      </c>
      <c r="K29" s="64">
        <v>19373</v>
      </c>
      <c r="L29" s="65">
        <v>144943</v>
      </c>
      <c r="M29" s="65">
        <v>0</v>
      </c>
      <c r="N29" s="66">
        <v>0</v>
      </c>
    </row>
    <row r="30" spans="1:25" ht="28.5" customHeight="1" x14ac:dyDescent="0.3">
      <c r="A30" s="69">
        <v>3</v>
      </c>
      <c r="B30" s="69" t="s">
        <v>805</v>
      </c>
      <c r="C30" s="85" t="s">
        <v>654</v>
      </c>
      <c r="D30" s="63" t="s">
        <v>288</v>
      </c>
      <c r="E30" s="93">
        <v>41773</v>
      </c>
      <c r="F30" s="63"/>
      <c r="G30" s="13">
        <v>2014</v>
      </c>
      <c r="H30" s="85" t="s">
        <v>800</v>
      </c>
      <c r="I30" s="70" t="s">
        <v>806</v>
      </c>
      <c r="J30" s="64">
        <v>1242492</v>
      </c>
      <c r="K30" s="64">
        <v>120418</v>
      </c>
      <c r="L30" s="65">
        <v>720310</v>
      </c>
      <c r="M30" s="65">
        <v>0</v>
      </c>
      <c r="N30" s="66">
        <v>11637</v>
      </c>
      <c r="R30" s="4">
        <v>2009</v>
      </c>
      <c r="S30" s="4">
        <v>2010</v>
      </c>
      <c r="T30" s="4">
        <v>2011</v>
      </c>
      <c r="U30" s="4">
        <v>2012</v>
      </c>
      <c r="V30" s="4">
        <v>2013</v>
      </c>
      <c r="W30" s="4">
        <v>2014</v>
      </c>
      <c r="X30" s="4">
        <v>2015</v>
      </c>
      <c r="Y30" s="4">
        <v>2016</v>
      </c>
    </row>
    <row r="31" spans="1:25" ht="28.5" customHeight="1" x14ac:dyDescent="0.3">
      <c r="A31" s="69">
        <v>2</v>
      </c>
      <c r="B31" s="84" t="s">
        <v>789</v>
      </c>
      <c r="C31" s="85" t="s">
        <v>574</v>
      </c>
      <c r="D31" s="63" t="s">
        <v>575</v>
      </c>
      <c r="E31" s="86">
        <v>40793</v>
      </c>
      <c r="F31" s="63" t="s">
        <v>807</v>
      </c>
      <c r="G31" s="106">
        <v>2011</v>
      </c>
      <c r="H31" s="85" t="s">
        <v>808</v>
      </c>
      <c r="I31" s="70" t="s">
        <v>809</v>
      </c>
      <c r="J31" s="64">
        <v>243000</v>
      </c>
      <c r="K31" s="64">
        <v>33170</v>
      </c>
      <c r="L31" s="87">
        <v>193276</v>
      </c>
      <c r="M31" s="87">
        <v>82</v>
      </c>
      <c r="N31" s="88">
        <v>0</v>
      </c>
      <c r="Q31" s="4" t="s">
        <v>1632</v>
      </c>
      <c r="R31" s="4">
        <v>0.75691666666666646</v>
      </c>
      <c r="S31" s="4">
        <v>0.82</v>
      </c>
      <c r="T31" s="4">
        <v>0.83216666666666672</v>
      </c>
      <c r="U31" s="4">
        <v>0.7</v>
      </c>
      <c r="V31" s="4">
        <v>0.78649999999999987</v>
      </c>
      <c r="W31" s="4">
        <v>0.90216666666666667</v>
      </c>
      <c r="X31" s="4">
        <v>0.79783333333333339</v>
      </c>
      <c r="Y31" s="4">
        <v>0.84216666666666651</v>
      </c>
    </row>
    <row r="32" spans="1:25" ht="28.5" customHeight="1" x14ac:dyDescent="0.3">
      <c r="A32" s="69">
        <v>2</v>
      </c>
      <c r="B32" s="91" t="s">
        <v>810</v>
      </c>
      <c r="C32" s="85" t="s">
        <v>531</v>
      </c>
      <c r="D32" s="63" t="s">
        <v>532</v>
      </c>
      <c r="E32" s="86">
        <v>40303</v>
      </c>
      <c r="F32" s="63" t="s">
        <v>811</v>
      </c>
      <c r="G32" s="63">
        <v>2010</v>
      </c>
      <c r="H32" s="85" t="s">
        <v>812</v>
      </c>
      <c r="I32" s="70" t="s">
        <v>813</v>
      </c>
      <c r="J32" s="64">
        <v>165100</v>
      </c>
      <c r="K32" s="64">
        <v>12700</v>
      </c>
      <c r="L32" s="87">
        <v>56900</v>
      </c>
      <c r="M32" s="87">
        <v>0</v>
      </c>
      <c r="N32" s="88">
        <v>0</v>
      </c>
      <c r="Q32" s="4" t="s">
        <v>1633</v>
      </c>
      <c r="R32" s="4">
        <v>0.10141666666666667</v>
      </c>
      <c r="S32" s="4">
        <v>0.10164166666666667</v>
      </c>
      <c r="T32" s="4">
        <v>0.102075</v>
      </c>
      <c r="U32" s="4">
        <v>0.10070833333333334</v>
      </c>
      <c r="V32" s="4">
        <v>0.10239166666666667</v>
      </c>
      <c r="W32" s="4">
        <v>0.107275</v>
      </c>
      <c r="X32" s="4">
        <v>0.10619999999999999</v>
      </c>
      <c r="Y32" s="4">
        <v>0.103475</v>
      </c>
    </row>
    <row r="33" spans="1:38" ht="45" customHeight="1" x14ac:dyDescent="0.3">
      <c r="A33" s="69">
        <v>1</v>
      </c>
      <c r="B33" s="94" t="s">
        <v>768</v>
      </c>
      <c r="C33" s="85" t="s">
        <v>618</v>
      </c>
      <c r="D33" s="63" t="s">
        <v>619</v>
      </c>
      <c r="E33" s="93">
        <v>41333</v>
      </c>
      <c r="F33" s="63"/>
      <c r="G33" s="63">
        <v>13</v>
      </c>
      <c r="H33" s="85" t="s">
        <v>814</v>
      </c>
      <c r="I33" s="70" t="s">
        <v>815</v>
      </c>
      <c r="J33" s="64">
        <v>992054</v>
      </c>
      <c r="K33" s="64">
        <v>76312</v>
      </c>
      <c r="L33" s="65">
        <v>640200</v>
      </c>
      <c r="M33" s="65">
        <v>0</v>
      </c>
      <c r="N33" s="66">
        <v>0</v>
      </c>
      <c r="O33" s="4">
        <v>1</v>
      </c>
    </row>
    <row r="34" spans="1:38" ht="45" customHeight="1" x14ac:dyDescent="0.3">
      <c r="A34" s="69">
        <v>1</v>
      </c>
      <c r="B34" s="69" t="s">
        <v>816</v>
      </c>
      <c r="C34" s="85" t="s">
        <v>529</v>
      </c>
      <c r="D34" s="63" t="s">
        <v>530</v>
      </c>
      <c r="E34" s="86">
        <v>40289</v>
      </c>
      <c r="F34" s="63" t="s">
        <v>817</v>
      </c>
      <c r="G34" s="63">
        <v>10</v>
      </c>
      <c r="H34" s="85" t="s">
        <v>818</v>
      </c>
      <c r="I34" s="70" t="s">
        <v>819</v>
      </c>
      <c r="J34" s="64">
        <v>2200000</v>
      </c>
      <c r="K34" s="64">
        <v>199928</v>
      </c>
      <c r="L34" s="87">
        <v>1700000</v>
      </c>
      <c r="M34" s="87">
        <v>0</v>
      </c>
      <c r="N34" s="88">
        <v>0</v>
      </c>
      <c r="O34" s="4">
        <v>1</v>
      </c>
    </row>
    <row r="35" spans="1:38" ht="45" customHeight="1" x14ac:dyDescent="0.3">
      <c r="A35" s="107"/>
      <c r="B35" s="107"/>
      <c r="C35" s="85" t="s">
        <v>586</v>
      </c>
      <c r="D35" s="63" t="s">
        <v>587</v>
      </c>
      <c r="E35" s="86">
        <v>41010</v>
      </c>
      <c r="F35" s="63" t="s">
        <v>817</v>
      </c>
      <c r="G35" s="63">
        <v>12</v>
      </c>
      <c r="H35" s="85" t="s">
        <v>818</v>
      </c>
      <c r="I35" s="70" t="s">
        <v>820</v>
      </c>
      <c r="J35" s="64">
        <v>2200000</v>
      </c>
      <c r="K35" s="64">
        <v>199928</v>
      </c>
      <c r="L35" s="87">
        <v>1700000</v>
      </c>
      <c r="M35" s="87">
        <v>0</v>
      </c>
      <c r="N35" s="88">
        <v>0</v>
      </c>
      <c r="O35" s="4">
        <v>1</v>
      </c>
    </row>
    <row r="36" spans="1:38" ht="28.5" customHeight="1" x14ac:dyDescent="0.3">
      <c r="A36" s="69">
        <v>1</v>
      </c>
      <c r="B36" s="94" t="s">
        <v>789</v>
      </c>
      <c r="C36" s="85" t="s">
        <v>616</v>
      </c>
      <c r="D36" s="63" t="s">
        <v>617</v>
      </c>
      <c r="E36" s="93">
        <v>41318</v>
      </c>
      <c r="F36" s="63"/>
      <c r="G36" s="63">
        <v>2013</v>
      </c>
      <c r="H36" s="85" t="s">
        <v>818</v>
      </c>
      <c r="I36" s="70" t="s">
        <v>821</v>
      </c>
      <c r="J36" s="64">
        <v>161890</v>
      </c>
      <c r="K36" s="64">
        <v>6640</v>
      </c>
      <c r="L36" s="65">
        <v>99954</v>
      </c>
      <c r="M36" s="65">
        <v>0</v>
      </c>
      <c r="N36" s="66">
        <v>0</v>
      </c>
      <c r="Q36" s="4">
        <v>2009</v>
      </c>
      <c r="R36" s="4">
        <f>Q36+1</f>
        <v>2010</v>
      </c>
      <c r="S36" s="4">
        <f t="shared" ref="S36:X36" si="0">R36+1</f>
        <v>2011</v>
      </c>
      <c r="T36" s="4">
        <f t="shared" si="0"/>
        <v>2012</v>
      </c>
      <c r="U36" s="4">
        <f t="shared" si="0"/>
        <v>2013</v>
      </c>
      <c r="V36" s="4">
        <f t="shared" si="0"/>
        <v>2014</v>
      </c>
      <c r="W36" s="4">
        <f>V36+1</f>
        <v>2015</v>
      </c>
      <c r="X36" s="4">
        <f t="shared" si="0"/>
        <v>2016</v>
      </c>
    </row>
    <row r="37" spans="1:38" ht="45" customHeight="1" x14ac:dyDescent="0.3">
      <c r="C37" s="97" t="s">
        <v>664</v>
      </c>
      <c r="D37" s="98" t="s">
        <v>530</v>
      </c>
      <c r="E37" s="99">
        <v>41929</v>
      </c>
      <c r="G37" s="4">
        <v>14</v>
      </c>
      <c r="H37" s="85" t="s">
        <v>818</v>
      </c>
      <c r="I37" s="100" t="s">
        <v>822</v>
      </c>
      <c r="J37" s="101">
        <v>3000000</v>
      </c>
      <c r="K37" s="101">
        <v>153475</v>
      </c>
      <c r="L37" s="108">
        <v>1578000</v>
      </c>
      <c r="M37" s="108">
        <v>0</v>
      </c>
      <c r="N37" s="103">
        <v>0</v>
      </c>
      <c r="O37" s="4">
        <v>1</v>
      </c>
    </row>
    <row r="38" spans="1:38" ht="45" customHeight="1" x14ac:dyDescent="0.3">
      <c r="C38" s="85" t="s">
        <v>716</v>
      </c>
      <c r="D38" s="63" t="s">
        <v>717</v>
      </c>
      <c r="E38" s="109" t="s">
        <v>823</v>
      </c>
      <c r="F38" s="63"/>
      <c r="G38" s="63">
        <v>16</v>
      </c>
      <c r="H38" s="85" t="s">
        <v>818</v>
      </c>
      <c r="I38" s="70" t="s">
        <v>824</v>
      </c>
      <c r="J38" s="64">
        <v>2900767</v>
      </c>
      <c r="K38" s="64">
        <v>271866</v>
      </c>
      <c r="L38" s="65">
        <v>1857941</v>
      </c>
      <c r="M38" s="65">
        <v>0</v>
      </c>
      <c r="N38" s="66">
        <v>0</v>
      </c>
      <c r="O38" s="4">
        <v>1</v>
      </c>
    </row>
    <row r="39" spans="1:38" ht="28.5" customHeight="1" x14ac:dyDescent="0.3">
      <c r="C39" s="85" t="s">
        <v>573</v>
      </c>
      <c r="D39" s="70" t="s">
        <v>825</v>
      </c>
      <c r="E39" s="109" t="s">
        <v>826</v>
      </c>
      <c r="F39" s="63"/>
      <c r="G39" s="63">
        <v>2012</v>
      </c>
      <c r="H39" s="85" t="s">
        <v>827</v>
      </c>
      <c r="I39" s="70" t="s">
        <v>828</v>
      </c>
      <c r="J39" s="64">
        <v>2281712</v>
      </c>
      <c r="K39" s="64">
        <v>350000</v>
      </c>
      <c r="L39" s="65">
        <v>3830000</v>
      </c>
      <c r="M39" s="65">
        <v>0</v>
      </c>
      <c r="N39" s="66">
        <v>0</v>
      </c>
      <c r="Q39" s="285">
        <f t="shared" ref="Q39:X39" si="1">SUMIF($G$4:$G$150,Q36,$J$4:$J$150)</f>
        <v>4384757</v>
      </c>
      <c r="R39" s="285">
        <f t="shared" si="1"/>
        <v>25438453</v>
      </c>
      <c r="S39" s="285">
        <f t="shared" si="1"/>
        <v>5505591</v>
      </c>
      <c r="T39" s="285">
        <f t="shared" si="1"/>
        <v>21606099</v>
      </c>
      <c r="U39" s="285">
        <f t="shared" si="1"/>
        <v>14534092</v>
      </c>
      <c r="V39" s="285">
        <f t="shared" si="1"/>
        <v>18122025</v>
      </c>
      <c r="W39" s="285">
        <f t="shared" si="1"/>
        <v>14262261</v>
      </c>
      <c r="X39" s="285">
        <f t="shared" si="1"/>
        <v>6844227</v>
      </c>
    </row>
    <row r="40" spans="1:38" ht="45" customHeight="1" x14ac:dyDescent="0.3">
      <c r="A40" s="69">
        <v>1</v>
      </c>
      <c r="B40" s="91" t="s">
        <v>829</v>
      </c>
      <c r="C40" s="85" t="s">
        <v>549</v>
      </c>
      <c r="D40" s="63" t="s">
        <v>550</v>
      </c>
      <c r="E40" s="86">
        <v>40457</v>
      </c>
      <c r="F40" s="63" t="s">
        <v>830</v>
      </c>
      <c r="G40" s="63">
        <v>10</v>
      </c>
      <c r="H40" s="85" t="s">
        <v>831</v>
      </c>
      <c r="I40" s="70" t="s">
        <v>832</v>
      </c>
      <c r="J40" s="64">
        <v>1469146</v>
      </c>
      <c r="K40" s="64">
        <v>137969</v>
      </c>
      <c r="L40" s="87">
        <v>620823</v>
      </c>
      <c r="M40" s="87">
        <v>0</v>
      </c>
      <c r="N40" s="88">
        <v>13431</v>
      </c>
      <c r="O40" s="4">
        <v>1</v>
      </c>
    </row>
    <row r="41" spans="1:38" ht="28.5" customHeight="1" x14ac:dyDescent="0.3">
      <c r="A41" s="69">
        <v>1</v>
      </c>
      <c r="B41" s="91" t="s">
        <v>758</v>
      </c>
      <c r="C41" s="85" t="s">
        <v>565</v>
      </c>
      <c r="D41" s="63" t="s">
        <v>413</v>
      </c>
      <c r="E41" s="86">
        <v>40639</v>
      </c>
      <c r="F41" s="63" t="s">
        <v>833</v>
      </c>
      <c r="G41" s="106">
        <v>2011</v>
      </c>
      <c r="H41" s="85" t="s">
        <v>831</v>
      </c>
      <c r="I41" s="70" t="s">
        <v>834</v>
      </c>
      <c r="J41" s="64">
        <v>882987</v>
      </c>
      <c r="K41" s="64">
        <v>81376</v>
      </c>
      <c r="L41" s="87">
        <v>600000</v>
      </c>
      <c r="M41" s="87">
        <v>0</v>
      </c>
      <c r="N41" s="88">
        <v>0</v>
      </c>
      <c r="P41" s="372"/>
      <c r="Q41" s="372">
        <v>2009</v>
      </c>
      <c r="R41" s="372">
        <f>Q41+1</f>
        <v>2010</v>
      </c>
      <c r="S41" s="372">
        <f>R41+1</f>
        <v>2011</v>
      </c>
      <c r="T41" s="372">
        <f>S41+1</f>
        <v>2012</v>
      </c>
      <c r="U41" s="372">
        <v>2013</v>
      </c>
      <c r="V41" s="372">
        <f>U41+1</f>
        <v>2014</v>
      </c>
      <c r="W41" s="372">
        <v>2015</v>
      </c>
      <c r="X41" s="372">
        <v>2016</v>
      </c>
      <c r="Y41" s="372">
        <f>X41+1</f>
        <v>2017</v>
      </c>
      <c r="Z41" s="372">
        <v>2018</v>
      </c>
      <c r="AA41" s="372">
        <v>2019</v>
      </c>
      <c r="AB41" s="372">
        <v>2020</v>
      </c>
      <c r="AC41" s="372">
        <v>2021</v>
      </c>
      <c r="AD41" s="372">
        <v>2022</v>
      </c>
      <c r="AE41" s="372">
        <v>2023</v>
      </c>
      <c r="AF41" s="372">
        <v>2024</v>
      </c>
      <c r="AG41" s="372">
        <v>2025</v>
      </c>
      <c r="AH41" s="372">
        <v>2026</v>
      </c>
      <c r="AI41" s="372">
        <v>2027</v>
      </c>
      <c r="AJ41" s="372">
        <v>2028</v>
      </c>
      <c r="AK41" s="372">
        <v>2029</v>
      </c>
    </row>
    <row r="42" spans="1:38" ht="28.5" customHeight="1" x14ac:dyDescent="0.3">
      <c r="A42" s="69">
        <v>2</v>
      </c>
      <c r="B42" s="69" t="s">
        <v>785</v>
      </c>
      <c r="C42" s="85" t="s">
        <v>552</v>
      </c>
      <c r="D42" s="63" t="s">
        <v>553</v>
      </c>
      <c r="E42" s="86">
        <v>40471</v>
      </c>
      <c r="F42" s="63" t="s">
        <v>835</v>
      </c>
      <c r="G42" s="63">
        <v>2010</v>
      </c>
      <c r="H42" s="85" t="s">
        <v>831</v>
      </c>
      <c r="I42" s="70" t="s">
        <v>836</v>
      </c>
      <c r="J42" s="64">
        <v>226666</v>
      </c>
      <c r="K42" s="64">
        <v>20606</v>
      </c>
      <c r="L42" s="87">
        <v>152119</v>
      </c>
      <c r="M42" s="87">
        <v>0</v>
      </c>
      <c r="N42" s="88">
        <v>398</v>
      </c>
      <c r="P42" s="372"/>
      <c r="Q42" s="372">
        <f>Q41-2000</f>
        <v>9</v>
      </c>
      <c r="R42" s="372">
        <f t="shared" ref="R42:AK42" si="2">R41-2000</f>
        <v>10</v>
      </c>
      <c r="S42" s="372">
        <f t="shared" si="2"/>
        <v>11</v>
      </c>
      <c r="T42" s="372">
        <f t="shared" si="2"/>
        <v>12</v>
      </c>
      <c r="U42" s="372">
        <f t="shared" si="2"/>
        <v>13</v>
      </c>
      <c r="V42" s="372">
        <f t="shared" si="2"/>
        <v>14</v>
      </c>
      <c r="W42" s="372">
        <f t="shared" si="2"/>
        <v>15</v>
      </c>
      <c r="X42" s="372">
        <f t="shared" si="2"/>
        <v>16</v>
      </c>
      <c r="Y42" s="372">
        <f t="shared" si="2"/>
        <v>17</v>
      </c>
      <c r="Z42" s="372">
        <f t="shared" si="2"/>
        <v>18</v>
      </c>
      <c r="AA42" s="372">
        <f t="shared" si="2"/>
        <v>19</v>
      </c>
      <c r="AB42" s="372">
        <f t="shared" si="2"/>
        <v>20</v>
      </c>
      <c r="AC42" s="372">
        <f t="shared" si="2"/>
        <v>21</v>
      </c>
      <c r="AD42" s="372">
        <f t="shared" si="2"/>
        <v>22</v>
      </c>
      <c r="AE42" s="372">
        <f t="shared" si="2"/>
        <v>23</v>
      </c>
      <c r="AF42" s="372">
        <f t="shared" si="2"/>
        <v>24</v>
      </c>
      <c r="AG42" s="372">
        <f t="shared" si="2"/>
        <v>25</v>
      </c>
      <c r="AH42" s="372">
        <f t="shared" si="2"/>
        <v>26</v>
      </c>
      <c r="AI42" s="372">
        <f t="shared" si="2"/>
        <v>27</v>
      </c>
      <c r="AJ42" s="372">
        <f t="shared" si="2"/>
        <v>28</v>
      </c>
      <c r="AK42" s="372">
        <f t="shared" si="2"/>
        <v>29</v>
      </c>
    </row>
    <row r="43" spans="1:38" ht="28.5" customHeight="1" x14ac:dyDescent="0.3">
      <c r="A43" s="69">
        <v>1</v>
      </c>
      <c r="B43" s="69" t="s">
        <v>758</v>
      </c>
      <c r="C43" s="85" t="s">
        <v>605</v>
      </c>
      <c r="D43" s="60" t="s">
        <v>413</v>
      </c>
      <c r="E43" s="86">
        <v>41255</v>
      </c>
      <c r="F43" s="63"/>
      <c r="G43" s="63">
        <v>2012</v>
      </c>
      <c r="H43" s="85" t="s">
        <v>831</v>
      </c>
      <c r="I43" s="70" t="s">
        <v>837</v>
      </c>
      <c r="J43" s="61">
        <v>426526</v>
      </c>
      <c r="K43" s="64">
        <v>46887</v>
      </c>
      <c r="L43" s="87">
        <v>347000</v>
      </c>
      <c r="M43" s="87"/>
      <c r="N43" s="88"/>
      <c r="P43" s="372" t="s">
        <v>1630</v>
      </c>
      <c r="Q43" s="373">
        <f>SUMIF($G$4:$G$150,Q41,$L$4:$L$150)</f>
        <v>5833660</v>
      </c>
      <c r="R43" s="373">
        <f t="shared" ref="R43:X43" si="3">SUMIF($G$4:$G$150,R41,$L$4:$L$150)</f>
        <v>18540275</v>
      </c>
      <c r="S43" s="373">
        <f t="shared" si="3"/>
        <v>5319699</v>
      </c>
      <c r="T43" s="373">
        <f t="shared" si="3"/>
        <v>20608708</v>
      </c>
      <c r="U43" s="373">
        <f t="shared" si="3"/>
        <v>9538151</v>
      </c>
      <c r="V43" s="373">
        <f t="shared" si="3"/>
        <v>13018964</v>
      </c>
      <c r="W43" s="373">
        <f t="shared" si="3"/>
        <v>6532221</v>
      </c>
      <c r="X43" s="373">
        <f t="shared" si="3"/>
        <v>6957322</v>
      </c>
      <c r="Y43" s="373">
        <f>AVERAGE(Q43:X43)</f>
        <v>10793625</v>
      </c>
      <c r="Z43" s="373">
        <v>10793625</v>
      </c>
      <c r="AA43" s="373">
        <v>10793625</v>
      </c>
      <c r="AB43" s="373">
        <v>10793625</v>
      </c>
      <c r="AC43" s="373">
        <v>10793625</v>
      </c>
      <c r="AD43" s="373">
        <v>10793625</v>
      </c>
      <c r="AE43" s="373">
        <v>10793625</v>
      </c>
      <c r="AF43" s="373">
        <v>10793625</v>
      </c>
      <c r="AG43" s="373">
        <v>10793625</v>
      </c>
      <c r="AH43" s="373">
        <v>10793625</v>
      </c>
      <c r="AI43" s="373">
        <v>10793625</v>
      </c>
      <c r="AJ43" s="373">
        <v>10793625</v>
      </c>
      <c r="AK43" s="373">
        <v>10793625</v>
      </c>
      <c r="AL43" s="280"/>
    </row>
    <row r="44" spans="1:38" ht="45" customHeight="1" x14ac:dyDescent="0.3">
      <c r="A44" s="69">
        <v>1</v>
      </c>
      <c r="B44" s="69" t="s">
        <v>751</v>
      </c>
      <c r="C44" s="85" t="s">
        <v>655</v>
      </c>
      <c r="D44" s="63" t="s">
        <v>656</v>
      </c>
      <c r="E44" s="93">
        <v>41808</v>
      </c>
      <c r="G44" s="4">
        <v>14</v>
      </c>
      <c r="H44" s="85" t="s">
        <v>831</v>
      </c>
      <c r="I44" s="70" t="s">
        <v>838</v>
      </c>
      <c r="J44" s="64">
        <v>2307104</v>
      </c>
      <c r="K44" s="64">
        <v>135712</v>
      </c>
      <c r="L44" s="65">
        <v>1056127</v>
      </c>
      <c r="M44" s="65">
        <v>0</v>
      </c>
      <c r="N44" s="66">
        <v>0</v>
      </c>
      <c r="O44" s="4">
        <v>1</v>
      </c>
      <c r="P44" s="372" t="s">
        <v>1634</v>
      </c>
      <c r="Q44" s="374">
        <f t="shared" ref="Q44:X44" si="4">Q43*R32</f>
        <v>591630.35166666668</v>
      </c>
      <c r="R44" s="374">
        <f t="shared" si="4"/>
        <v>1884464.4514583335</v>
      </c>
      <c r="S44" s="374">
        <f t="shared" si="4"/>
        <v>543008.275425</v>
      </c>
      <c r="T44" s="374">
        <f t="shared" si="4"/>
        <v>2075468.6348333335</v>
      </c>
      <c r="U44" s="374">
        <f t="shared" si="4"/>
        <v>976627.17780833342</v>
      </c>
      <c r="V44" s="374">
        <f t="shared" si="4"/>
        <v>1396609.3631</v>
      </c>
      <c r="W44" s="374">
        <f t="shared" si="4"/>
        <v>693721.87019999989</v>
      </c>
      <c r="X44" s="374">
        <f t="shared" si="4"/>
        <v>719908.89394999994</v>
      </c>
      <c r="Y44" s="375"/>
      <c r="Z44" s="375"/>
      <c r="AA44" s="375"/>
      <c r="AB44" s="375"/>
      <c r="AC44" s="375"/>
      <c r="AD44" s="375"/>
      <c r="AE44" s="375"/>
      <c r="AF44" s="375"/>
      <c r="AG44" s="375"/>
      <c r="AH44" s="375"/>
      <c r="AI44" s="375"/>
      <c r="AJ44" s="375"/>
      <c r="AK44" s="375"/>
      <c r="AL44" s="283"/>
    </row>
    <row r="45" spans="1:38" ht="28.5" customHeight="1" x14ac:dyDescent="0.3">
      <c r="C45" s="97" t="s">
        <v>659</v>
      </c>
      <c r="D45" s="98" t="s">
        <v>413</v>
      </c>
      <c r="E45" s="99">
        <v>41878</v>
      </c>
      <c r="G45" s="13">
        <v>2014</v>
      </c>
      <c r="H45" s="85" t="s">
        <v>831</v>
      </c>
      <c r="I45" s="100" t="s">
        <v>839</v>
      </c>
      <c r="J45" s="101">
        <v>3000000</v>
      </c>
      <c r="K45" s="101">
        <v>282956</v>
      </c>
      <c r="L45" s="108">
        <v>2238000</v>
      </c>
      <c r="M45" s="108">
        <v>0</v>
      </c>
      <c r="N45" s="103">
        <v>0</v>
      </c>
      <c r="P45" s="372" t="s">
        <v>1631</v>
      </c>
      <c r="Q45" s="372">
        <f t="shared" ref="Q45:X45" si="5">SUMIF($G$4:$G$150,Q41,$N$4:$N$150)</f>
        <v>6404</v>
      </c>
      <c r="R45" s="372">
        <f t="shared" si="5"/>
        <v>137595.4</v>
      </c>
      <c r="S45" s="372">
        <f t="shared" si="5"/>
        <v>32785</v>
      </c>
      <c r="T45" s="372">
        <f t="shared" si="5"/>
        <v>114897</v>
      </c>
      <c r="U45" s="372">
        <f t="shared" si="5"/>
        <v>154391</v>
      </c>
      <c r="V45" s="372">
        <f t="shared" si="5"/>
        <v>22984</v>
      </c>
      <c r="W45" s="372">
        <f t="shared" si="5"/>
        <v>12045</v>
      </c>
      <c r="X45" s="372">
        <f t="shared" si="5"/>
        <v>0</v>
      </c>
      <c r="Y45" s="372">
        <v>60137.675000000003</v>
      </c>
      <c r="Z45" s="372">
        <v>60137.675000000003</v>
      </c>
      <c r="AA45" s="372">
        <v>60137.675000000003</v>
      </c>
      <c r="AB45" s="372">
        <v>60137.675000000003</v>
      </c>
      <c r="AC45" s="372">
        <v>60137.675000000003</v>
      </c>
      <c r="AD45" s="372">
        <v>60137.675000000003</v>
      </c>
      <c r="AE45" s="372">
        <v>60137.675000000003</v>
      </c>
      <c r="AF45" s="372">
        <v>60137.675000000003</v>
      </c>
      <c r="AG45" s="372">
        <v>60137.675000000003</v>
      </c>
      <c r="AH45" s="372">
        <v>60137.675000000003</v>
      </c>
      <c r="AI45" s="372">
        <v>60137.675000000003</v>
      </c>
      <c r="AJ45" s="372">
        <v>60137.675000000003</v>
      </c>
      <c r="AK45" s="372">
        <v>60137.675000000003</v>
      </c>
    </row>
    <row r="46" spans="1:38" ht="45" customHeight="1" x14ac:dyDescent="0.3">
      <c r="C46" s="85" t="s">
        <v>728</v>
      </c>
      <c r="D46" s="63" t="s">
        <v>729</v>
      </c>
      <c r="E46" s="93">
        <v>42507</v>
      </c>
      <c r="F46" s="63"/>
      <c r="G46" s="63">
        <v>16</v>
      </c>
      <c r="H46" s="85" t="s">
        <v>831</v>
      </c>
      <c r="I46" s="70" t="s">
        <v>840</v>
      </c>
      <c r="J46" s="64">
        <v>2988974</v>
      </c>
      <c r="K46" s="64">
        <v>175822</v>
      </c>
      <c r="L46" s="65">
        <v>1713535</v>
      </c>
      <c r="M46" s="65">
        <v>0</v>
      </c>
      <c r="N46" s="66">
        <v>7779</v>
      </c>
      <c r="O46" s="4">
        <v>1</v>
      </c>
      <c r="P46" s="372" t="s">
        <v>1634</v>
      </c>
      <c r="Q46" s="376">
        <f t="shared" ref="Q46:X46" si="6">Q45/R31</f>
        <v>8460.6407574589921</v>
      </c>
      <c r="R46" s="376">
        <f t="shared" si="6"/>
        <v>167799.26829268294</v>
      </c>
      <c r="S46" s="376">
        <f t="shared" si="6"/>
        <v>39397.156018425791</v>
      </c>
      <c r="T46" s="376">
        <f t="shared" si="6"/>
        <v>164138.57142857145</v>
      </c>
      <c r="U46" s="376">
        <f t="shared" si="6"/>
        <v>196301.33502860778</v>
      </c>
      <c r="V46" s="376">
        <f t="shared" si="6"/>
        <v>25476.445593940512</v>
      </c>
      <c r="W46" s="376">
        <f t="shared" si="6"/>
        <v>15097.138082306245</v>
      </c>
      <c r="X46" s="376">
        <f t="shared" si="6"/>
        <v>0</v>
      </c>
      <c r="Y46" s="373"/>
      <c r="Z46" s="377"/>
      <c r="AA46" s="377"/>
      <c r="AB46" s="377"/>
      <c r="AC46" s="377"/>
      <c r="AD46" s="377"/>
      <c r="AE46" s="377"/>
      <c r="AF46" s="377"/>
      <c r="AG46" s="377"/>
      <c r="AH46" s="377"/>
      <c r="AI46" s="377"/>
      <c r="AJ46" s="377"/>
      <c r="AK46" s="377"/>
      <c r="AL46" s="277"/>
    </row>
    <row r="47" spans="1:38" ht="45" customHeight="1" x14ac:dyDescent="0.3">
      <c r="C47" s="85" t="s">
        <v>584</v>
      </c>
      <c r="D47" s="70" t="s">
        <v>585</v>
      </c>
      <c r="E47" s="93">
        <v>40982</v>
      </c>
      <c r="F47" s="63"/>
      <c r="G47" s="63">
        <v>12</v>
      </c>
      <c r="H47" s="85" t="s">
        <v>841</v>
      </c>
      <c r="I47" s="70" t="s">
        <v>842</v>
      </c>
      <c r="J47" s="64">
        <v>3000000</v>
      </c>
      <c r="K47" s="64">
        <v>295408</v>
      </c>
      <c r="L47" s="65">
        <v>1725114</v>
      </c>
      <c r="M47" s="65">
        <v>0</v>
      </c>
      <c r="N47" s="66">
        <v>0</v>
      </c>
      <c r="O47" s="4">
        <v>1</v>
      </c>
    </row>
    <row r="48" spans="1:38" ht="28.5" customHeight="1" x14ac:dyDescent="0.3">
      <c r="A48" s="69">
        <v>2</v>
      </c>
      <c r="B48" s="91" t="s">
        <v>785</v>
      </c>
      <c r="C48" s="85" t="s">
        <v>843</v>
      </c>
      <c r="D48" s="63" t="s">
        <v>536</v>
      </c>
      <c r="E48" s="86">
        <v>40303</v>
      </c>
      <c r="F48" s="63" t="s">
        <v>844</v>
      </c>
      <c r="G48" s="63">
        <v>2010</v>
      </c>
      <c r="H48" s="85" t="s">
        <v>845</v>
      </c>
      <c r="I48" s="70" t="s">
        <v>846</v>
      </c>
      <c r="J48" s="64">
        <v>1398441</v>
      </c>
      <c r="K48" s="64">
        <v>127131</v>
      </c>
      <c r="L48" s="87">
        <v>547565</v>
      </c>
      <c r="M48" s="87">
        <v>182</v>
      </c>
      <c r="N48" s="88">
        <v>44723</v>
      </c>
    </row>
    <row r="49" spans="1:26" ht="28.5" customHeight="1" x14ac:dyDescent="0.3">
      <c r="A49" s="110">
        <v>2</v>
      </c>
      <c r="B49" s="84" t="s">
        <v>789</v>
      </c>
      <c r="C49" s="85" t="s">
        <v>476</v>
      </c>
      <c r="D49" s="63" t="s">
        <v>305</v>
      </c>
      <c r="E49" s="86">
        <v>40065</v>
      </c>
      <c r="F49" s="63" t="s">
        <v>847</v>
      </c>
      <c r="G49" s="63">
        <v>2009</v>
      </c>
      <c r="H49" s="85" t="s">
        <v>845</v>
      </c>
      <c r="I49" s="70" t="s">
        <v>848</v>
      </c>
      <c r="J49" s="64">
        <v>415857</v>
      </c>
      <c r="K49" s="64">
        <v>31989</v>
      </c>
      <c r="L49" s="87">
        <v>178655</v>
      </c>
      <c r="M49" s="87">
        <v>194.5</v>
      </c>
      <c r="N49" s="88">
        <v>3404</v>
      </c>
    </row>
    <row r="50" spans="1:26" ht="28.5" customHeight="1" x14ac:dyDescent="0.3">
      <c r="A50" s="69">
        <v>1</v>
      </c>
      <c r="B50" s="69" t="s">
        <v>785</v>
      </c>
      <c r="C50" s="85" t="s">
        <v>638</v>
      </c>
      <c r="D50" s="63" t="s">
        <v>536</v>
      </c>
      <c r="E50" s="86">
        <v>41556</v>
      </c>
      <c r="F50" s="63" t="s">
        <v>849</v>
      </c>
      <c r="G50" s="63">
        <v>2013</v>
      </c>
      <c r="H50" s="85" t="s">
        <v>845</v>
      </c>
      <c r="I50" s="70" t="s">
        <v>850</v>
      </c>
      <c r="J50" s="64">
        <v>1800000</v>
      </c>
      <c r="K50" s="64">
        <v>138282</v>
      </c>
      <c r="L50" s="87">
        <v>1074000</v>
      </c>
      <c r="M50" s="87">
        <v>0</v>
      </c>
      <c r="N50" s="88">
        <v>800</v>
      </c>
    </row>
    <row r="51" spans="1:26" ht="28.5" customHeight="1" x14ac:dyDescent="0.3">
      <c r="A51" s="69">
        <v>1</v>
      </c>
      <c r="B51" s="69" t="s">
        <v>789</v>
      </c>
      <c r="C51" s="85" t="s">
        <v>630</v>
      </c>
      <c r="D51" s="63" t="s">
        <v>631</v>
      </c>
      <c r="E51" s="86">
        <v>41402</v>
      </c>
      <c r="F51" s="111" t="s">
        <v>851</v>
      </c>
      <c r="G51" s="63">
        <v>2013</v>
      </c>
      <c r="H51" s="91" t="s">
        <v>852</v>
      </c>
      <c r="I51" s="70" t="s">
        <v>853</v>
      </c>
      <c r="J51" s="64">
        <v>607596</v>
      </c>
      <c r="K51" s="64">
        <v>80634</v>
      </c>
      <c r="L51" s="65">
        <v>332062</v>
      </c>
      <c r="M51" s="65">
        <v>0</v>
      </c>
      <c r="N51" s="66">
        <v>0</v>
      </c>
    </row>
    <row r="52" spans="1:26" ht="28.5" customHeight="1" x14ac:dyDescent="0.3">
      <c r="A52" s="69">
        <v>2</v>
      </c>
      <c r="B52" s="91" t="s">
        <v>829</v>
      </c>
      <c r="C52" s="85" t="s">
        <v>533</v>
      </c>
      <c r="D52" s="63" t="s">
        <v>534</v>
      </c>
      <c r="E52" s="86">
        <v>40303</v>
      </c>
      <c r="F52" s="63" t="s">
        <v>854</v>
      </c>
      <c r="G52" s="63">
        <v>2010</v>
      </c>
      <c r="H52" s="85" t="s">
        <v>855</v>
      </c>
      <c r="I52" s="70" t="s">
        <v>856</v>
      </c>
      <c r="J52" s="64">
        <v>60000</v>
      </c>
      <c r="K52" s="64">
        <v>10265</v>
      </c>
      <c r="L52" s="87">
        <v>0</v>
      </c>
      <c r="M52" s="87">
        <v>0</v>
      </c>
      <c r="N52" s="88">
        <v>4780.3999999999996</v>
      </c>
      <c r="Q52" s="4">
        <v>6404</v>
      </c>
      <c r="R52" s="4">
        <v>137595</v>
      </c>
      <c r="W52" s="4">
        <f>W45/1000000</f>
        <v>1.2045E-2</v>
      </c>
      <c r="X52" s="4">
        <f>X45/1000000</f>
        <v>0</v>
      </c>
      <c r="Y52" s="4">
        <f>Y46/1000000</f>
        <v>0</v>
      </c>
    </row>
    <row r="53" spans="1:26" ht="28.5" customHeight="1" x14ac:dyDescent="0.25">
      <c r="A53" s="69">
        <v>2</v>
      </c>
      <c r="B53" s="90" t="s">
        <v>816</v>
      </c>
      <c r="C53" s="85" t="s">
        <v>501</v>
      </c>
      <c r="D53" s="63" t="s">
        <v>465</v>
      </c>
      <c r="E53" s="86">
        <v>40205</v>
      </c>
      <c r="F53" s="63" t="s">
        <v>857</v>
      </c>
      <c r="G53" s="63">
        <v>2010</v>
      </c>
      <c r="H53" s="85" t="s">
        <v>858</v>
      </c>
      <c r="I53" s="70" t="s">
        <v>859</v>
      </c>
      <c r="J53" s="64">
        <v>1510510</v>
      </c>
      <c r="K53" s="64">
        <v>118327</v>
      </c>
      <c r="L53" s="87">
        <v>907120</v>
      </c>
      <c r="M53" s="87">
        <v>0</v>
      </c>
      <c r="N53" s="88">
        <v>0</v>
      </c>
      <c r="Q53" s="4">
        <f>R52/Q52</f>
        <v>21.48579013116802</v>
      </c>
    </row>
    <row r="54" spans="1:26" ht="28.5" customHeight="1" x14ac:dyDescent="0.25">
      <c r="A54" s="69">
        <v>2</v>
      </c>
      <c r="B54" s="69" t="s">
        <v>816</v>
      </c>
      <c r="C54" s="85" t="s">
        <v>519</v>
      </c>
      <c r="D54" s="63" t="s">
        <v>520</v>
      </c>
      <c r="E54" s="86">
        <v>40254</v>
      </c>
      <c r="F54" s="63" t="s">
        <v>860</v>
      </c>
      <c r="G54" s="63">
        <v>2010</v>
      </c>
      <c r="H54" s="85" t="s">
        <v>858</v>
      </c>
      <c r="I54" s="70" t="s">
        <v>861</v>
      </c>
      <c r="J54" s="64">
        <v>59404</v>
      </c>
      <c r="K54" s="64">
        <v>8511</v>
      </c>
      <c r="L54" s="87">
        <v>49946</v>
      </c>
      <c r="M54" s="87">
        <v>0</v>
      </c>
      <c r="N54" s="88">
        <v>2380</v>
      </c>
      <c r="Q54" s="279">
        <v>6747321</v>
      </c>
      <c r="R54" s="279">
        <v>38367590</v>
      </c>
      <c r="S54" s="279">
        <v>10077211</v>
      </c>
      <c r="T54" s="279">
        <v>26547551</v>
      </c>
      <c r="U54" s="279">
        <v>16667884</v>
      </c>
      <c r="V54" s="279">
        <v>44672859</v>
      </c>
      <c r="W54" s="279">
        <v>31898743</v>
      </c>
      <c r="X54" s="279">
        <v>17599006</v>
      </c>
      <c r="Z54" s="283">
        <f>SUM(Y45,Y51)</f>
        <v>60137.675000000003</v>
      </c>
    </row>
    <row r="55" spans="1:26" ht="28.5" customHeight="1" x14ac:dyDescent="0.25">
      <c r="A55" s="69">
        <v>2</v>
      </c>
      <c r="B55" s="91" t="s">
        <v>766</v>
      </c>
      <c r="C55" s="85" t="s">
        <v>582</v>
      </c>
      <c r="D55" s="63" t="s">
        <v>583</v>
      </c>
      <c r="E55" s="86">
        <v>40849</v>
      </c>
      <c r="F55" s="112"/>
      <c r="G55" s="106">
        <v>2011</v>
      </c>
      <c r="H55" s="91" t="s">
        <v>858</v>
      </c>
      <c r="I55" s="70" t="s">
        <v>862</v>
      </c>
      <c r="J55" s="64">
        <v>128534</v>
      </c>
      <c r="K55" s="64">
        <v>44265</v>
      </c>
      <c r="L55" s="87">
        <v>318368</v>
      </c>
      <c r="M55" s="87">
        <v>0</v>
      </c>
      <c r="N55" s="87">
        <v>0</v>
      </c>
      <c r="P55" s="4" t="s">
        <v>1630</v>
      </c>
      <c r="Q55" s="281">
        <f>Q54/Q43</f>
        <v>1.1566188293455566</v>
      </c>
      <c r="R55" s="281">
        <f>R54/R43</f>
        <v>2.0694186035536148</v>
      </c>
      <c r="S55" s="281">
        <f t="shared" ref="S55:X55" si="7">S54/S43</f>
        <v>1.8943197726036756</v>
      </c>
      <c r="T55" s="281">
        <f t="shared" si="7"/>
        <v>1.2881715340913171</v>
      </c>
      <c r="U55" s="281">
        <f t="shared" si="7"/>
        <v>1.7474963438930669</v>
      </c>
      <c r="V55" s="281">
        <f t="shared" si="7"/>
        <v>3.4313681948886257</v>
      </c>
      <c r="W55" s="281">
        <f t="shared" si="7"/>
        <v>4.8832920686547503</v>
      </c>
      <c r="X55" s="281">
        <f t="shared" si="7"/>
        <v>2.5295661175377537</v>
      </c>
    </row>
    <row r="56" spans="1:26" ht="45" customHeight="1" x14ac:dyDescent="0.25">
      <c r="A56" s="69">
        <v>1</v>
      </c>
      <c r="B56" s="69" t="s">
        <v>810</v>
      </c>
      <c r="C56" s="97" t="s">
        <v>598</v>
      </c>
      <c r="D56" s="113" t="s">
        <v>599</v>
      </c>
      <c r="E56" s="114">
        <v>41255</v>
      </c>
      <c r="G56" s="4">
        <v>12</v>
      </c>
      <c r="H56" s="115" t="s">
        <v>858</v>
      </c>
      <c r="I56" s="100" t="s">
        <v>863</v>
      </c>
      <c r="J56" s="116">
        <v>2710721</v>
      </c>
      <c r="K56" s="101">
        <v>221885</v>
      </c>
      <c r="L56" s="117">
        <v>1145769</v>
      </c>
      <c r="M56" s="117">
        <v>0</v>
      </c>
      <c r="N56" s="118"/>
      <c r="O56" s="4">
        <v>1</v>
      </c>
      <c r="P56" s="4" t="s">
        <v>1631</v>
      </c>
      <c r="Q56" s="281">
        <f t="shared" ref="Q56:X56" si="8">Q55/Q45</f>
        <v>1.8060881157800696E-4</v>
      </c>
      <c r="R56" s="281">
        <f t="shared" si="8"/>
        <v>1.5039882173049497E-5</v>
      </c>
      <c r="S56" s="281">
        <f t="shared" si="8"/>
        <v>5.7780075418748685E-5</v>
      </c>
      <c r="T56" s="281">
        <f t="shared" si="8"/>
        <v>1.1211533234908806E-5</v>
      </c>
      <c r="U56" s="281">
        <f t="shared" si="8"/>
        <v>1.1318641267256944E-5</v>
      </c>
      <c r="V56" s="281">
        <f t="shared" si="8"/>
        <v>1.492937780581546E-4</v>
      </c>
      <c r="W56" s="281">
        <f t="shared" si="8"/>
        <v>4.0542067817806148E-4</v>
      </c>
      <c r="X56" s="281" t="e">
        <f t="shared" si="8"/>
        <v>#DIV/0!</v>
      </c>
    </row>
    <row r="57" spans="1:26" ht="45" customHeight="1" x14ac:dyDescent="0.25">
      <c r="C57" s="85" t="s">
        <v>864</v>
      </c>
      <c r="D57" s="63" t="s">
        <v>661</v>
      </c>
      <c r="E57" s="93">
        <v>41878</v>
      </c>
      <c r="F57" s="63"/>
      <c r="G57" s="98">
        <v>14</v>
      </c>
      <c r="H57" s="115" t="s">
        <v>858</v>
      </c>
      <c r="I57" s="70" t="s">
        <v>865</v>
      </c>
      <c r="J57" s="64">
        <v>3000000</v>
      </c>
      <c r="K57" s="64">
        <v>228531</v>
      </c>
      <c r="L57" s="65">
        <v>1919095</v>
      </c>
      <c r="M57" s="87">
        <v>0</v>
      </c>
      <c r="N57" s="66">
        <v>3671</v>
      </c>
      <c r="O57" s="4">
        <v>1</v>
      </c>
      <c r="R57" s="277" t="s">
        <v>1032</v>
      </c>
      <c r="S57" s="277">
        <f t="shared" ref="S57:X57" si="9">(S55-R55)/ABS(S55)</f>
        <v>-9.2433618379684709E-2</v>
      </c>
      <c r="T57" s="277">
        <f t="shared" si="9"/>
        <v>-0.47054931930314586</v>
      </c>
      <c r="U57" s="277">
        <f t="shared" si="9"/>
        <v>0.2628473652645632</v>
      </c>
      <c r="V57" s="277">
        <f t="shared" si="9"/>
        <v>0.49072899069935377</v>
      </c>
      <c r="W57" s="277">
        <f t="shared" si="9"/>
        <v>0.29732480739496314</v>
      </c>
      <c r="X57" s="277">
        <f t="shared" si="9"/>
        <v>-0.93048603663622853</v>
      </c>
    </row>
    <row r="58" spans="1:26" ht="45" customHeight="1" x14ac:dyDescent="0.25">
      <c r="C58" s="85" t="s">
        <v>690</v>
      </c>
      <c r="D58" s="63" t="s">
        <v>599</v>
      </c>
      <c r="E58" s="93">
        <v>41983</v>
      </c>
      <c r="F58" s="63"/>
      <c r="G58" s="98">
        <v>14</v>
      </c>
      <c r="H58" s="115" t="s">
        <v>858</v>
      </c>
      <c r="I58" s="70" t="s">
        <v>866</v>
      </c>
      <c r="J58" s="64">
        <v>3000000</v>
      </c>
      <c r="K58" s="64">
        <v>243299</v>
      </c>
      <c r="L58" s="65">
        <v>1145065</v>
      </c>
      <c r="M58" s="65">
        <v>0</v>
      </c>
      <c r="N58" s="66">
        <v>0</v>
      </c>
      <c r="O58" s="4">
        <v>1</v>
      </c>
    </row>
    <row r="59" spans="1:26" ht="45" customHeight="1" x14ac:dyDescent="0.25">
      <c r="C59" s="85" t="s">
        <v>725</v>
      </c>
      <c r="D59" s="63" t="s">
        <v>726</v>
      </c>
      <c r="E59" s="93">
        <v>42438</v>
      </c>
      <c r="G59" s="4">
        <v>16</v>
      </c>
      <c r="H59" s="115" t="s">
        <v>858</v>
      </c>
      <c r="I59" s="70" t="s">
        <v>867</v>
      </c>
      <c r="J59" s="64">
        <v>2000000</v>
      </c>
      <c r="K59" s="64">
        <v>100005</v>
      </c>
      <c r="L59" s="65">
        <v>745612</v>
      </c>
      <c r="M59" s="65">
        <v>0</v>
      </c>
      <c r="N59" s="66">
        <v>0</v>
      </c>
      <c r="O59" s="4">
        <v>1</v>
      </c>
    </row>
    <row r="60" spans="1:26" ht="28.5" customHeight="1" x14ac:dyDescent="0.25">
      <c r="A60" s="69">
        <v>1</v>
      </c>
      <c r="B60" s="69" t="s">
        <v>778</v>
      </c>
      <c r="C60" s="85" t="s">
        <v>543</v>
      </c>
      <c r="D60" s="63" t="s">
        <v>544</v>
      </c>
      <c r="E60" s="86">
        <v>40352</v>
      </c>
      <c r="F60" s="63" t="s">
        <v>868</v>
      </c>
      <c r="G60" s="63">
        <v>2010</v>
      </c>
      <c r="H60" s="85" t="s">
        <v>869</v>
      </c>
      <c r="I60" s="70" t="s">
        <v>870</v>
      </c>
      <c r="J60" s="64">
        <v>200473</v>
      </c>
      <c r="K60" s="64">
        <v>21060</v>
      </c>
      <c r="L60" s="87">
        <v>86413</v>
      </c>
      <c r="M60" s="87">
        <v>2.4</v>
      </c>
      <c r="N60" s="88">
        <v>498</v>
      </c>
    </row>
    <row r="61" spans="1:26" ht="28.5" customHeight="1" x14ac:dyDescent="0.25">
      <c r="A61" s="69">
        <v>1</v>
      </c>
      <c r="B61" s="84" t="s">
        <v>778</v>
      </c>
      <c r="C61" s="85" t="s">
        <v>592</v>
      </c>
      <c r="D61" s="63" t="s">
        <v>216</v>
      </c>
      <c r="E61" s="86">
        <v>41192</v>
      </c>
      <c r="F61" s="107"/>
      <c r="G61" s="63">
        <v>2012</v>
      </c>
      <c r="H61" s="85" t="s">
        <v>869</v>
      </c>
      <c r="I61" s="70" t="s">
        <v>871</v>
      </c>
      <c r="J61" s="64">
        <v>1907136</v>
      </c>
      <c r="K61" s="64">
        <v>173376</v>
      </c>
      <c r="L61" s="87">
        <v>1488185</v>
      </c>
      <c r="M61" s="87"/>
      <c r="N61" s="88"/>
    </row>
    <row r="62" spans="1:26" ht="28.5" customHeight="1" x14ac:dyDescent="0.25">
      <c r="A62" s="69">
        <v>1</v>
      </c>
      <c r="B62" s="90" t="s">
        <v>754</v>
      </c>
      <c r="C62" s="85" t="s">
        <v>504</v>
      </c>
      <c r="D62" s="63" t="s">
        <v>505</v>
      </c>
      <c r="E62" s="86" t="s">
        <v>495</v>
      </c>
      <c r="F62" s="63" t="s">
        <v>872</v>
      </c>
      <c r="G62" s="63">
        <v>2010</v>
      </c>
      <c r="H62" s="85" t="s">
        <v>873</v>
      </c>
      <c r="I62" s="70" t="s">
        <v>874</v>
      </c>
      <c r="J62" s="64">
        <v>1392226</v>
      </c>
      <c r="K62" s="64">
        <v>126566</v>
      </c>
      <c r="L62" s="87">
        <v>791853</v>
      </c>
      <c r="M62" s="87">
        <v>0</v>
      </c>
      <c r="N62" s="88">
        <v>8974</v>
      </c>
    </row>
    <row r="63" spans="1:26" ht="45" customHeight="1" x14ac:dyDescent="0.25">
      <c r="C63" s="97" t="s">
        <v>688</v>
      </c>
      <c r="D63" s="98" t="s">
        <v>689</v>
      </c>
      <c r="E63" s="99">
        <v>41960</v>
      </c>
      <c r="G63" s="4">
        <v>14</v>
      </c>
      <c r="H63" s="119" t="s">
        <v>875</v>
      </c>
      <c r="I63" s="100" t="s">
        <v>876</v>
      </c>
      <c r="J63" s="101">
        <v>3000000</v>
      </c>
      <c r="K63" s="101">
        <v>461458</v>
      </c>
      <c r="L63" s="108">
        <v>2795281</v>
      </c>
      <c r="M63" s="108">
        <v>0</v>
      </c>
      <c r="N63" s="103">
        <v>0</v>
      </c>
      <c r="O63" s="4">
        <v>1</v>
      </c>
    </row>
    <row r="64" spans="1:26" ht="28.5" customHeight="1" x14ac:dyDescent="0.25">
      <c r="C64" s="85" t="s">
        <v>721</v>
      </c>
      <c r="D64" s="63" t="s">
        <v>722</v>
      </c>
      <c r="E64" s="93">
        <v>42382</v>
      </c>
      <c r="F64" s="63"/>
      <c r="G64" s="275">
        <v>2016</v>
      </c>
      <c r="H64" s="119" t="s">
        <v>875</v>
      </c>
      <c r="I64" s="120" t="s">
        <v>877</v>
      </c>
      <c r="J64" s="64">
        <v>3000000</v>
      </c>
      <c r="K64" s="64">
        <v>290546</v>
      </c>
      <c r="L64" s="65">
        <v>3514534</v>
      </c>
      <c r="M64" s="65">
        <v>0</v>
      </c>
      <c r="N64" s="66">
        <v>0</v>
      </c>
    </row>
    <row r="65" spans="1:15" ht="28.5" customHeight="1" x14ac:dyDescent="0.25">
      <c r="C65" s="85" t="s">
        <v>735</v>
      </c>
      <c r="D65" s="63" t="s">
        <v>736</v>
      </c>
      <c r="E65" s="93">
        <v>42718</v>
      </c>
      <c r="F65" s="63"/>
      <c r="G65" s="275">
        <v>2016</v>
      </c>
      <c r="H65" s="119" t="s">
        <v>875</v>
      </c>
      <c r="I65" s="121" t="s">
        <v>878</v>
      </c>
      <c r="J65" s="64">
        <v>136000</v>
      </c>
      <c r="K65" s="64">
        <v>8000</v>
      </c>
      <c r="L65" s="65">
        <v>46000</v>
      </c>
      <c r="M65" s="65">
        <v>0</v>
      </c>
      <c r="N65" s="66">
        <v>0</v>
      </c>
    </row>
    <row r="66" spans="1:15" ht="28.5" customHeight="1" x14ac:dyDescent="0.25">
      <c r="A66" s="69">
        <v>1</v>
      </c>
      <c r="B66" s="92" t="s">
        <v>829</v>
      </c>
      <c r="C66" s="85" t="s">
        <v>628</v>
      </c>
      <c r="D66" s="63" t="s">
        <v>629</v>
      </c>
      <c r="E66" s="86">
        <v>41402</v>
      </c>
      <c r="F66" s="111" t="s">
        <v>851</v>
      </c>
      <c r="G66" s="63">
        <v>2013</v>
      </c>
      <c r="H66" s="91" t="s">
        <v>879</v>
      </c>
      <c r="I66" s="70" t="s">
        <v>880</v>
      </c>
      <c r="J66" s="64">
        <v>687000</v>
      </c>
      <c r="K66" s="64">
        <v>52981</v>
      </c>
      <c r="L66" s="65">
        <v>295000</v>
      </c>
      <c r="M66" s="65">
        <v>0</v>
      </c>
      <c r="N66" s="66">
        <v>0</v>
      </c>
    </row>
    <row r="67" spans="1:15" ht="28.5" customHeight="1" x14ac:dyDescent="0.25">
      <c r="A67" s="122">
        <v>1</v>
      </c>
      <c r="B67" s="123" t="s">
        <v>758</v>
      </c>
      <c r="C67" s="124" t="s">
        <v>472</v>
      </c>
      <c r="D67" s="125" t="s">
        <v>881</v>
      </c>
      <c r="E67" s="126">
        <v>40051</v>
      </c>
      <c r="F67" s="127" t="s">
        <v>882</v>
      </c>
      <c r="G67" s="63">
        <v>2009</v>
      </c>
      <c r="H67" s="124" t="s">
        <v>6</v>
      </c>
      <c r="I67" s="127" t="s">
        <v>883</v>
      </c>
      <c r="J67" s="128">
        <v>650000</v>
      </c>
      <c r="K67" s="128">
        <v>150000</v>
      </c>
      <c r="L67" s="129">
        <v>1500000</v>
      </c>
      <c r="M67" s="129">
        <v>380</v>
      </c>
      <c r="N67" s="130">
        <v>0</v>
      </c>
    </row>
    <row r="68" spans="1:15" ht="28.5" customHeight="1" x14ac:dyDescent="0.25">
      <c r="A68" s="122">
        <v>2</v>
      </c>
      <c r="B68" s="131" t="s">
        <v>754</v>
      </c>
      <c r="C68" s="124" t="s">
        <v>568</v>
      </c>
      <c r="D68" s="127" t="s">
        <v>569</v>
      </c>
      <c r="E68" s="126">
        <v>40681</v>
      </c>
      <c r="F68" s="127" t="s">
        <v>884</v>
      </c>
      <c r="G68" s="106">
        <v>2011</v>
      </c>
      <c r="H68" s="124" t="s">
        <v>6</v>
      </c>
      <c r="I68" s="125" t="s">
        <v>885</v>
      </c>
      <c r="J68" s="128">
        <v>65292</v>
      </c>
      <c r="K68" s="128">
        <v>8000</v>
      </c>
      <c r="L68" s="129">
        <v>43000</v>
      </c>
      <c r="M68" s="129">
        <v>12</v>
      </c>
      <c r="N68" s="130">
        <v>0</v>
      </c>
    </row>
    <row r="69" spans="1:15" ht="28.5" customHeight="1" x14ac:dyDescent="0.25">
      <c r="A69" s="122">
        <v>2</v>
      </c>
      <c r="B69" s="123" t="s">
        <v>789</v>
      </c>
      <c r="C69" s="124" t="s">
        <v>491</v>
      </c>
      <c r="D69" s="127" t="s">
        <v>492</v>
      </c>
      <c r="E69" s="126">
        <v>40191</v>
      </c>
      <c r="F69" s="127" t="s">
        <v>886</v>
      </c>
      <c r="G69" s="63">
        <v>2010</v>
      </c>
      <c r="H69" s="124" t="s">
        <v>6</v>
      </c>
      <c r="I69" s="125" t="s">
        <v>887</v>
      </c>
      <c r="J69" s="128">
        <v>385000</v>
      </c>
      <c r="K69" s="128">
        <v>33299</v>
      </c>
      <c r="L69" s="129">
        <v>297786</v>
      </c>
      <c r="M69" s="129">
        <v>66</v>
      </c>
      <c r="N69" s="130">
        <v>0</v>
      </c>
    </row>
    <row r="70" spans="1:15" ht="28.5" customHeight="1" x14ac:dyDescent="0.25">
      <c r="A70" s="122">
        <v>1</v>
      </c>
      <c r="B70" s="132" t="s">
        <v>751</v>
      </c>
      <c r="C70" s="124" t="s">
        <v>506</v>
      </c>
      <c r="D70" s="127" t="s">
        <v>507</v>
      </c>
      <c r="E70" s="126">
        <v>40205</v>
      </c>
      <c r="F70" s="127" t="s">
        <v>888</v>
      </c>
      <c r="G70" s="63">
        <v>2010</v>
      </c>
      <c r="H70" s="124" t="s">
        <v>889</v>
      </c>
      <c r="I70" s="125" t="s">
        <v>890</v>
      </c>
      <c r="J70" s="128">
        <v>1247290</v>
      </c>
      <c r="K70" s="128">
        <v>105324</v>
      </c>
      <c r="L70" s="129">
        <v>923826</v>
      </c>
      <c r="M70" s="129">
        <v>148</v>
      </c>
      <c r="N70" s="130">
        <v>2845</v>
      </c>
    </row>
    <row r="71" spans="1:15" ht="28.5" customHeight="1" x14ac:dyDescent="0.25">
      <c r="A71" s="122">
        <v>1</v>
      </c>
      <c r="B71" s="122" t="s">
        <v>785</v>
      </c>
      <c r="C71" s="133" t="s">
        <v>606</v>
      </c>
      <c r="D71" s="134" t="s">
        <v>607</v>
      </c>
      <c r="E71" s="135">
        <v>41255</v>
      </c>
      <c r="F71" s="136"/>
      <c r="G71" s="63">
        <v>2012</v>
      </c>
      <c r="H71" s="133" t="s">
        <v>889</v>
      </c>
      <c r="I71" s="137" t="s">
        <v>891</v>
      </c>
      <c r="J71" s="116">
        <v>1809734</v>
      </c>
      <c r="K71" s="138">
        <v>155261</v>
      </c>
      <c r="L71" s="139">
        <v>2391156</v>
      </c>
      <c r="M71" s="139"/>
      <c r="N71" s="140"/>
    </row>
    <row r="72" spans="1:15" ht="28.5" customHeight="1" x14ac:dyDescent="0.25">
      <c r="A72" s="141"/>
      <c r="B72" s="141"/>
      <c r="C72" s="124" t="s">
        <v>720</v>
      </c>
      <c r="D72" s="142" t="s">
        <v>507</v>
      </c>
      <c r="E72" s="126">
        <v>42382</v>
      </c>
      <c r="F72" s="143"/>
      <c r="G72" s="275">
        <v>2016</v>
      </c>
      <c r="H72" s="124" t="s">
        <v>889</v>
      </c>
      <c r="I72" s="125" t="s">
        <v>892</v>
      </c>
      <c r="J72" s="61">
        <v>3000000</v>
      </c>
      <c r="K72" s="128">
        <v>225728</v>
      </c>
      <c r="L72" s="129">
        <v>3021788</v>
      </c>
      <c r="M72" s="129"/>
      <c r="N72" s="130"/>
    </row>
    <row r="73" spans="1:15" ht="28.5" customHeight="1" x14ac:dyDescent="0.25">
      <c r="A73" s="122">
        <v>2</v>
      </c>
      <c r="B73" s="122" t="s">
        <v>754</v>
      </c>
      <c r="C73" s="124" t="s">
        <v>524</v>
      </c>
      <c r="D73" s="127" t="s">
        <v>525</v>
      </c>
      <c r="E73" s="126">
        <v>40289</v>
      </c>
      <c r="F73" s="127" t="s">
        <v>893</v>
      </c>
      <c r="G73" s="63">
        <v>2010</v>
      </c>
      <c r="H73" s="124" t="s">
        <v>894</v>
      </c>
      <c r="I73" s="125" t="s">
        <v>895</v>
      </c>
      <c r="J73" s="128">
        <v>30868</v>
      </c>
      <c r="K73" s="128">
        <v>2953</v>
      </c>
      <c r="L73" s="129">
        <v>15269</v>
      </c>
      <c r="M73" s="129">
        <v>45</v>
      </c>
      <c r="N73" s="130">
        <v>0</v>
      </c>
    </row>
    <row r="74" spans="1:15" ht="28.5" customHeight="1" x14ac:dyDescent="0.25">
      <c r="A74" s="144">
        <v>2</v>
      </c>
      <c r="B74" s="144" t="s">
        <v>778</v>
      </c>
      <c r="C74" s="145" t="s">
        <v>526</v>
      </c>
      <c r="D74" s="146" t="s">
        <v>527</v>
      </c>
      <c r="E74" s="147">
        <v>40289</v>
      </c>
      <c r="F74" s="146" t="s">
        <v>896</v>
      </c>
      <c r="G74" s="63">
        <v>2010</v>
      </c>
      <c r="H74" s="145" t="s">
        <v>894</v>
      </c>
      <c r="I74" s="148" t="s">
        <v>897</v>
      </c>
      <c r="J74" s="149">
        <v>125000</v>
      </c>
      <c r="K74" s="149">
        <v>20971</v>
      </c>
      <c r="L74" s="150">
        <v>158551</v>
      </c>
      <c r="M74" s="129">
        <v>0</v>
      </c>
      <c r="N74" s="151">
        <v>0</v>
      </c>
    </row>
    <row r="75" spans="1:15" ht="45" customHeight="1" x14ac:dyDescent="0.25">
      <c r="A75" s="122">
        <v>1</v>
      </c>
      <c r="B75" s="122" t="s">
        <v>778</v>
      </c>
      <c r="C75" s="124" t="s">
        <v>508</v>
      </c>
      <c r="D75" s="127" t="s">
        <v>449</v>
      </c>
      <c r="E75" s="126">
        <v>40219</v>
      </c>
      <c r="F75" s="127" t="s">
        <v>898</v>
      </c>
      <c r="G75" s="127">
        <v>10</v>
      </c>
      <c r="H75" s="124" t="s">
        <v>899</v>
      </c>
      <c r="I75" s="125" t="s">
        <v>900</v>
      </c>
      <c r="J75" s="128">
        <v>1999806</v>
      </c>
      <c r="K75" s="128">
        <v>182674</v>
      </c>
      <c r="L75" s="129">
        <v>1367569</v>
      </c>
      <c r="M75" s="129">
        <v>0</v>
      </c>
      <c r="N75" s="130">
        <v>0</v>
      </c>
      <c r="O75" s="4">
        <v>1</v>
      </c>
    </row>
    <row r="76" spans="1:15" ht="28.5" customHeight="1" x14ac:dyDescent="0.25">
      <c r="A76" s="122">
        <v>1</v>
      </c>
      <c r="B76" s="131" t="s">
        <v>758</v>
      </c>
      <c r="C76" s="124" t="s">
        <v>528</v>
      </c>
      <c r="D76" s="127" t="s">
        <v>346</v>
      </c>
      <c r="E76" s="126">
        <v>40289</v>
      </c>
      <c r="F76" s="127" t="s">
        <v>901</v>
      </c>
      <c r="G76" s="63">
        <v>2010</v>
      </c>
      <c r="H76" s="124" t="s">
        <v>899</v>
      </c>
      <c r="I76" s="125" t="s">
        <v>902</v>
      </c>
      <c r="J76" s="128">
        <v>3000000</v>
      </c>
      <c r="K76" s="128">
        <v>350000</v>
      </c>
      <c r="L76" s="129">
        <v>2586000</v>
      </c>
      <c r="M76" s="129">
        <v>0</v>
      </c>
      <c r="N76" s="130">
        <v>0</v>
      </c>
    </row>
    <row r="77" spans="1:15" ht="28.5" customHeight="1" x14ac:dyDescent="0.25">
      <c r="A77" s="122">
        <v>2</v>
      </c>
      <c r="B77" s="122" t="s">
        <v>903</v>
      </c>
      <c r="C77" s="124" t="s">
        <v>477</v>
      </c>
      <c r="D77" s="127" t="s">
        <v>478</v>
      </c>
      <c r="E77" s="126">
        <v>40065</v>
      </c>
      <c r="F77" s="127" t="s">
        <v>904</v>
      </c>
      <c r="G77" s="63">
        <v>2009</v>
      </c>
      <c r="H77" s="124" t="s">
        <v>899</v>
      </c>
      <c r="I77" s="125" t="s">
        <v>905</v>
      </c>
      <c r="J77" s="128">
        <v>1543000</v>
      </c>
      <c r="K77" s="128">
        <v>326826</v>
      </c>
      <c r="L77" s="129">
        <v>3078049</v>
      </c>
      <c r="M77" s="129">
        <v>0</v>
      </c>
      <c r="N77" s="130">
        <v>0</v>
      </c>
    </row>
    <row r="78" spans="1:15" ht="28.5" customHeight="1" x14ac:dyDescent="0.25">
      <c r="A78" s="122">
        <v>2</v>
      </c>
      <c r="B78" s="123" t="s">
        <v>778</v>
      </c>
      <c r="C78" s="124" t="s">
        <v>487</v>
      </c>
      <c r="D78" s="127" t="s">
        <v>449</v>
      </c>
      <c r="E78" s="126" t="s">
        <v>485</v>
      </c>
      <c r="F78" s="127" t="s">
        <v>898</v>
      </c>
      <c r="G78" s="63">
        <v>2010</v>
      </c>
      <c r="H78" s="124" t="s">
        <v>899</v>
      </c>
      <c r="I78" s="125" t="s">
        <v>906</v>
      </c>
      <c r="J78" s="128">
        <v>2051600</v>
      </c>
      <c r="K78" s="128">
        <v>197616</v>
      </c>
      <c r="L78" s="129">
        <v>881314</v>
      </c>
      <c r="M78" s="129">
        <v>0</v>
      </c>
      <c r="N78" s="130">
        <v>0</v>
      </c>
    </row>
    <row r="79" spans="1:15" ht="28.5" customHeight="1" x14ac:dyDescent="0.25">
      <c r="A79" s="122">
        <v>1</v>
      </c>
      <c r="B79" s="122" t="s">
        <v>758</v>
      </c>
      <c r="C79" s="124" t="s">
        <v>597</v>
      </c>
      <c r="D79" s="142" t="s">
        <v>346</v>
      </c>
      <c r="E79" s="126">
        <v>41255</v>
      </c>
      <c r="F79" s="136"/>
      <c r="G79" s="63">
        <v>2012</v>
      </c>
      <c r="H79" s="124" t="s">
        <v>899</v>
      </c>
      <c r="I79" s="125" t="s">
        <v>907</v>
      </c>
      <c r="J79" s="61">
        <v>2000000</v>
      </c>
      <c r="K79" s="128">
        <v>167000</v>
      </c>
      <c r="L79" s="129">
        <v>778716</v>
      </c>
      <c r="M79" s="129"/>
      <c r="N79" s="130"/>
    </row>
    <row r="80" spans="1:15" ht="28.5" customHeight="1" x14ac:dyDescent="0.25">
      <c r="A80" s="122">
        <v>1</v>
      </c>
      <c r="B80" s="122" t="s">
        <v>778</v>
      </c>
      <c r="C80" s="133" t="s">
        <v>603</v>
      </c>
      <c r="D80" s="134" t="s">
        <v>604</v>
      </c>
      <c r="E80" s="135">
        <v>41255</v>
      </c>
      <c r="F80" s="141"/>
      <c r="G80" s="63">
        <v>2012</v>
      </c>
      <c r="H80" s="133" t="s">
        <v>899</v>
      </c>
      <c r="I80" s="137" t="s">
        <v>908</v>
      </c>
      <c r="J80" s="116">
        <v>602188</v>
      </c>
      <c r="K80" s="138">
        <v>79396</v>
      </c>
      <c r="L80" s="139">
        <v>508711</v>
      </c>
      <c r="M80" s="139"/>
      <c r="N80" s="140">
        <v>4117</v>
      </c>
    </row>
    <row r="81" spans="1:15" ht="28.5" customHeight="1" x14ac:dyDescent="0.25">
      <c r="A81" s="122">
        <v>1</v>
      </c>
      <c r="B81" s="152" t="s">
        <v>758</v>
      </c>
      <c r="C81" s="124" t="s">
        <v>646</v>
      </c>
      <c r="D81" s="127" t="s">
        <v>282</v>
      </c>
      <c r="E81" s="153">
        <v>41710</v>
      </c>
      <c r="F81" s="127"/>
      <c r="G81" s="13">
        <v>2014</v>
      </c>
      <c r="H81" s="124" t="s">
        <v>899</v>
      </c>
      <c r="I81" s="125" t="s">
        <v>909</v>
      </c>
      <c r="J81" s="128">
        <v>1560000</v>
      </c>
      <c r="K81" s="128">
        <v>180000</v>
      </c>
      <c r="L81" s="71">
        <v>1432760</v>
      </c>
      <c r="M81" s="71">
        <v>0</v>
      </c>
      <c r="N81" s="154">
        <v>0</v>
      </c>
    </row>
    <row r="82" spans="1:15" ht="28.5" customHeight="1" x14ac:dyDescent="0.25">
      <c r="A82" s="122">
        <v>1</v>
      </c>
      <c r="B82" s="155" t="s">
        <v>758</v>
      </c>
      <c r="C82" s="124" t="s">
        <v>647</v>
      </c>
      <c r="D82" s="127" t="s">
        <v>604</v>
      </c>
      <c r="E82" s="153">
        <v>41710</v>
      </c>
      <c r="F82" s="127"/>
      <c r="G82" s="13">
        <v>2014</v>
      </c>
      <c r="H82" s="124" t="s">
        <v>899</v>
      </c>
      <c r="I82" s="125" t="s">
        <v>910</v>
      </c>
      <c r="J82" s="128">
        <v>1100000</v>
      </c>
      <c r="K82" s="128">
        <v>100000</v>
      </c>
      <c r="L82" s="71">
        <v>354500</v>
      </c>
      <c r="M82" s="71">
        <v>0</v>
      </c>
      <c r="N82" s="154">
        <v>0</v>
      </c>
    </row>
    <row r="83" spans="1:15" ht="45" customHeight="1" x14ac:dyDescent="0.25">
      <c r="A83" s="122">
        <v>1</v>
      </c>
      <c r="B83" s="155" t="s">
        <v>766</v>
      </c>
      <c r="C83" s="124" t="s">
        <v>648</v>
      </c>
      <c r="D83" s="127" t="s">
        <v>649</v>
      </c>
      <c r="E83" s="153">
        <v>41751</v>
      </c>
      <c r="F83" s="127"/>
      <c r="G83" s="127">
        <v>14</v>
      </c>
      <c r="H83" s="124" t="s">
        <v>899</v>
      </c>
      <c r="I83" s="125" t="s">
        <v>911</v>
      </c>
      <c r="J83" s="128">
        <v>475241</v>
      </c>
      <c r="K83" s="128">
        <v>36557</v>
      </c>
      <c r="L83" s="71">
        <v>203100</v>
      </c>
      <c r="M83" s="71">
        <v>0</v>
      </c>
      <c r="N83" s="154">
        <v>0</v>
      </c>
      <c r="O83" s="4">
        <v>1</v>
      </c>
    </row>
    <row r="84" spans="1:15" ht="45" customHeight="1" x14ac:dyDescent="0.25">
      <c r="A84" s="141"/>
      <c r="B84" s="141"/>
      <c r="C84" s="124" t="s">
        <v>706</v>
      </c>
      <c r="D84" s="127" t="s">
        <v>649</v>
      </c>
      <c r="E84" s="153">
        <v>42193</v>
      </c>
      <c r="F84" s="141"/>
      <c r="G84" s="141">
        <v>15</v>
      </c>
      <c r="H84" s="124" t="s">
        <v>899</v>
      </c>
      <c r="I84" s="125" t="s">
        <v>912</v>
      </c>
      <c r="J84" s="128">
        <v>227475</v>
      </c>
      <c r="K84" s="128">
        <v>16420</v>
      </c>
      <c r="L84" s="71">
        <v>67000</v>
      </c>
      <c r="M84" s="71">
        <v>0</v>
      </c>
      <c r="N84" s="154">
        <v>0</v>
      </c>
      <c r="O84" s="4">
        <v>1</v>
      </c>
    </row>
    <row r="85" spans="1:15" ht="28.5" customHeight="1" x14ac:dyDescent="0.25">
      <c r="A85" s="122">
        <v>2</v>
      </c>
      <c r="B85" s="131" t="s">
        <v>785</v>
      </c>
      <c r="C85" s="124" t="s">
        <v>557</v>
      </c>
      <c r="D85" s="127" t="s">
        <v>558</v>
      </c>
      <c r="E85" s="126">
        <v>40541</v>
      </c>
      <c r="F85" s="127" t="s">
        <v>913</v>
      </c>
      <c r="G85" s="63">
        <v>2010</v>
      </c>
      <c r="H85" s="124" t="s">
        <v>914</v>
      </c>
      <c r="I85" s="125" t="s">
        <v>915</v>
      </c>
      <c r="J85" s="128">
        <v>158156</v>
      </c>
      <c r="K85" s="128">
        <v>14431</v>
      </c>
      <c r="L85" s="129">
        <v>90678</v>
      </c>
      <c r="M85" s="129">
        <v>0</v>
      </c>
      <c r="N85" s="130">
        <v>1085</v>
      </c>
    </row>
    <row r="86" spans="1:15" ht="45" customHeight="1" x14ac:dyDescent="0.25">
      <c r="A86" s="122">
        <v>2</v>
      </c>
      <c r="B86" s="123" t="s">
        <v>758</v>
      </c>
      <c r="C86" s="124" t="s">
        <v>489</v>
      </c>
      <c r="D86" s="127" t="s">
        <v>490</v>
      </c>
      <c r="E86" s="126" t="s">
        <v>485</v>
      </c>
      <c r="F86" s="127" t="s">
        <v>916</v>
      </c>
      <c r="G86" s="127">
        <v>10</v>
      </c>
      <c r="H86" s="124" t="s">
        <v>914</v>
      </c>
      <c r="I86" s="125" t="s">
        <v>917</v>
      </c>
      <c r="J86" s="128">
        <v>444951</v>
      </c>
      <c r="K86" s="128">
        <v>34227</v>
      </c>
      <c r="L86" s="156">
        <v>227968</v>
      </c>
      <c r="M86" s="156">
        <v>84</v>
      </c>
      <c r="N86" s="157">
        <v>1837</v>
      </c>
      <c r="O86" s="4">
        <v>1</v>
      </c>
    </row>
    <row r="87" spans="1:15" ht="28.5" customHeight="1" x14ac:dyDescent="0.25">
      <c r="A87" s="158">
        <v>1</v>
      </c>
      <c r="B87" s="158" t="s">
        <v>758</v>
      </c>
      <c r="C87" s="133" t="s">
        <v>601</v>
      </c>
      <c r="D87" s="134" t="s">
        <v>602</v>
      </c>
      <c r="E87" s="135">
        <v>41255</v>
      </c>
      <c r="F87" s="136"/>
      <c r="G87" s="63">
        <v>2012</v>
      </c>
      <c r="H87" s="133" t="s">
        <v>914</v>
      </c>
      <c r="I87" s="137" t="s">
        <v>918</v>
      </c>
      <c r="J87" s="159">
        <v>1287920</v>
      </c>
      <c r="K87" s="138">
        <v>99071</v>
      </c>
      <c r="L87" s="139">
        <v>778716</v>
      </c>
      <c r="M87" s="139"/>
      <c r="N87" s="140"/>
    </row>
    <row r="88" spans="1:15" ht="28.5" customHeight="1" x14ac:dyDescent="0.25">
      <c r="A88" s="122">
        <v>1</v>
      </c>
      <c r="B88" s="122" t="s">
        <v>785</v>
      </c>
      <c r="C88" s="124" t="s">
        <v>652</v>
      </c>
      <c r="D88" s="127" t="s">
        <v>653</v>
      </c>
      <c r="E88" s="153">
        <v>41773</v>
      </c>
      <c r="F88" s="127"/>
      <c r="G88" s="13">
        <v>2014</v>
      </c>
      <c r="H88" s="124" t="s">
        <v>914</v>
      </c>
      <c r="I88" s="125" t="s">
        <v>919</v>
      </c>
      <c r="J88" s="128">
        <v>3000000</v>
      </c>
      <c r="K88" s="128">
        <v>46026</v>
      </c>
      <c r="L88" s="71">
        <v>3227583</v>
      </c>
      <c r="M88" s="71">
        <v>0</v>
      </c>
      <c r="N88" s="154">
        <v>0</v>
      </c>
    </row>
    <row r="89" spans="1:15" ht="45" customHeight="1" x14ac:dyDescent="0.25">
      <c r="A89" s="141"/>
      <c r="B89" s="141"/>
      <c r="C89" s="124" t="s">
        <v>693</v>
      </c>
      <c r="D89" s="127" t="s">
        <v>694</v>
      </c>
      <c r="E89" s="153">
        <v>42018</v>
      </c>
      <c r="F89" s="141"/>
      <c r="G89" s="141">
        <v>15</v>
      </c>
      <c r="H89" s="124" t="s">
        <v>914</v>
      </c>
      <c r="I89" s="125" t="s">
        <v>920</v>
      </c>
      <c r="J89" s="128">
        <v>562000</v>
      </c>
      <c r="K89" s="128">
        <v>35672</v>
      </c>
      <c r="L89" s="71">
        <v>320690</v>
      </c>
      <c r="M89" s="71">
        <v>0</v>
      </c>
      <c r="N89" s="154">
        <v>0</v>
      </c>
      <c r="O89" s="4">
        <v>1</v>
      </c>
    </row>
    <row r="90" spans="1:15" ht="28.5" customHeight="1" x14ac:dyDescent="0.25">
      <c r="A90" s="141"/>
      <c r="B90" s="141"/>
      <c r="C90" s="124" t="s">
        <v>921</v>
      </c>
      <c r="D90" s="127" t="s">
        <v>713</v>
      </c>
      <c r="E90" s="153">
        <v>42291</v>
      </c>
      <c r="F90" s="141"/>
      <c r="G90" s="141">
        <v>2015</v>
      </c>
      <c r="H90" s="124" t="s">
        <v>914</v>
      </c>
      <c r="I90" s="125" t="s">
        <v>922</v>
      </c>
      <c r="J90" s="128">
        <v>2200000</v>
      </c>
      <c r="K90" s="128">
        <v>181497</v>
      </c>
      <c r="L90" s="71">
        <v>1150000</v>
      </c>
      <c r="M90" s="71">
        <v>0</v>
      </c>
      <c r="N90" s="154">
        <v>0</v>
      </c>
    </row>
    <row r="91" spans="1:15" ht="28.5" customHeight="1" x14ac:dyDescent="0.25">
      <c r="A91" s="122">
        <v>2</v>
      </c>
      <c r="B91" s="131" t="s">
        <v>758</v>
      </c>
      <c r="C91" s="124" t="s">
        <v>522</v>
      </c>
      <c r="D91" s="127" t="s">
        <v>523</v>
      </c>
      <c r="E91" s="126" t="s">
        <v>521</v>
      </c>
      <c r="F91" s="127" t="s">
        <v>923</v>
      </c>
      <c r="G91" s="63">
        <v>2010</v>
      </c>
      <c r="H91" s="124" t="s">
        <v>924</v>
      </c>
      <c r="I91" s="125" t="s">
        <v>925</v>
      </c>
      <c r="J91" s="128">
        <v>189930</v>
      </c>
      <c r="K91" s="128">
        <v>14600</v>
      </c>
      <c r="L91" s="129">
        <v>170714</v>
      </c>
      <c r="M91" s="129">
        <v>0</v>
      </c>
      <c r="N91" s="130">
        <v>0</v>
      </c>
    </row>
    <row r="92" spans="1:15" ht="28.5" customHeight="1" x14ac:dyDescent="0.25">
      <c r="A92" s="122">
        <v>2</v>
      </c>
      <c r="B92" s="122" t="s">
        <v>789</v>
      </c>
      <c r="C92" s="124" t="s">
        <v>480</v>
      </c>
      <c r="D92" s="127" t="s">
        <v>481</v>
      </c>
      <c r="E92" s="126" t="s">
        <v>479</v>
      </c>
      <c r="F92" s="127" t="s">
        <v>926</v>
      </c>
      <c r="G92" s="63">
        <v>2009</v>
      </c>
      <c r="H92" s="124" t="s">
        <v>924</v>
      </c>
      <c r="I92" s="125" t="s">
        <v>927</v>
      </c>
      <c r="J92" s="128">
        <v>908700</v>
      </c>
      <c r="K92" s="128">
        <v>69900</v>
      </c>
      <c r="L92" s="129">
        <v>184531</v>
      </c>
      <c r="M92" s="129">
        <v>0</v>
      </c>
      <c r="N92" s="130">
        <v>0</v>
      </c>
    </row>
    <row r="93" spans="1:15" ht="28.5" customHeight="1" x14ac:dyDescent="0.25">
      <c r="A93" s="122">
        <v>2</v>
      </c>
      <c r="B93" s="123" t="s">
        <v>789</v>
      </c>
      <c r="C93" s="124" t="s">
        <v>554</v>
      </c>
      <c r="D93" s="127" t="s">
        <v>481</v>
      </c>
      <c r="E93" s="126">
        <v>40527</v>
      </c>
      <c r="F93" s="127" t="s">
        <v>926</v>
      </c>
      <c r="G93" s="63">
        <v>2010</v>
      </c>
      <c r="H93" s="124" t="s">
        <v>924</v>
      </c>
      <c r="I93" s="125" t="s">
        <v>928</v>
      </c>
      <c r="J93" s="128">
        <v>37812</v>
      </c>
      <c r="K93" s="128">
        <v>3438</v>
      </c>
      <c r="L93" s="129">
        <v>33999</v>
      </c>
      <c r="M93" s="129">
        <v>11.3</v>
      </c>
      <c r="N93" s="130">
        <v>0</v>
      </c>
    </row>
    <row r="94" spans="1:15" ht="28.5" customHeight="1" x14ac:dyDescent="0.25">
      <c r="A94" s="122">
        <v>2</v>
      </c>
      <c r="B94" s="131" t="s">
        <v>766</v>
      </c>
      <c r="C94" s="160" t="s">
        <v>576</v>
      </c>
      <c r="D94" s="160" t="s">
        <v>577</v>
      </c>
      <c r="E94" s="126">
        <v>40849</v>
      </c>
      <c r="F94" s="161"/>
      <c r="G94" s="106">
        <v>2011</v>
      </c>
      <c r="H94" s="131" t="s">
        <v>924</v>
      </c>
      <c r="I94" s="125" t="s">
        <v>929</v>
      </c>
      <c r="J94" s="162">
        <v>458633</v>
      </c>
      <c r="K94" s="162">
        <v>57633</v>
      </c>
      <c r="L94" s="163">
        <v>473000</v>
      </c>
      <c r="M94" s="129"/>
      <c r="N94" s="130"/>
    </row>
    <row r="95" spans="1:15" ht="28.5" customHeight="1" x14ac:dyDescent="0.25">
      <c r="A95" s="122">
        <v>1</v>
      </c>
      <c r="B95" s="122" t="s">
        <v>829</v>
      </c>
      <c r="C95" s="124" t="s">
        <v>634</v>
      </c>
      <c r="D95" s="127" t="s">
        <v>635</v>
      </c>
      <c r="E95" s="153">
        <v>41435</v>
      </c>
      <c r="F95" s="161"/>
      <c r="G95" s="63">
        <v>2013</v>
      </c>
      <c r="H95" s="131" t="s">
        <v>924</v>
      </c>
      <c r="I95" s="125" t="s">
        <v>930</v>
      </c>
      <c r="J95" s="128">
        <v>1439914</v>
      </c>
      <c r="K95" s="128">
        <v>110763</v>
      </c>
      <c r="L95" s="71">
        <v>738246</v>
      </c>
      <c r="M95" s="71">
        <v>0</v>
      </c>
      <c r="N95" s="154">
        <v>0</v>
      </c>
    </row>
    <row r="96" spans="1:15" ht="28.5" customHeight="1" x14ac:dyDescent="0.25">
      <c r="A96" s="141"/>
      <c r="B96" s="141"/>
      <c r="C96" s="124" t="s">
        <v>691</v>
      </c>
      <c r="D96" s="127" t="s">
        <v>692</v>
      </c>
      <c r="E96" s="153">
        <v>42018</v>
      </c>
      <c r="F96" s="141"/>
      <c r="G96" s="141">
        <v>2015</v>
      </c>
      <c r="H96" s="131" t="s">
        <v>924</v>
      </c>
      <c r="I96" s="125" t="s">
        <v>931</v>
      </c>
      <c r="J96" s="128">
        <v>3000000</v>
      </c>
      <c r="K96" s="128">
        <v>268789</v>
      </c>
      <c r="L96" s="71">
        <v>2112291</v>
      </c>
      <c r="M96" s="71">
        <v>0</v>
      </c>
      <c r="N96" s="154">
        <v>0</v>
      </c>
    </row>
    <row r="97" spans="1:15" ht="28.5" customHeight="1" x14ac:dyDescent="0.25">
      <c r="A97" s="122">
        <v>1</v>
      </c>
      <c r="B97" s="155" t="s">
        <v>785</v>
      </c>
      <c r="C97" s="164" t="s">
        <v>595</v>
      </c>
      <c r="D97" s="142" t="s">
        <v>596</v>
      </c>
      <c r="E97" s="126">
        <v>41255</v>
      </c>
      <c r="F97" s="127"/>
      <c r="G97" s="63">
        <v>2012</v>
      </c>
      <c r="H97" s="124" t="s">
        <v>932</v>
      </c>
      <c r="I97" s="125" t="s">
        <v>933</v>
      </c>
      <c r="J97" s="61">
        <v>2000000</v>
      </c>
      <c r="K97" s="162">
        <v>188216</v>
      </c>
      <c r="L97" s="163">
        <v>1548853</v>
      </c>
      <c r="M97" s="163"/>
      <c r="N97" s="165"/>
    </row>
    <row r="98" spans="1:15" ht="28.5" customHeight="1" x14ac:dyDescent="0.25">
      <c r="A98" s="122">
        <v>1</v>
      </c>
      <c r="B98" s="152" t="s">
        <v>751</v>
      </c>
      <c r="C98" s="124" t="s">
        <v>612</v>
      </c>
      <c r="D98" s="127" t="s">
        <v>613</v>
      </c>
      <c r="E98" s="153">
        <v>41318</v>
      </c>
      <c r="F98" s="127"/>
      <c r="G98" s="63">
        <v>2013</v>
      </c>
      <c r="H98" s="124" t="s">
        <v>932</v>
      </c>
      <c r="I98" s="125" t="s">
        <v>934</v>
      </c>
      <c r="J98" s="128">
        <v>750000</v>
      </c>
      <c r="K98" s="128">
        <v>97197</v>
      </c>
      <c r="L98" s="71">
        <v>694261</v>
      </c>
      <c r="M98" s="71">
        <v>0</v>
      </c>
      <c r="N98" s="154">
        <v>0</v>
      </c>
    </row>
    <row r="99" spans="1:15" ht="45" customHeight="1" x14ac:dyDescent="0.25">
      <c r="A99" s="141"/>
      <c r="B99" s="141"/>
      <c r="C99" s="124" t="s">
        <v>935</v>
      </c>
      <c r="D99" s="127" t="s">
        <v>715</v>
      </c>
      <c r="E99" s="153">
        <v>42291</v>
      </c>
      <c r="F99" s="141"/>
      <c r="G99" s="141">
        <v>15</v>
      </c>
      <c r="H99" s="124" t="s">
        <v>932</v>
      </c>
      <c r="I99" s="125" t="s">
        <v>936</v>
      </c>
      <c r="J99" s="128">
        <v>146240</v>
      </c>
      <c r="K99" s="128">
        <v>22533</v>
      </c>
      <c r="L99" s="71">
        <v>89595</v>
      </c>
      <c r="M99" s="71">
        <v>0</v>
      </c>
      <c r="N99" s="154">
        <v>0</v>
      </c>
      <c r="O99" s="4">
        <v>1</v>
      </c>
    </row>
    <row r="100" spans="1:15" ht="45" customHeight="1" x14ac:dyDescent="0.25">
      <c r="A100" s="122">
        <v>1</v>
      </c>
      <c r="B100" s="131" t="s">
        <v>829</v>
      </c>
      <c r="C100" s="124" t="s">
        <v>486</v>
      </c>
      <c r="D100" s="127" t="s">
        <v>349</v>
      </c>
      <c r="E100" s="126">
        <v>40191</v>
      </c>
      <c r="F100" s="127" t="s">
        <v>937</v>
      </c>
      <c r="G100" s="127">
        <v>10</v>
      </c>
      <c r="H100" s="124" t="s">
        <v>938</v>
      </c>
      <c r="I100" s="125" t="s">
        <v>939</v>
      </c>
      <c r="J100" s="128">
        <v>47000</v>
      </c>
      <c r="K100" s="128">
        <v>4258</v>
      </c>
      <c r="L100" s="129">
        <v>24229</v>
      </c>
      <c r="M100" s="129">
        <v>0</v>
      </c>
      <c r="N100" s="130">
        <v>0</v>
      </c>
      <c r="O100" s="4">
        <v>1</v>
      </c>
    </row>
    <row r="101" spans="1:15" ht="28.5" customHeight="1" x14ac:dyDescent="0.25">
      <c r="A101" s="158">
        <v>1</v>
      </c>
      <c r="B101" s="166" t="s">
        <v>751</v>
      </c>
      <c r="C101" s="133" t="s">
        <v>593</v>
      </c>
      <c r="D101" s="167" t="s">
        <v>594</v>
      </c>
      <c r="E101" s="135">
        <v>41192</v>
      </c>
      <c r="F101" s="136"/>
      <c r="G101" s="63">
        <v>2012</v>
      </c>
      <c r="H101" s="133" t="s">
        <v>938</v>
      </c>
      <c r="I101" s="137" t="s">
        <v>940</v>
      </c>
      <c r="J101" s="138">
        <v>2991209</v>
      </c>
      <c r="K101" s="138">
        <v>471682</v>
      </c>
      <c r="L101" s="139">
        <v>3161697</v>
      </c>
      <c r="M101" s="139">
        <v>0</v>
      </c>
      <c r="N101" s="140">
        <v>61091</v>
      </c>
    </row>
    <row r="102" spans="1:15" ht="28.5" customHeight="1" x14ac:dyDescent="0.25">
      <c r="A102" s="122">
        <v>1</v>
      </c>
      <c r="B102" s="155" t="s">
        <v>751</v>
      </c>
      <c r="C102" s="124" t="s">
        <v>644</v>
      </c>
      <c r="D102" s="127" t="s">
        <v>645</v>
      </c>
      <c r="E102" s="126">
        <v>41710</v>
      </c>
      <c r="F102" s="127"/>
      <c r="G102" s="13">
        <v>2014</v>
      </c>
      <c r="H102" s="124" t="s">
        <v>938</v>
      </c>
      <c r="I102" s="125" t="s">
        <v>910</v>
      </c>
      <c r="J102" s="128">
        <v>1100000</v>
      </c>
      <c r="K102" s="128">
        <v>100000</v>
      </c>
      <c r="L102" s="71">
        <v>354500</v>
      </c>
      <c r="M102" s="71">
        <v>0</v>
      </c>
      <c r="N102" s="154">
        <v>0</v>
      </c>
    </row>
    <row r="103" spans="1:15" ht="28.5" customHeight="1" x14ac:dyDescent="0.25">
      <c r="A103" s="122">
        <v>1</v>
      </c>
      <c r="B103" s="155" t="s">
        <v>941</v>
      </c>
      <c r="C103" s="124" t="s">
        <v>650</v>
      </c>
      <c r="D103" s="127" t="s">
        <v>651</v>
      </c>
      <c r="E103" s="153">
        <v>41751</v>
      </c>
      <c r="F103" s="127"/>
      <c r="G103" s="13">
        <v>2014</v>
      </c>
      <c r="H103" s="124" t="s">
        <v>938</v>
      </c>
      <c r="I103" s="125" t="s">
        <v>942</v>
      </c>
      <c r="J103" s="128">
        <v>1812722</v>
      </c>
      <c r="K103" s="128">
        <v>143622</v>
      </c>
      <c r="L103" s="71">
        <v>1163896</v>
      </c>
      <c r="M103" s="71">
        <v>0</v>
      </c>
      <c r="N103" s="154">
        <v>0</v>
      </c>
    </row>
    <row r="104" spans="1:15" ht="45" customHeight="1" x14ac:dyDescent="0.25">
      <c r="A104" s="122">
        <v>1</v>
      </c>
      <c r="B104" s="122" t="s">
        <v>805</v>
      </c>
      <c r="C104" s="124" t="s">
        <v>666</v>
      </c>
      <c r="D104" s="125" t="s">
        <v>667</v>
      </c>
      <c r="E104" s="153">
        <v>41960</v>
      </c>
      <c r="F104" s="141"/>
      <c r="G104" s="141">
        <v>14</v>
      </c>
      <c r="H104" s="124" t="s">
        <v>938</v>
      </c>
      <c r="I104" s="125" t="s">
        <v>943</v>
      </c>
      <c r="J104" s="128">
        <v>794812</v>
      </c>
      <c r="K104" s="128">
        <v>44922</v>
      </c>
      <c r="L104" s="71">
        <v>228428</v>
      </c>
      <c r="M104" s="71">
        <v>0</v>
      </c>
      <c r="N104" s="154">
        <v>0</v>
      </c>
      <c r="O104" s="4">
        <v>1</v>
      </c>
    </row>
    <row r="105" spans="1:15" ht="45" customHeight="1" x14ac:dyDescent="0.25">
      <c r="A105" s="122">
        <v>1</v>
      </c>
      <c r="B105" s="122" t="s">
        <v>805</v>
      </c>
      <c r="C105" s="124" t="s">
        <v>668</v>
      </c>
      <c r="D105" s="125" t="s">
        <v>669</v>
      </c>
      <c r="E105" s="153">
        <v>41960</v>
      </c>
      <c r="F105" s="141"/>
      <c r="G105" s="141">
        <v>14</v>
      </c>
      <c r="H105" s="124" t="s">
        <v>938</v>
      </c>
      <c r="I105" s="125" t="s">
        <v>943</v>
      </c>
      <c r="J105" s="128">
        <v>692584</v>
      </c>
      <c r="K105" s="128">
        <v>43161</v>
      </c>
      <c r="L105" s="71">
        <v>199902</v>
      </c>
      <c r="M105" s="71">
        <v>0</v>
      </c>
      <c r="N105" s="154">
        <v>0</v>
      </c>
      <c r="O105" s="4">
        <v>1</v>
      </c>
    </row>
    <row r="106" spans="1:15" ht="45" customHeight="1" x14ac:dyDescent="0.25">
      <c r="A106" s="122">
        <v>1</v>
      </c>
      <c r="B106" s="122" t="s">
        <v>805</v>
      </c>
      <c r="C106" s="124" t="s">
        <v>670</v>
      </c>
      <c r="D106" s="125" t="s">
        <v>671</v>
      </c>
      <c r="E106" s="153">
        <v>41960</v>
      </c>
      <c r="F106" s="141"/>
      <c r="G106" s="141">
        <v>14</v>
      </c>
      <c r="H106" s="124" t="s">
        <v>938</v>
      </c>
      <c r="I106" s="125" t="s">
        <v>943</v>
      </c>
      <c r="J106" s="128">
        <v>478754</v>
      </c>
      <c r="K106" s="128">
        <v>30266</v>
      </c>
      <c r="L106" s="71">
        <v>145594</v>
      </c>
      <c r="M106" s="71">
        <v>0</v>
      </c>
      <c r="N106" s="154">
        <v>0</v>
      </c>
      <c r="O106" s="4">
        <v>1</v>
      </c>
    </row>
    <row r="107" spans="1:15" ht="28.5" customHeight="1" x14ac:dyDescent="0.25">
      <c r="A107" s="122">
        <v>1</v>
      </c>
      <c r="B107" s="122" t="s">
        <v>805</v>
      </c>
      <c r="C107" s="124" t="s">
        <v>672</v>
      </c>
      <c r="D107" s="125" t="s">
        <v>673</v>
      </c>
      <c r="E107" s="153">
        <v>41960</v>
      </c>
      <c r="F107" s="141"/>
      <c r="G107" s="13">
        <v>2014</v>
      </c>
      <c r="H107" s="124" t="s">
        <v>938</v>
      </c>
      <c r="I107" s="125" t="s">
        <v>944</v>
      </c>
      <c r="J107" s="128">
        <v>65887</v>
      </c>
      <c r="K107" s="128">
        <v>5714</v>
      </c>
      <c r="L107" s="71">
        <v>31709</v>
      </c>
      <c r="M107" s="71">
        <v>0</v>
      </c>
      <c r="N107" s="154">
        <v>0</v>
      </c>
    </row>
    <row r="108" spans="1:15" ht="45" customHeight="1" x14ac:dyDescent="0.25">
      <c r="A108" s="122">
        <v>1</v>
      </c>
      <c r="B108" s="122" t="s">
        <v>805</v>
      </c>
      <c r="C108" s="124" t="s">
        <v>674</v>
      </c>
      <c r="D108" s="125" t="s">
        <v>675</v>
      </c>
      <c r="E108" s="153">
        <v>41960</v>
      </c>
      <c r="F108" s="141"/>
      <c r="G108" s="141">
        <v>14</v>
      </c>
      <c r="H108" s="124" t="s">
        <v>938</v>
      </c>
      <c r="I108" s="125" t="s">
        <v>943</v>
      </c>
      <c r="J108" s="128">
        <v>534346</v>
      </c>
      <c r="K108" s="128">
        <v>31362</v>
      </c>
      <c r="L108" s="71">
        <v>162739</v>
      </c>
      <c r="M108" s="71">
        <v>0</v>
      </c>
      <c r="N108" s="154">
        <v>0</v>
      </c>
      <c r="O108" s="4">
        <v>1</v>
      </c>
    </row>
    <row r="109" spans="1:15" ht="28.5" customHeight="1" x14ac:dyDescent="0.25">
      <c r="A109" s="122">
        <v>1</v>
      </c>
      <c r="B109" s="122" t="s">
        <v>805</v>
      </c>
      <c r="C109" s="124" t="s">
        <v>676</v>
      </c>
      <c r="D109" s="125" t="s">
        <v>677</v>
      </c>
      <c r="E109" s="153">
        <v>41960</v>
      </c>
      <c r="F109" s="141"/>
      <c r="G109" s="13">
        <v>2014</v>
      </c>
      <c r="H109" s="124" t="s">
        <v>938</v>
      </c>
      <c r="I109" s="125" t="s">
        <v>944</v>
      </c>
      <c r="J109" s="128">
        <v>81218</v>
      </c>
      <c r="K109" s="128">
        <v>7250</v>
      </c>
      <c r="L109" s="71">
        <v>40266</v>
      </c>
      <c r="M109" s="71">
        <v>0</v>
      </c>
      <c r="N109" s="154">
        <v>0</v>
      </c>
    </row>
    <row r="110" spans="1:15" ht="45" customHeight="1" x14ac:dyDescent="0.25">
      <c r="A110" s="122">
        <v>1</v>
      </c>
      <c r="B110" s="122" t="s">
        <v>805</v>
      </c>
      <c r="C110" s="124" t="s">
        <v>678</v>
      </c>
      <c r="D110" s="125" t="s">
        <v>679</v>
      </c>
      <c r="E110" s="153">
        <v>41960</v>
      </c>
      <c r="F110" s="141"/>
      <c r="G110" s="141">
        <v>14</v>
      </c>
      <c r="H110" s="124" t="s">
        <v>938</v>
      </c>
      <c r="I110" s="125" t="s">
        <v>876</v>
      </c>
      <c r="J110" s="128">
        <v>513000</v>
      </c>
      <c r="K110" s="128">
        <v>31838</v>
      </c>
      <c r="L110" s="71">
        <v>158220</v>
      </c>
      <c r="M110" s="71">
        <v>0</v>
      </c>
      <c r="N110" s="154">
        <v>0</v>
      </c>
      <c r="O110" s="4">
        <v>1</v>
      </c>
    </row>
    <row r="111" spans="1:15" ht="45" customHeight="1" x14ac:dyDescent="0.25">
      <c r="A111" s="122">
        <v>1</v>
      </c>
      <c r="B111" s="122" t="s">
        <v>805</v>
      </c>
      <c r="C111" s="124" t="s">
        <v>680</v>
      </c>
      <c r="D111" s="125" t="s">
        <v>681</v>
      </c>
      <c r="E111" s="153">
        <v>41960</v>
      </c>
      <c r="F111" s="141"/>
      <c r="G111" s="141">
        <v>14</v>
      </c>
      <c r="H111" s="124" t="s">
        <v>938</v>
      </c>
      <c r="I111" s="125" t="s">
        <v>943</v>
      </c>
      <c r="J111" s="128">
        <v>1084933</v>
      </c>
      <c r="K111" s="128">
        <v>62729</v>
      </c>
      <c r="L111" s="71">
        <v>326912</v>
      </c>
      <c r="M111" s="71">
        <v>0</v>
      </c>
      <c r="N111" s="154">
        <v>0</v>
      </c>
      <c r="O111" s="4">
        <v>1</v>
      </c>
    </row>
    <row r="112" spans="1:15" ht="45" customHeight="1" x14ac:dyDescent="0.25">
      <c r="A112" s="122">
        <v>1</v>
      </c>
      <c r="B112" s="122" t="s">
        <v>805</v>
      </c>
      <c r="C112" s="124" t="s">
        <v>682</v>
      </c>
      <c r="D112" s="125" t="s">
        <v>683</v>
      </c>
      <c r="E112" s="153">
        <v>41960</v>
      </c>
      <c r="F112" s="141"/>
      <c r="G112" s="141">
        <v>14</v>
      </c>
      <c r="H112" s="124" t="s">
        <v>938</v>
      </c>
      <c r="I112" s="125" t="s">
        <v>943</v>
      </c>
      <c r="J112" s="128">
        <v>1078750</v>
      </c>
      <c r="K112" s="128">
        <v>79319</v>
      </c>
      <c r="L112" s="71">
        <v>330645</v>
      </c>
      <c r="M112" s="71">
        <v>0</v>
      </c>
      <c r="N112" s="154">
        <v>0</v>
      </c>
      <c r="O112" s="4">
        <v>1</v>
      </c>
    </row>
    <row r="113" spans="1:15" ht="45" customHeight="1" x14ac:dyDescent="0.25">
      <c r="A113" s="122">
        <v>1</v>
      </c>
      <c r="B113" s="122" t="s">
        <v>805</v>
      </c>
      <c r="C113" s="124" t="s">
        <v>684</v>
      </c>
      <c r="D113" s="125" t="s">
        <v>685</v>
      </c>
      <c r="E113" s="153">
        <v>41960</v>
      </c>
      <c r="F113" s="141"/>
      <c r="G113" s="141">
        <v>14</v>
      </c>
      <c r="H113" s="124" t="s">
        <v>938</v>
      </c>
      <c r="I113" s="125" t="s">
        <v>943</v>
      </c>
      <c r="J113" s="128">
        <v>796007</v>
      </c>
      <c r="K113" s="128">
        <v>62512</v>
      </c>
      <c r="L113" s="71">
        <v>243441</v>
      </c>
      <c r="M113" s="71">
        <v>0</v>
      </c>
      <c r="N113" s="154">
        <v>0</v>
      </c>
      <c r="O113" s="4">
        <v>1</v>
      </c>
    </row>
    <row r="114" spans="1:15" ht="45" customHeight="1" x14ac:dyDescent="0.25">
      <c r="A114" s="122">
        <v>1</v>
      </c>
      <c r="B114" s="122" t="s">
        <v>805</v>
      </c>
      <c r="C114" s="124" t="s">
        <v>686</v>
      </c>
      <c r="D114" s="125" t="s">
        <v>687</v>
      </c>
      <c r="E114" s="153">
        <v>41960</v>
      </c>
      <c r="F114" s="141"/>
      <c r="G114" s="141">
        <v>14</v>
      </c>
      <c r="H114" s="124" t="s">
        <v>938</v>
      </c>
      <c r="I114" s="125" t="s">
        <v>943</v>
      </c>
      <c r="J114" s="128">
        <v>1378638</v>
      </c>
      <c r="K114" s="128">
        <v>84287</v>
      </c>
      <c r="L114" s="71">
        <v>410763</v>
      </c>
      <c r="M114" s="71">
        <v>0</v>
      </c>
      <c r="N114" s="154">
        <v>0</v>
      </c>
      <c r="O114" s="4">
        <v>1</v>
      </c>
    </row>
    <row r="115" spans="1:15" ht="28.5" customHeight="1" x14ac:dyDescent="0.25">
      <c r="A115" s="122">
        <v>1</v>
      </c>
      <c r="B115" s="123" t="s">
        <v>903</v>
      </c>
      <c r="C115" s="124" t="s">
        <v>545</v>
      </c>
      <c r="D115" s="127" t="s">
        <v>546</v>
      </c>
      <c r="E115" s="126">
        <v>40359</v>
      </c>
      <c r="F115" s="127" t="s">
        <v>945</v>
      </c>
      <c r="G115" s="63">
        <v>2010</v>
      </c>
      <c r="H115" s="124" t="s">
        <v>946</v>
      </c>
      <c r="I115" s="125" t="s">
        <v>947</v>
      </c>
      <c r="J115" s="128">
        <v>756984</v>
      </c>
      <c r="K115" s="128">
        <v>68828</v>
      </c>
      <c r="L115" s="129">
        <v>551230</v>
      </c>
      <c r="M115" s="129">
        <v>0</v>
      </c>
      <c r="N115" s="130">
        <v>0</v>
      </c>
    </row>
    <row r="116" spans="1:15" ht="28.5" customHeight="1" x14ac:dyDescent="0.25">
      <c r="A116" s="122">
        <v>1</v>
      </c>
      <c r="B116" s="131" t="s">
        <v>785</v>
      </c>
      <c r="C116" s="124" t="s">
        <v>566</v>
      </c>
      <c r="D116" s="127" t="s">
        <v>567</v>
      </c>
      <c r="E116" s="126">
        <v>40667</v>
      </c>
      <c r="F116" s="127" t="s">
        <v>948</v>
      </c>
      <c r="G116" s="106">
        <v>2011</v>
      </c>
      <c r="H116" s="124" t="s">
        <v>946</v>
      </c>
      <c r="I116" s="125" t="s">
        <v>949</v>
      </c>
      <c r="J116" s="128">
        <v>219993</v>
      </c>
      <c r="K116" s="128">
        <v>50061</v>
      </c>
      <c r="L116" s="129">
        <v>187885</v>
      </c>
      <c r="M116" s="129">
        <v>0</v>
      </c>
      <c r="N116" s="130">
        <v>32785</v>
      </c>
    </row>
    <row r="117" spans="1:15" ht="28.5" customHeight="1" x14ac:dyDescent="0.25">
      <c r="A117" s="122">
        <v>1</v>
      </c>
      <c r="B117" s="155" t="s">
        <v>778</v>
      </c>
      <c r="C117" s="124" t="s">
        <v>624</v>
      </c>
      <c r="D117" s="127" t="s">
        <v>625</v>
      </c>
      <c r="E117" s="153">
        <v>41374</v>
      </c>
      <c r="F117" s="127"/>
      <c r="G117" s="63">
        <v>2013</v>
      </c>
      <c r="H117" s="124" t="s">
        <v>946</v>
      </c>
      <c r="I117" s="125" t="s">
        <v>950</v>
      </c>
      <c r="J117" s="128">
        <v>85000</v>
      </c>
      <c r="K117" s="128">
        <v>6839</v>
      </c>
      <c r="L117" s="71">
        <v>32961</v>
      </c>
      <c r="M117" s="71">
        <v>0</v>
      </c>
      <c r="N117" s="154">
        <v>0</v>
      </c>
    </row>
    <row r="118" spans="1:15" ht="28.5" customHeight="1" x14ac:dyDescent="0.25">
      <c r="A118" s="168"/>
      <c r="B118" s="141"/>
      <c r="C118" s="124" t="s">
        <v>707</v>
      </c>
      <c r="D118" s="127" t="s">
        <v>708</v>
      </c>
      <c r="E118" s="153">
        <v>42228</v>
      </c>
      <c r="F118" s="141"/>
      <c r="G118" s="141">
        <v>2015</v>
      </c>
      <c r="H118" s="124" t="s">
        <v>946</v>
      </c>
      <c r="I118" s="125" t="s">
        <v>951</v>
      </c>
      <c r="J118" s="128">
        <v>1788433</v>
      </c>
      <c r="K118" s="128">
        <v>127063</v>
      </c>
      <c r="L118" s="71">
        <v>749431</v>
      </c>
      <c r="M118" s="71"/>
      <c r="N118" s="154">
        <v>12045</v>
      </c>
    </row>
    <row r="119" spans="1:15" ht="28.5" customHeight="1" x14ac:dyDescent="0.25">
      <c r="A119" s="122">
        <v>1</v>
      </c>
      <c r="B119" s="123" t="s">
        <v>810</v>
      </c>
      <c r="C119" s="124" t="s">
        <v>541</v>
      </c>
      <c r="D119" s="127" t="s">
        <v>542</v>
      </c>
      <c r="E119" s="126">
        <v>40352</v>
      </c>
      <c r="F119" s="127" t="s">
        <v>952</v>
      </c>
      <c r="G119" s="63">
        <v>2010</v>
      </c>
      <c r="H119" s="124" t="s">
        <v>953</v>
      </c>
      <c r="I119" s="125" t="s">
        <v>954</v>
      </c>
      <c r="J119" s="128">
        <v>527380</v>
      </c>
      <c r="K119" s="128">
        <v>52577</v>
      </c>
      <c r="L119" s="129">
        <v>494268</v>
      </c>
      <c r="M119" s="129">
        <v>114</v>
      </c>
      <c r="N119" s="130">
        <v>1470</v>
      </c>
    </row>
    <row r="120" spans="1:15" ht="45" customHeight="1" x14ac:dyDescent="0.25">
      <c r="A120" s="122">
        <v>1</v>
      </c>
      <c r="B120" s="169" t="s">
        <v>903</v>
      </c>
      <c r="C120" s="124" t="s">
        <v>590</v>
      </c>
      <c r="D120" s="127" t="s">
        <v>591</v>
      </c>
      <c r="E120" s="126">
        <v>41164</v>
      </c>
      <c r="F120" s="127"/>
      <c r="G120" s="127">
        <v>12</v>
      </c>
      <c r="H120" s="124" t="s">
        <v>955</v>
      </c>
      <c r="I120" s="125" t="s">
        <v>956</v>
      </c>
      <c r="J120" s="128">
        <v>380000</v>
      </c>
      <c r="K120" s="128">
        <v>36602</v>
      </c>
      <c r="L120" s="129">
        <v>345615</v>
      </c>
      <c r="M120" s="129">
        <v>0</v>
      </c>
      <c r="N120" s="130">
        <v>0</v>
      </c>
      <c r="O120" s="4">
        <v>1</v>
      </c>
    </row>
    <row r="121" spans="1:15" ht="28.5" customHeight="1" x14ac:dyDescent="0.25">
      <c r="A121" s="141"/>
      <c r="B121" s="141"/>
      <c r="C121" s="124" t="s">
        <v>709</v>
      </c>
      <c r="D121" s="127" t="s">
        <v>710</v>
      </c>
      <c r="E121" s="153">
        <v>42228</v>
      </c>
      <c r="F121" s="141"/>
      <c r="G121" s="141">
        <v>2015</v>
      </c>
      <c r="H121" s="124" t="s">
        <v>955</v>
      </c>
      <c r="I121" s="125" t="s">
        <v>957</v>
      </c>
      <c r="J121" s="128">
        <v>419520</v>
      </c>
      <c r="K121" s="128">
        <v>21300</v>
      </c>
      <c r="L121" s="71">
        <v>142000</v>
      </c>
      <c r="M121" s="71"/>
      <c r="N121" s="154"/>
    </row>
    <row r="122" spans="1:15" ht="45" customHeight="1" x14ac:dyDescent="0.25">
      <c r="A122" s="122">
        <v>1</v>
      </c>
      <c r="B122" s="131" t="s">
        <v>903</v>
      </c>
      <c r="C122" s="124" t="s">
        <v>488</v>
      </c>
      <c r="D122" s="127" t="s">
        <v>206</v>
      </c>
      <c r="E122" s="126">
        <v>40191</v>
      </c>
      <c r="F122" s="127" t="s">
        <v>958</v>
      </c>
      <c r="G122" s="127">
        <v>10</v>
      </c>
      <c r="H122" s="124" t="s">
        <v>959</v>
      </c>
      <c r="I122" s="125" t="s">
        <v>960</v>
      </c>
      <c r="J122" s="128">
        <v>400000</v>
      </c>
      <c r="K122" s="128">
        <v>44750</v>
      </c>
      <c r="L122" s="129">
        <v>300239</v>
      </c>
      <c r="M122" s="129">
        <v>0</v>
      </c>
      <c r="N122" s="130">
        <v>0</v>
      </c>
      <c r="O122" s="4">
        <v>1</v>
      </c>
    </row>
    <row r="123" spans="1:15" ht="28.5" customHeight="1" x14ac:dyDescent="0.25">
      <c r="A123" s="122">
        <v>2</v>
      </c>
      <c r="B123" s="123" t="s">
        <v>903</v>
      </c>
      <c r="C123" s="124" t="s">
        <v>498</v>
      </c>
      <c r="D123" s="127" t="s">
        <v>206</v>
      </c>
      <c r="E123" s="126">
        <v>40205</v>
      </c>
      <c r="F123" s="127" t="s">
        <v>958</v>
      </c>
      <c r="G123" s="63">
        <v>2010</v>
      </c>
      <c r="H123" s="124" t="s">
        <v>959</v>
      </c>
      <c r="I123" s="125" t="s">
        <v>961</v>
      </c>
      <c r="J123" s="128">
        <v>3000000</v>
      </c>
      <c r="K123" s="128">
        <v>241000</v>
      </c>
      <c r="L123" s="129">
        <v>1992540</v>
      </c>
      <c r="M123" s="129">
        <v>0</v>
      </c>
      <c r="N123" s="130">
        <v>0</v>
      </c>
    </row>
    <row r="124" spans="1:15" ht="28.5" customHeight="1" x14ac:dyDescent="0.25">
      <c r="A124" s="122">
        <v>1</v>
      </c>
      <c r="B124" s="155" t="s">
        <v>785</v>
      </c>
      <c r="C124" s="124" t="s">
        <v>622</v>
      </c>
      <c r="D124" s="127" t="s">
        <v>623</v>
      </c>
      <c r="E124" s="153">
        <v>41374</v>
      </c>
      <c r="F124" s="127"/>
      <c r="G124" s="63">
        <v>2013</v>
      </c>
      <c r="H124" s="124" t="s">
        <v>959</v>
      </c>
      <c r="I124" s="125" t="s">
        <v>962</v>
      </c>
      <c r="J124" s="128">
        <v>1146184</v>
      </c>
      <c r="K124" s="128">
        <v>88168</v>
      </c>
      <c r="L124" s="71">
        <v>644859</v>
      </c>
      <c r="M124" s="71">
        <v>0</v>
      </c>
      <c r="N124" s="154">
        <v>293</v>
      </c>
    </row>
    <row r="125" spans="1:15" ht="45" customHeight="1" x14ac:dyDescent="0.25">
      <c r="A125" s="141"/>
      <c r="B125" s="141"/>
      <c r="C125" s="124" t="s">
        <v>727</v>
      </c>
      <c r="D125" s="127" t="s">
        <v>463</v>
      </c>
      <c r="E125" s="153">
        <v>42507</v>
      </c>
      <c r="F125" s="141"/>
      <c r="G125" s="141">
        <v>16</v>
      </c>
      <c r="H125" s="124" t="s">
        <v>959</v>
      </c>
      <c r="I125" s="125" t="s">
        <v>963</v>
      </c>
      <c r="J125" s="128">
        <v>3000000</v>
      </c>
      <c r="K125" s="128">
        <v>200630</v>
      </c>
      <c r="L125" s="71">
        <v>1009210</v>
      </c>
      <c r="M125" s="71">
        <v>0</v>
      </c>
      <c r="N125" s="154">
        <v>0</v>
      </c>
      <c r="O125" s="4">
        <v>1</v>
      </c>
    </row>
    <row r="126" spans="1:15" ht="28.5" customHeight="1" x14ac:dyDescent="0.25">
      <c r="A126" s="122">
        <v>2</v>
      </c>
      <c r="B126" s="131" t="s">
        <v>785</v>
      </c>
      <c r="C126" s="124" t="s">
        <v>512</v>
      </c>
      <c r="D126" s="127" t="s">
        <v>513</v>
      </c>
      <c r="E126" s="126">
        <v>40226</v>
      </c>
      <c r="F126" s="161" t="s">
        <v>964</v>
      </c>
      <c r="G126" s="63">
        <v>2010</v>
      </c>
      <c r="H126" s="131" t="s">
        <v>965</v>
      </c>
      <c r="I126" s="125" t="s">
        <v>966</v>
      </c>
      <c r="J126" s="128">
        <v>1966762</v>
      </c>
      <c r="K126" s="128">
        <v>174610</v>
      </c>
      <c r="L126" s="129">
        <v>758957</v>
      </c>
      <c r="M126" s="129">
        <v>77</v>
      </c>
      <c r="N126" s="130">
        <v>86062</v>
      </c>
    </row>
    <row r="127" spans="1:15" ht="28.5" customHeight="1" x14ac:dyDescent="0.25">
      <c r="A127" s="122">
        <v>1</v>
      </c>
      <c r="B127" s="152" t="s">
        <v>785</v>
      </c>
      <c r="C127" s="124" t="s">
        <v>588</v>
      </c>
      <c r="D127" s="127" t="s">
        <v>513</v>
      </c>
      <c r="E127" s="126">
        <v>41060</v>
      </c>
      <c r="F127" s="161" t="s">
        <v>967</v>
      </c>
      <c r="G127" s="63">
        <v>2012</v>
      </c>
      <c r="H127" s="131" t="s">
        <v>965</v>
      </c>
      <c r="I127" s="125" t="s">
        <v>968</v>
      </c>
      <c r="J127" s="128">
        <v>1065097</v>
      </c>
      <c r="K127" s="128">
        <v>96827</v>
      </c>
      <c r="L127" s="129">
        <v>285787</v>
      </c>
      <c r="M127" s="129">
        <v>0</v>
      </c>
      <c r="N127" s="130">
        <v>49689</v>
      </c>
    </row>
    <row r="128" spans="1:15" ht="45" customHeight="1" x14ac:dyDescent="0.25">
      <c r="A128" s="141"/>
      <c r="B128" s="141"/>
      <c r="C128" s="124" t="s">
        <v>730</v>
      </c>
      <c r="D128" s="127" t="s">
        <v>252</v>
      </c>
      <c r="E128" s="153">
        <v>42564</v>
      </c>
      <c r="F128" s="141"/>
      <c r="G128" s="141">
        <v>16</v>
      </c>
      <c r="H128" s="131" t="s">
        <v>965</v>
      </c>
      <c r="I128" s="125" t="s">
        <v>969</v>
      </c>
      <c r="J128" s="128">
        <v>410805</v>
      </c>
      <c r="K128" s="128">
        <v>24165</v>
      </c>
      <c r="L128" s="71">
        <v>119316</v>
      </c>
      <c r="M128" s="71">
        <v>0</v>
      </c>
      <c r="N128" s="154">
        <v>0</v>
      </c>
      <c r="O128" s="4">
        <v>1</v>
      </c>
    </row>
    <row r="129" spans="1:15" ht="28.5" customHeight="1" x14ac:dyDescent="0.25">
      <c r="A129" s="122">
        <v>1</v>
      </c>
      <c r="B129" s="131" t="s">
        <v>829</v>
      </c>
      <c r="C129" s="124" t="s">
        <v>559</v>
      </c>
      <c r="D129" s="127" t="s">
        <v>381</v>
      </c>
      <c r="E129" s="126">
        <v>40555</v>
      </c>
      <c r="F129" s="127" t="s">
        <v>970</v>
      </c>
      <c r="G129" s="106">
        <v>2011</v>
      </c>
      <c r="H129" s="124" t="s">
        <v>971</v>
      </c>
      <c r="I129" s="125" t="s">
        <v>972</v>
      </c>
      <c r="J129" s="128">
        <v>766165</v>
      </c>
      <c r="K129" s="128">
        <v>110885</v>
      </c>
      <c r="L129" s="129">
        <v>959001</v>
      </c>
      <c r="M129" s="129">
        <v>0</v>
      </c>
      <c r="N129" s="130">
        <v>0</v>
      </c>
    </row>
    <row r="130" spans="1:15" ht="28.5" customHeight="1" x14ac:dyDescent="0.25">
      <c r="A130" s="122">
        <v>2</v>
      </c>
      <c r="B130" s="131" t="s">
        <v>829</v>
      </c>
      <c r="C130" s="160" t="s">
        <v>578</v>
      </c>
      <c r="D130" s="160" t="s">
        <v>579</v>
      </c>
      <c r="E130" s="126">
        <v>40849</v>
      </c>
      <c r="F130" s="161"/>
      <c r="G130" s="106">
        <v>2011</v>
      </c>
      <c r="H130" s="131" t="s">
        <v>971</v>
      </c>
      <c r="I130" s="125" t="s">
        <v>973</v>
      </c>
      <c r="J130" s="162">
        <v>1193500</v>
      </c>
      <c r="K130" s="162">
        <v>108500</v>
      </c>
      <c r="L130" s="163">
        <v>1321960</v>
      </c>
      <c r="M130" s="129"/>
      <c r="N130" s="130"/>
    </row>
    <row r="131" spans="1:15" ht="28.5" customHeight="1" x14ac:dyDescent="0.25">
      <c r="A131" s="122">
        <v>1</v>
      </c>
      <c r="B131" s="152" t="s">
        <v>766</v>
      </c>
      <c r="C131" s="124" t="s">
        <v>610</v>
      </c>
      <c r="D131" s="127" t="s">
        <v>611</v>
      </c>
      <c r="E131" s="153">
        <v>41318</v>
      </c>
      <c r="F131" s="127"/>
      <c r="G131" s="63">
        <v>2013</v>
      </c>
      <c r="H131" s="124" t="s">
        <v>971</v>
      </c>
      <c r="I131" s="125" t="s">
        <v>974</v>
      </c>
      <c r="J131" s="128">
        <v>2876172</v>
      </c>
      <c r="K131" s="128">
        <v>221244</v>
      </c>
      <c r="L131" s="71">
        <v>2100000</v>
      </c>
      <c r="M131" s="71">
        <v>0</v>
      </c>
      <c r="N131" s="154">
        <v>0</v>
      </c>
    </row>
    <row r="132" spans="1:15" ht="28.5" customHeight="1" x14ac:dyDescent="0.25">
      <c r="A132" s="122">
        <v>1</v>
      </c>
      <c r="B132" s="152" t="s">
        <v>766</v>
      </c>
      <c r="C132" s="124" t="s">
        <v>639</v>
      </c>
      <c r="D132" s="127" t="s">
        <v>640</v>
      </c>
      <c r="E132" s="153">
        <v>41654</v>
      </c>
      <c r="F132" s="127"/>
      <c r="G132" s="13">
        <v>2014</v>
      </c>
      <c r="H132" s="124" t="s">
        <v>971</v>
      </c>
      <c r="I132" s="125" t="s">
        <v>975</v>
      </c>
      <c r="J132" s="128">
        <v>1300000</v>
      </c>
      <c r="K132" s="128">
        <v>101967</v>
      </c>
      <c r="L132" s="71">
        <v>907524</v>
      </c>
      <c r="M132" s="71">
        <v>0</v>
      </c>
      <c r="N132" s="154">
        <v>0</v>
      </c>
    </row>
    <row r="133" spans="1:15" ht="28.5" customHeight="1" x14ac:dyDescent="0.25">
      <c r="A133" s="136" t="s">
        <v>976</v>
      </c>
      <c r="B133" s="136" t="s">
        <v>976</v>
      </c>
      <c r="C133" s="136" t="s">
        <v>976</v>
      </c>
      <c r="D133" s="136" t="s">
        <v>976</v>
      </c>
      <c r="E133" s="136" t="s">
        <v>976</v>
      </c>
      <c r="F133" s="136" t="s">
        <v>976</v>
      </c>
      <c r="G133" s="136"/>
      <c r="H133" s="136" t="s">
        <v>976</v>
      </c>
      <c r="I133" s="141"/>
      <c r="J133" s="141"/>
      <c r="K133" s="141"/>
      <c r="L133" s="141"/>
      <c r="M133" s="141"/>
      <c r="N133" s="141"/>
    </row>
    <row r="134" spans="1:15" ht="45" customHeight="1" x14ac:dyDescent="0.25">
      <c r="A134" s="141"/>
      <c r="B134" s="141"/>
      <c r="C134" s="124" t="s">
        <v>977</v>
      </c>
      <c r="D134" s="127" t="s">
        <v>978</v>
      </c>
      <c r="E134" s="153">
        <v>41960</v>
      </c>
      <c r="F134" s="141"/>
      <c r="G134" s="141">
        <v>14</v>
      </c>
      <c r="H134" s="124" t="s">
        <v>971</v>
      </c>
      <c r="I134" s="125" t="s">
        <v>876</v>
      </c>
      <c r="J134" s="128">
        <v>3000000</v>
      </c>
      <c r="K134" s="128">
        <v>166918</v>
      </c>
      <c r="L134" s="71">
        <v>1151000</v>
      </c>
      <c r="M134" s="71">
        <v>0</v>
      </c>
      <c r="N134" s="154">
        <v>0</v>
      </c>
      <c r="O134" s="4">
        <v>1</v>
      </c>
    </row>
    <row r="135" spans="1:15" ht="28.5" customHeight="1" x14ac:dyDescent="0.25">
      <c r="A135" s="141"/>
      <c r="B135" s="141"/>
      <c r="C135" s="124" t="s">
        <v>700</v>
      </c>
      <c r="D135" s="127" t="s">
        <v>979</v>
      </c>
      <c r="E135" s="153">
        <v>42102</v>
      </c>
      <c r="F135" s="141"/>
      <c r="G135" s="141">
        <v>2015</v>
      </c>
      <c r="H135" s="124" t="s">
        <v>971</v>
      </c>
      <c r="I135" s="125" t="s">
        <v>980</v>
      </c>
      <c r="J135" s="128">
        <v>1799839</v>
      </c>
      <c r="K135" s="128">
        <v>89992</v>
      </c>
      <c r="L135" s="71">
        <v>596649</v>
      </c>
      <c r="M135" s="71">
        <v>0</v>
      </c>
      <c r="N135" s="154">
        <v>0</v>
      </c>
    </row>
    <row r="136" spans="1:15" ht="28.5" customHeight="1" x14ac:dyDescent="0.25">
      <c r="A136" s="141"/>
      <c r="B136" s="141"/>
      <c r="C136" s="124" t="s">
        <v>704</v>
      </c>
      <c r="D136" s="127" t="s">
        <v>705</v>
      </c>
      <c r="E136" s="153">
        <v>42193</v>
      </c>
      <c r="F136" s="141"/>
      <c r="G136" s="141">
        <v>2015</v>
      </c>
      <c r="H136" s="124" t="s">
        <v>971</v>
      </c>
      <c r="I136" s="125" t="s">
        <v>981</v>
      </c>
      <c r="J136" s="128">
        <v>2054469</v>
      </c>
      <c r="K136" s="128">
        <v>104177</v>
      </c>
      <c r="L136" s="71">
        <v>657258</v>
      </c>
      <c r="M136" s="71">
        <v>0</v>
      </c>
      <c r="N136" s="154">
        <v>0</v>
      </c>
    </row>
    <row r="137" spans="1:15" ht="28.5" customHeight="1" x14ac:dyDescent="0.25">
      <c r="A137" s="141"/>
      <c r="B137" s="141"/>
      <c r="C137" s="124" t="s">
        <v>733</v>
      </c>
      <c r="D137" s="127" t="s">
        <v>734</v>
      </c>
      <c r="E137" s="153">
        <v>42683</v>
      </c>
      <c r="F137" s="141"/>
      <c r="G137" s="275">
        <v>2016</v>
      </c>
      <c r="H137" s="124" t="s">
        <v>971</v>
      </c>
      <c r="I137" s="125" t="s">
        <v>982</v>
      </c>
      <c r="J137" s="128">
        <v>708227</v>
      </c>
      <c r="K137" s="128">
        <v>47241</v>
      </c>
      <c r="L137" s="71">
        <v>375000</v>
      </c>
      <c r="M137" s="71">
        <v>0</v>
      </c>
      <c r="N137" s="154">
        <v>0</v>
      </c>
    </row>
    <row r="138" spans="1:15" ht="28.5" customHeight="1" x14ac:dyDescent="0.25">
      <c r="A138" s="122">
        <v>1</v>
      </c>
      <c r="B138" s="122" t="s">
        <v>768</v>
      </c>
      <c r="C138" s="124" t="s">
        <v>571</v>
      </c>
      <c r="D138" s="127" t="s">
        <v>983</v>
      </c>
      <c r="E138" s="153">
        <v>40793</v>
      </c>
      <c r="F138" s="127" t="s">
        <v>984</v>
      </c>
      <c r="G138" s="106">
        <v>2011</v>
      </c>
      <c r="H138" s="124" t="s">
        <v>985</v>
      </c>
      <c r="I138" s="125" t="s">
        <v>986</v>
      </c>
      <c r="J138" s="128">
        <v>1345487</v>
      </c>
      <c r="K138" s="128">
        <v>122317</v>
      </c>
      <c r="L138" s="71">
        <v>1006240</v>
      </c>
      <c r="M138" s="170">
        <v>0</v>
      </c>
      <c r="N138" s="171">
        <v>0</v>
      </c>
    </row>
    <row r="139" spans="1:15" ht="28.5" customHeight="1" x14ac:dyDescent="0.25">
      <c r="A139" s="122">
        <v>2</v>
      </c>
      <c r="B139" s="123" t="s">
        <v>810</v>
      </c>
      <c r="C139" s="124" t="s">
        <v>499</v>
      </c>
      <c r="D139" s="127" t="s">
        <v>500</v>
      </c>
      <c r="E139" s="126">
        <v>40205</v>
      </c>
      <c r="F139" s="127" t="s">
        <v>987</v>
      </c>
      <c r="G139" s="63">
        <v>2010</v>
      </c>
      <c r="H139" s="124" t="s">
        <v>988</v>
      </c>
      <c r="I139" s="125" t="s">
        <v>989</v>
      </c>
      <c r="J139" s="128">
        <v>611334</v>
      </c>
      <c r="K139" s="128">
        <v>88643</v>
      </c>
      <c r="L139" s="129">
        <v>532904</v>
      </c>
      <c r="M139" s="129">
        <v>189.1</v>
      </c>
      <c r="N139" s="130">
        <v>0</v>
      </c>
    </row>
    <row r="140" spans="1:15" ht="28.5" customHeight="1" x14ac:dyDescent="0.25">
      <c r="A140" s="122">
        <v>1</v>
      </c>
      <c r="B140" s="155" t="s">
        <v>778</v>
      </c>
      <c r="C140" s="124" t="s">
        <v>620</v>
      </c>
      <c r="D140" s="127" t="s">
        <v>621</v>
      </c>
      <c r="E140" s="172" t="s">
        <v>990</v>
      </c>
      <c r="F140" s="127"/>
      <c r="G140" s="63">
        <v>2013</v>
      </c>
      <c r="H140" s="124" t="s">
        <v>988</v>
      </c>
      <c r="I140" s="125" t="s">
        <v>991</v>
      </c>
      <c r="J140" s="128">
        <v>475336</v>
      </c>
      <c r="K140" s="128">
        <v>96601</v>
      </c>
      <c r="L140" s="71">
        <v>694726</v>
      </c>
      <c r="M140" s="71">
        <v>0</v>
      </c>
      <c r="N140" s="154">
        <v>8775</v>
      </c>
    </row>
    <row r="141" spans="1:15" ht="45" customHeight="1" x14ac:dyDescent="0.25">
      <c r="A141" s="141"/>
      <c r="B141" s="141"/>
      <c r="C141" s="124" t="s">
        <v>662</v>
      </c>
      <c r="D141" s="127" t="s">
        <v>663</v>
      </c>
      <c r="E141" s="153">
        <v>41919</v>
      </c>
      <c r="F141" s="141"/>
      <c r="G141" s="141">
        <v>14</v>
      </c>
      <c r="H141" s="124" t="s">
        <v>988</v>
      </c>
      <c r="I141" s="125" t="s">
        <v>992</v>
      </c>
      <c r="J141" s="128">
        <v>3000000</v>
      </c>
      <c r="K141" s="128">
        <v>159481</v>
      </c>
      <c r="L141" s="71">
        <v>1152822</v>
      </c>
      <c r="M141" s="71">
        <v>0</v>
      </c>
      <c r="N141" s="154">
        <v>0</v>
      </c>
      <c r="O141" s="4">
        <v>1</v>
      </c>
    </row>
    <row r="142" spans="1:15" ht="45" customHeight="1" x14ac:dyDescent="0.25">
      <c r="A142" s="141"/>
      <c r="B142" s="141"/>
      <c r="C142" s="124" t="s">
        <v>695</v>
      </c>
      <c r="D142" s="127" t="s">
        <v>696</v>
      </c>
      <c r="E142" s="153">
        <v>42060</v>
      </c>
      <c r="F142" s="141"/>
      <c r="G142" s="141">
        <v>15</v>
      </c>
      <c r="H142" s="124" t="s">
        <v>988</v>
      </c>
      <c r="I142" s="125" t="s">
        <v>993</v>
      </c>
      <c r="J142" s="128">
        <v>3000000</v>
      </c>
      <c r="K142" s="128">
        <v>177388</v>
      </c>
      <c r="L142" s="71">
        <v>1735397</v>
      </c>
      <c r="M142" s="71">
        <v>0</v>
      </c>
      <c r="N142" s="154">
        <v>0</v>
      </c>
      <c r="O142" s="4">
        <v>1</v>
      </c>
    </row>
    <row r="143" spans="1:15" ht="45" customHeight="1" x14ac:dyDescent="0.25">
      <c r="A143" s="141"/>
      <c r="B143" s="141"/>
      <c r="C143" s="124" t="s">
        <v>731</v>
      </c>
      <c r="D143" s="127" t="s">
        <v>732</v>
      </c>
      <c r="E143" s="153">
        <v>42564</v>
      </c>
      <c r="F143" s="141"/>
      <c r="G143" s="141">
        <v>16</v>
      </c>
      <c r="H143" s="124" t="s">
        <v>988</v>
      </c>
      <c r="I143" s="125" t="s">
        <v>994</v>
      </c>
      <c r="J143" s="128">
        <v>1000000</v>
      </c>
      <c r="K143" s="128">
        <v>66420</v>
      </c>
      <c r="L143" s="71">
        <v>526600</v>
      </c>
      <c r="M143" s="71">
        <v>0</v>
      </c>
      <c r="N143" s="154">
        <v>0</v>
      </c>
      <c r="O143" s="4">
        <v>1</v>
      </c>
    </row>
    <row r="144" spans="1:15" ht="28.5" customHeight="1" x14ac:dyDescent="0.25">
      <c r="A144" s="122">
        <v>2</v>
      </c>
      <c r="B144" s="131" t="s">
        <v>751</v>
      </c>
      <c r="C144" s="124" t="s">
        <v>496</v>
      </c>
      <c r="D144" s="127" t="s">
        <v>497</v>
      </c>
      <c r="E144" s="126">
        <v>40205</v>
      </c>
      <c r="F144" s="127" t="s">
        <v>995</v>
      </c>
      <c r="G144" s="63">
        <v>2010</v>
      </c>
      <c r="H144" s="124" t="s">
        <v>996</v>
      </c>
      <c r="I144" s="125" t="s">
        <v>997</v>
      </c>
      <c r="J144" s="128">
        <v>500000</v>
      </c>
      <c r="K144" s="128">
        <v>75106</v>
      </c>
      <c r="L144" s="129">
        <v>739522</v>
      </c>
      <c r="M144" s="129">
        <v>193</v>
      </c>
      <c r="N144" s="130">
        <v>0</v>
      </c>
    </row>
    <row r="145" spans="1:15" ht="45" customHeight="1" x14ac:dyDescent="0.25">
      <c r="A145" s="122">
        <v>1</v>
      </c>
      <c r="B145" s="131" t="s">
        <v>758</v>
      </c>
      <c r="C145" s="124" t="s">
        <v>493</v>
      </c>
      <c r="D145" s="127" t="s">
        <v>494</v>
      </c>
      <c r="E145" s="126">
        <v>40191</v>
      </c>
      <c r="F145" s="161" t="s">
        <v>851</v>
      </c>
      <c r="G145" s="161">
        <v>10</v>
      </c>
      <c r="H145" s="131" t="s">
        <v>998</v>
      </c>
      <c r="I145" s="125" t="s">
        <v>999</v>
      </c>
      <c r="J145" s="128">
        <v>2500000</v>
      </c>
      <c r="K145" s="128">
        <v>236250</v>
      </c>
      <c r="L145" s="129">
        <v>1575000</v>
      </c>
      <c r="M145" s="129">
        <v>835</v>
      </c>
      <c r="N145" s="130">
        <v>0</v>
      </c>
      <c r="O145" s="4">
        <v>1</v>
      </c>
    </row>
    <row r="146" spans="1:15" ht="28.5" customHeight="1" x14ac:dyDescent="0.25">
      <c r="A146" s="122">
        <v>1</v>
      </c>
      <c r="B146" s="122" t="s">
        <v>829</v>
      </c>
      <c r="C146" s="124" t="s">
        <v>632</v>
      </c>
      <c r="D146" s="127" t="s">
        <v>633</v>
      </c>
      <c r="E146" s="126">
        <v>41402</v>
      </c>
      <c r="F146" s="136" t="s">
        <v>976</v>
      </c>
      <c r="G146" s="63">
        <v>2013</v>
      </c>
      <c r="H146" s="131" t="s">
        <v>998</v>
      </c>
      <c r="I146" s="125" t="s">
        <v>1000</v>
      </c>
      <c r="J146" s="128">
        <v>150000</v>
      </c>
      <c r="K146" s="128">
        <v>46838</v>
      </c>
      <c r="L146" s="71">
        <v>234573</v>
      </c>
      <c r="M146" s="71">
        <v>0</v>
      </c>
      <c r="N146" s="154">
        <v>6619</v>
      </c>
    </row>
    <row r="147" spans="1:15" ht="45" customHeight="1" x14ac:dyDescent="0.25">
      <c r="A147" s="141"/>
      <c r="B147" s="141"/>
      <c r="C147" s="133" t="s">
        <v>1001</v>
      </c>
      <c r="D147" s="167" t="s">
        <v>1002</v>
      </c>
      <c r="E147" s="173">
        <v>42074</v>
      </c>
      <c r="F147" s="141"/>
      <c r="G147" s="141">
        <v>15</v>
      </c>
      <c r="H147" s="131" t="s">
        <v>998</v>
      </c>
      <c r="I147" s="137" t="s">
        <v>1003</v>
      </c>
      <c r="J147" s="138">
        <v>1453985</v>
      </c>
      <c r="K147" s="138">
        <v>91652</v>
      </c>
      <c r="L147" s="102">
        <v>403900</v>
      </c>
      <c r="M147" s="102">
        <v>0</v>
      </c>
      <c r="N147" s="174">
        <v>0</v>
      </c>
      <c r="O147" s="4">
        <v>1</v>
      </c>
    </row>
    <row r="148" spans="1:15" ht="28.5" customHeight="1" x14ac:dyDescent="0.25">
      <c r="A148" s="141"/>
      <c r="B148" s="141"/>
      <c r="C148" s="124" t="s">
        <v>702</v>
      </c>
      <c r="D148" s="127" t="s">
        <v>703</v>
      </c>
      <c r="E148" s="153">
        <v>42165</v>
      </c>
      <c r="F148" s="127"/>
      <c r="G148" s="141">
        <v>2015</v>
      </c>
      <c r="H148" s="131" t="s">
        <v>998</v>
      </c>
      <c r="I148" s="125" t="s">
        <v>1004</v>
      </c>
      <c r="J148" s="128">
        <v>3000000</v>
      </c>
      <c r="K148" s="128">
        <v>220065</v>
      </c>
      <c r="L148" s="71">
        <v>1124592</v>
      </c>
      <c r="M148" s="71">
        <v>0</v>
      </c>
      <c r="N148" s="154">
        <v>0</v>
      </c>
    </row>
    <row r="149" spans="1:15" ht="28.5" customHeight="1" x14ac:dyDescent="0.25">
      <c r="A149" s="122">
        <v>1</v>
      </c>
      <c r="B149" s="152" t="s">
        <v>751</v>
      </c>
      <c r="C149" s="124" t="s">
        <v>608</v>
      </c>
      <c r="D149" s="127" t="s">
        <v>609</v>
      </c>
      <c r="E149" s="153">
        <v>41283</v>
      </c>
      <c r="F149" s="127"/>
      <c r="G149" s="63">
        <v>2013</v>
      </c>
      <c r="H149" s="124" t="s">
        <v>1005</v>
      </c>
      <c r="I149" s="125" t="s">
        <v>1006</v>
      </c>
      <c r="J149" s="128">
        <v>900000</v>
      </c>
      <c r="K149" s="128">
        <v>72043</v>
      </c>
      <c r="L149" s="71">
        <v>550574</v>
      </c>
      <c r="M149" s="71">
        <v>0</v>
      </c>
      <c r="N149" s="154">
        <v>0</v>
      </c>
    </row>
    <row r="150" spans="1:15" ht="28.5" customHeight="1" x14ac:dyDescent="0.25">
      <c r="A150" s="141"/>
      <c r="B150" s="141"/>
      <c r="C150" s="124" t="s">
        <v>665</v>
      </c>
      <c r="D150" s="127" t="s">
        <v>609</v>
      </c>
      <c r="E150" s="153">
        <v>41929</v>
      </c>
      <c r="F150" s="141"/>
      <c r="G150" s="13">
        <v>2014</v>
      </c>
      <c r="H150" s="124" t="s">
        <v>1005</v>
      </c>
      <c r="I150" s="125" t="s">
        <v>1007</v>
      </c>
      <c r="J150" s="128">
        <v>710000</v>
      </c>
      <c r="K150" s="128">
        <v>73692</v>
      </c>
      <c r="L150" s="71">
        <v>402973</v>
      </c>
      <c r="M150" s="71">
        <v>0</v>
      </c>
      <c r="N150" s="154">
        <v>11347</v>
      </c>
    </row>
  </sheetData>
  <autoFilter ref="A1:O150"/>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Z5JXHV6S7NA6-3-113408</_dlc_DocId>
    <_dlc_DocIdUrl xmlns="8eef3743-c7b3-4cbe-8837-b6e805be353c">
      <Url>http://efilingspinternal/_layouts/DocIdRedir.aspx?ID=Z5JXHV6S7NA6-3-113408</Url>
      <Description>Z5JXHV6S7NA6-3-113408</Description>
    </_dlc_DocIdUrl>
  </documentManagement>
</p:properties>
</file>

<file path=customXml/itemProps1.xml><?xml version="1.0" encoding="utf-8"?>
<ds:datastoreItem xmlns:ds="http://schemas.openxmlformats.org/officeDocument/2006/customXml" ds:itemID="{DC725F7D-8DA9-47FB-A1E1-38D3EFB18900}"/>
</file>

<file path=customXml/itemProps2.xml><?xml version="1.0" encoding="utf-8"?>
<ds:datastoreItem xmlns:ds="http://schemas.openxmlformats.org/officeDocument/2006/customXml" ds:itemID="{C30BCAE5-E670-4C6B-939C-82892DD2639A}"/>
</file>

<file path=customXml/itemProps3.xml><?xml version="1.0" encoding="utf-8"?>
<ds:datastoreItem xmlns:ds="http://schemas.openxmlformats.org/officeDocument/2006/customXml" ds:itemID="{4FF940EA-EB7D-4F16-B1F7-2C6806EBCF6B}"/>
</file>

<file path=customXml/itemProps4.xml><?xml version="1.0" encoding="utf-8"?>
<ds:datastoreItem xmlns:ds="http://schemas.openxmlformats.org/officeDocument/2006/customXml" ds:itemID="{9C6569DC-FE59-4C2B-8945-C390E221AD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11</vt:i4>
      </vt:variant>
      <vt:variant>
        <vt:lpstr>Charts</vt:lpstr>
      </vt:variant>
      <vt:variant>
        <vt:i4>2</vt:i4>
      </vt:variant>
      <vt:variant>
        <vt:lpstr>Named Ranges</vt:lpstr>
      </vt:variant>
      <vt:variant>
        <vt:i4>6</vt:i4>
      </vt:variant>
    </vt:vector>
  </HeadingPairs>
  <TitlesOfParts>
    <vt:vector size="19" baseType="lpstr">
      <vt:lpstr>Home</vt:lpstr>
      <vt:lpstr>Program Analysis</vt:lpstr>
      <vt:lpstr>ECAA Funding</vt:lpstr>
      <vt:lpstr>SB 350 Potential</vt:lpstr>
      <vt:lpstr>Reference</vt:lpstr>
      <vt:lpstr>Conservative</vt:lpstr>
      <vt:lpstr>Aggressive</vt:lpstr>
      <vt:lpstr>Raw Annual Data</vt:lpstr>
      <vt:lpstr>Raw Measure Data</vt:lpstr>
      <vt:lpstr>Historical Loan Data</vt:lpstr>
      <vt:lpstr>Look-up</vt:lpstr>
      <vt:lpstr>Graph (electricity)</vt:lpstr>
      <vt:lpstr>Graph (gas)</vt:lpstr>
      <vt:lpstr>Bldg_Sectors</vt:lpstr>
      <vt:lpstr>Non_Residential</vt:lpstr>
      <vt:lpstr>NR_BldgTypes</vt:lpstr>
      <vt:lpstr>Programs</vt:lpstr>
      <vt:lpstr>RES_BldgTypes</vt:lpstr>
      <vt:lpstr>Residential</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A11 - ECAA Financing</dc:title>
  <dc:creator>CEC</dc:creator>
  <cp:lastModifiedBy>Kenney, Michael@Energy</cp:lastModifiedBy>
  <cp:lastPrinted>2016-12-13T19:21:36Z</cp:lastPrinted>
  <dcterms:created xsi:type="dcterms:W3CDTF">2016-08-03T20:53:52Z</dcterms:created>
  <dcterms:modified xsi:type="dcterms:W3CDTF">2017-08-22T20:16:15Z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55184215-836f-4246-8c25-5af2fcdfa578</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http://efilingspinternal/PendingDocuments/17-IEPR-06/20171025T140056_Program_Workbook_A11_ECAA.xlsx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2492900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