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5.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worksheets/sheet5.xml" ContentType="application/vnd.openxmlformats-officedocument.spreadsheetml.worksheet+xml"/>
  <Override PartName="/xl/charts/chart1.xml" ContentType="application/vnd.openxmlformats-officedocument.drawingml.chart+xml"/>
  <Override PartName="/xl/worksheets/sheet4.xml" ContentType="application/vnd.openxmlformats-officedocument.spreadsheetml.worksheet+xml"/>
  <Override PartName="/xl/chartsheets/sheet1.xml" ContentType="application/vnd.openxmlformats-officedocument.spreadsheetml.chartsheet+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chartsheets/sheet2.xml" ContentType="application/vnd.openxmlformats-officedocument.spreadsheetml.chart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60" windowWidth="19200" windowHeight="12120" tabRatio="834"/>
  </bookViews>
  <sheets>
    <sheet name="Home" sheetId="45" r:id="rId1"/>
    <sheet name="Program Analysis" sheetId="46" r:id="rId2"/>
    <sheet name="SB 350 Potential" sheetId="47" r:id="rId3"/>
    <sheet name="Reference" sheetId="48" r:id="rId4"/>
    <sheet name="Conservative" sheetId="49" r:id="rId5"/>
    <sheet name="Aggressive" sheetId="50" r:id="rId6"/>
    <sheet name="Graph (electricity)" sheetId="51" r:id="rId7"/>
    <sheet name="Graph (gas)" sheetId="52" r:id="rId8"/>
    <sheet name="RES PACE Data" sheetId="44" r:id="rId9"/>
    <sheet name="NR PACE Data" sheetId="53" r:id="rId10"/>
    <sheet name="Look-up" sheetId="43" r:id="rId11"/>
  </sheets>
  <externalReferences>
    <externalReference r:id="rId12"/>
    <externalReference r:id="rId13"/>
    <externalReference r:id="rId14"/>
    <externalReference r:id="rId15"/>
    <externalReference r:id="rId16"/>
  </externalReferences>
  <definedNames>
    <definedName name="anchor_first_data_row" localSheetId="0">'[1]County Data'!#REF!</definedName>
    <definedName name="anchor_first_data_row">'[1]County Data'!#REF!</definedName>
    <definedName name="Bldg_Sectors" localSheetId="2">'[2]Look-up'!$B$23:$C$23</definedName>
    <definedName name="Bldg_Sectors">'Look-up'!$B$23:$C$23</definedName>
    <definedName name="Cost_Scenario">'[3]Lists for Data Validation'!$O$3</definedName>
    <definedName name="County">[4]CleanData!$Z$2</definedName>
    <definedName name="Countylookup">[5]Finance!$A:$AF</definedName>
    <definedName name="Discount_Rate">'[3]Project Level Details'!$I$22</definedName>
    <definedName name="Electricity_Escalation_Rate">[3]Assumptions!$E$7</definedName>
    <definedName name="Interest_Rate">'[3]Project Level Details'!$I$21</definedName>
    <definedName name="LastRow" localSheetId="0">'[4]Data Table (Hide)'!#REF!</definedName>
    <definedName name="LastRow">'[4]Data Table (Hide)'!#REF!</definedName>
    <definedName name="Leverage">'[3]Lists for Data Validation'!$L$2</definedName>
    <definedName name="Loan_Term">'[3]Lists for Data Validation'!$P$2</definedName>
    <definedName name="Net_Project_Cost">'[3]Project Level Details'!$H$18</definedName>
    <definedName name="Nominal_Payback_Period">'[3]Payback Period Calculation'!$F$4:$F$29</definedName>
    <definedName name="Non_Residential">'Look-up'!$B$24:$B$35</definedName>
    <definedName name="NR_BldgTypes">'Look-up'!$B$24:$B$35</definedName>
    <definedName name="Programs" localSheetId="2">'[2]Look-up'!$A$4:$A$20</definedName>
    <definedName name="Programs">'Look-up'!$A$4:$A$20</definedName>
    <definedName name="RES_BldgTypes">'Look-up'!$C$24:$C$26</definedName>
    <definedName name="Residential">'Look-up'!$C$24:$C$26</definedName>
    <definedName name="Savings_Degredation_Rate">[3]Assumptions!$E$11</definedName>
    <definedName name="UtilizeFinancing">'[3]Lists for Data Validation'!$N$2</definedName>
  </definedNames>
  <calcPr calcId="145621"/>
</workbook>
</file>

<file path=xl/calcChain.xml><?xml version="1.0" encoding="utf-8"?>
<calcChain xmlns="http://schemas.openxmlformats.org/spreadsheetml/2006/main">
  <c r="C71" i="50" l="1"/>
  <c r="Q71" i="50"/>
  <c r="P71" i="50"/>
  <c r="O71" i="50"/>
  <c r="N71" i="50"/>
  <c r="M71" i="50"/>
  <c r="L71" i="50"/>
  <c r="K71" i="50"/>
  <c r="J71" i="50"/>
  <c r="I71" i="50"/>
  <c r="H71" i="50"/>
  <c r="G71" i="50"/>
  <c r="F71" i="50"/>
  <c r="E71" i="50"/>
  <c r="D71" i="50"/>
  <c r="C45" i="50"/>
  <c r="Q45" i="50"/>
  <c r="P45" i="50"/>
  <c r="O45" i="50"/>
  <c r="N45" i="50"/>
  <c r="M45" i="50"/>
  <c r="L45" i="50"/>
  <c r="K45" i="50"/>
  <c r="J45" i="50"/>
  <c r="I45" i="50"/>
  <c r="H45" i="50"/>
  <c r="G45" i="50"/>
  <c r="F45" i="50"/>
  <c r="E45" i="50"/>
  <c r="D45" i="50"/>
  <c r="Q26" i="50" l="1"/>
  <c r="P26" i="50"/>
  <c r="O26" i="50"/>
  <c r="N26" i="50"/>
  <c r="M26" i="50"/>
  <c r="L26" i="50"/>
  <c r="K26" i="50"/>
  <c r="J26" i="50"/>
  <c r="I26" i="50"/>
  <c r="H26" i="50"/>
  <c r="G26" i="50"/>
  <c r="F26" i="50"/>
  <c r="E26" i="50"/>
  <c r="D26" i="50"/>
  <c r="C26" i="50"/>
  <c r="Q25" i="50"/>
  <c r="P25" i="50"/>
  <c r="O25" i="50"/>
  <c r="N25" i="50"/>
  <c r="M25" i="50"/>
  <c r="L25" i="50"/>
  <c r="K25" i="50"/>
  <c r="J25" i="50"/>
  <c r="I25" i="50"/>
  <c r="H25" i="50"/>
  <c r="G25" i="50"/>
  <c r="F25" i="50"/>
  <c r="E25" i="50"/>
  <c r="D25" i="50"/>
  <c r="C25" i="50"/>
  <c r="O26" i="49"/>
  <c r="O71" i="49" s="1"/>
  <c r="E26" i="49"/>
  <c r="E71" i="49" s="1"/>
  <c r="N25" i="49"/>
  <c r="N45" i="49" s="1"/>
  <c r="D25" i="49"/>
  <c r="D45" i="49" s="1"/>
  <c r="Q18" i="50"/>
  <c r="P18" i="50"/>
  <c r="O18" i="50"/>
  <c r="N18" i="50"/>
  <c r="M18" i="50"/>
  <c r="L18" i="50"/>
  <c r="K18" i="50"/>
  <c r="J18" i="50"/>
  <c r="I18" i="50"/>
  <c r="H18" i="50"/>
  <c r="G18" i="50"/>
  <c r="F18" i="50"/>
  <c r="E18" i="50"/>
  <c r="D18" i="50"/>
  <c r="C18" i="50"/>
  <c r="Q17" i="50"/>
  <c r="P17" i="50"/>
  <c r="O17" i="50"/>
  <c r="N17" i="50"/>
  <c r="M17" i="50"/>
  <c r="L17" i="50"/>
  <c r="K17" i="50"/>
  <c r="J17" i="50"/>
  <c r="I17" i="50"/>
  <c r="H17" i="50"/>
  <c r="G17" i="50"/>
  <c r="F17" i="50"/>
  <c r="E17" i="50"/>
  <c r="D17" i="50"/>
  <c r="C17" i="50"/>
  <c r="Q10" i="50"/>
  <c r="P10" i="50"/>
  <c r="O10" i="50"/>
  <c r="N10" i="50"/>
  <c r="M10" i="50"/>
  <c r="L10" i="50"/>
  <c r="K10" i="50"/>
  <c r="J10" i="50"/>
  <c r="I10" i="50"/>
  <c r="H10" i="50"/>
  <c r="G10" i="50"/>
  <c r="F10" i="50"/>
  <c r="E10" i="50"/>
  <c r="D10" i="50"/>
  <c r="C10" i="50"/>
  <c r="Q9" i="50"/>
  <c r="P9" i="50"/>
  <c r="O9" i="50"/>
  <c r="N9" i="50"/>
  <c r="M9" i="50"/>
  <c r="L9" i="50"/>
  <c r="K9" i="50"/>
  <c r="J9" i="50"/>
  <c r="I9" i="50"/>
  <c r="H9" i="50"/>
  <c r="G9" i="50"/>
  <c r="F9" i="50"/>
  <c r="E9" i="50"/>
  <c r="D9" i="50"/>
  <c r="C9" i="50"/>
  <c r="Q18" i="49"/>
  <c r="Q26" i="49" s="1"/>
  <c r="Q71" i="49" s="1"/>
  <c r="P18" i="49"/>
  <c r="O18" i="49"/>
  <c r="N18" i="49"/>
  <c r="N26" i="49" s="1"/>
  <c r="N71" i="49" s="1"/>
  <c r="M18" i="49"/>
  <c r="M26" i="49" s="1"/>
  <c r="M71" i="49" s="1"/>
  <c r="L18" i="49"/>
  <c r="K18" i="49"/>
  <c r="K26" i="49" s="1"/>
  <c r="K71" i="49" s="1"/>
  <c r="J18" i="49"/>
  <c r="J26" i="49" s="1"/>
  <c r="J71" i="49" s="1"/>
  <c r="I18" i="49"/>
  <c r="I26" i="49" s="1"/>
  <c r="I71" i="49" s="1"/>
  <c r="H18" i="49"/>
  <c r="G18" i="49"/>
  <c r="G26" i="49" s="1"/>
  <c r="G71" i="49" s="1"/>
  <c r="F18" i="49"/>
  <c r="F26" i="49" s="1"/>
  <c r="F71" i="49" s="1"/>
  <c r="E18" i="49"/>
  <c r="D18" i="49"/>
  <c r="C18" i="49"/>
  <c r="C26" i="49" s="1"/>
  <c r="C71" i="49" s="1"/>
  <c r="Q17" i="49"/>
  <c r="Q25" i="49" s="1"/>
  <c r="Q45" i="49" s="1"/>
  <c r="P17" i="49"/>
  <c r="P25" i="49" s="1"/>
  <c r="P45" i="49" s="1"/>
  <c r="O17" i="49"/>
  <c r="N17" i="49"/>
  <c r="M17" i="49"/>
  <c r="M25" i="49" s="1"/>
  <c r="M45" i="49" s="1"/>
  <c r="L17" i="49"/>
  <c r="L25" i="49" s="1"/>
  <c r="L45" i="49" s="1"/>
  <c r="K17" i="49"/>
  <c r="J17" i="49"/>
  <c r="J25" i="49" s="1"/>
  <c r="J45" i="49" s="1"/>
  <c r="I17" i="49"/>
  <c r="I25" i="49" s="1"/>
  <c r="I45" i="49" s="1"/>
  <c r="H17" i="49"/>
  <c r="H25" i="49" s="1"/>
  <c r="H45" i="49" s="1"/>
  <c r="G17" i="49"/>
  <c r="F17" i="49"/>
  <c r="F25" i="49" s="1"/>
  <c r="F45" i="49" s="1"/>
  <c r="E17" i="49"/>
  <c r="E25" i="49" s="1"/>
  <c r="E45" i="49" s="1"/>
  <c r="D17" i="49"/>
  <c r="C17" i="49"/>
  <c r="Q10" i="49"/>
  <c r="P10" i="49"/>
  <c r="P26" i="49" s="1"/>
  <c r="P71" i="49" s="1"/>
  <c r="O10" i="49"/>
  <c r="N10" i="49"/>
  <c r="M10" i="49"/>
  <c r="L10" i="49"/>
  <c r="L26" i="49" s="1"/>
  <c r="L71" i="49" s="1"/>
  <c r="K10" i="49"/>
  <c r="J10" i="49"/>
  <c r="I10" i="49"/>
  <c r="H10" i="49"/>
  <c r="H26" i="49" s="1"/>
  <c r="H71" i="49" s="1"/>
  <c r="G10" i="49"/>
  <c r="F10" i="49"/>
  <c r="E10" i="49"/>
  <c r="D10" i="49"/>
  <c r="D26" i="49" s="1"/>
  <c r="D71" i="49" s="1"/>
  <c r="C10" i="49"/>
  <c r="Q9" i="49"/>
  <c r="P9" i="49"/>
  <c r="O9" i="49"/>
  <c r="O25" i="49" s="1"/>
  <c r="O45" i="49" s="1"/>
  <c r="N9" i="49"/>
  <c r="M9" i="49"/>
  <c r="L9" i="49"/>
  <c r="K9" i="49"/>
  <c r="K25" i="49" s="1"/>
  <c r="K45" i="49" s="1"/>
  <c r="J9" i="49"/>
  <c r="I9" i="49"/>
  <c r="H9" i="49"/>
  <c r="G9" i="49"/>
  <c r="G25" i="49" s="1"/>
  <c r="G45" i="49" s="1"/>
  <c r="F9" i="49"/>
  <c r="E9" i="49"/>
  <c r="D9" i="49"/>
  <c r="C9" i="49"/>
  <c r="C25" i="49" s="1"/>
  <c r="C45" i="49" s="1"/>
  <c r="Q26" i="48"/>
  <c r="P26" i="48"/>
  <c r="O26" i="48"/>
  <c r="N26" i="48"/>
  <c r="M26" i="48"/>
  <c r="L26" i="48"/>
  <c r="K26" i="48"/>
  <c r="J26" i="48"/>
  <c r="I26" i="48"/>
  <c r="H26" i="48"/>
  <c r="G26" i="48"/>
  <c r="F26" i="48"/>
  <c r="E26" i="48"/>
  <c r="D26" i="48"/>
  <c r="C26" i="48"/>
  <c r="Q25" i="48"/>
  <c r="P25" i="48"/>
  <c r="O25" i="48"/>
  <c r="N25" i="48"/>
  <c r="M25" i="48"/>
  <c r="L25" i="48"/>
  <c r="K25" i="48"/>
  <c r="J25" i="48"/>
  <c r="I25" i="48"/>
  <c r="H25" i="48"/>
  <c r="G25" i="48"/>
  <c r="F25" i="48"/>
  <c r="E25" i="48"/>
  <c r="D25" i="48"/>
  <c r="C25" i="48"/>
  <c r="Q18" i="48"/>
  <c r="P18" i="48"/>
  <c r="O18" i="48"/>
  <c r="N18" i="48"/>
  <c r="M18" i="48"/>
  <c r="L18" i="48"/>
  <c r="K18" i="48"/>
  <c r="J18" i="48"/>
  <c r="I18" i="48"/>
  <c r="H18" i="48"/>
  <c r="G18" i="48"/>
  <c r="F18" i="48"/>
  <c r="E18" i="48"/>
  <c r="D18" i="48"/>
  <c r="C18" i="48"/>
  <c r="Q17" i="48"/>
  <c r="P17" i="48"/>
  <c r="O17" i="48"/>
  <c r="N17" i="48"/>
  <c r="M17" i="48"/>
  <c r="L17" i="48"/>
  <c r="K17" i="48"/>
  <c r="J17" i="48"/>
  <c r="I17" i="48"/>
  <c r="H17" i="48"/>
  <c r="G17" i="48"/>
  <c r="F17" i="48"/>
  <c r="E17" i="48"/>
  <c r="D17" i="48"/>
  <c r="C17" i="48"/>
  <c r="Q10" i="48"/>
  <c r="P10" i="48"/>
  <c r="O10" i="48"/>
  <c r="N10" i="48"/>
  <c r="M10" i="48"/>
  <c r="L10" i="48"/>
  <c r="K10" i="48"/>
  <c r="J10" i="48"/>
  <c r="I10" i="48"/>
  <c r="H10" i="48"/>
  <c r="G10" i="48"/>
  <c r="F10" i="48"/>
  <c r="E10" i="48"/>
  <c r="D10" i="48"/>
  <c r="C10" i="48"/>
  <c r="Q9" i="48"/>
  <c r="P9" i="48"/>
  <c r="O9" i="48"/>
  <c r="N9" i="48"/>
  <c r="M9" i="48"/>
  <c r="L9" i="48"/>
  <c r="K9" i="48"/>
  <c r="J9" i="48"/>
  <c r="I9" i="48"/>
  <c r="H9" i="48"/>
  <c r="G9" i="48"/>
  <c r="F9" i="48"/>
  <c r="E9" i="48"/>
  <c r="D9" i="48"/>
  <c r="C9" i="48"/>
  <c r="C21" i="46"/>
  <c r="C20" i="46"/>
  <c r="I14" i="53"/>
  <c r="J14" i="53" s="1"/>
  <c r="K14" i="53" s="1"/>
  <c r="L14" i="53" s="1"/>
  <c r="M14" i="53" s="1"/>
  <c r="N14" i="53" s="1"/>
  <c r="O14" i="53" s="1"/>
  <c r="P14" i="53" s="1"/>
  <c r="Q14" i="53" s="1"/>
  <c r="R14" i="53" s="1"/>
  <c r="S14" i="53" s="1"/>
  <c r="T14" i="53" s="1"/>
  <c r="K13" i="53"/>
  <c r="L13" i="53" s="1"/>
  <c r="M13" i="53" s="1"/>
  <c r="N13" i="53" s="1"/>
  <c r="O13" i="53" s="1"/>
  <c r="P13" i="53" s="1"/>
  <c r="Q13" i="53" s="1"/>
  <c r="R13" i="53" s="1"/>
  <c r="S13" i="53" s="1"/>
  <c r="T13" i="53" s="1"/>
  <c r="J13" i="53"/>
  <c r="I13" i="53"/>
  <c r="I12" i="53"/>
  <c r="I22" i="53"/>
  <c r="J22" i="53" s="1"/>
  <c r="K22" i="53" s="1"/>
  <c r="L22" i="53" s="1"/>
  <c r="M22" i="53" s="1"/>
  <c r="N22" i="53" s="1"/>
  <c r="O22" i="53" s="1"/>
  <c r="P22" i="53" s="1"/>
  <c r="Q22" i="53" s="1"/>
  <c r="R22" i="53" s="1"/>
  <c r="S22" i="53" s="1"/>
  <c r="T22" i="53" s="1"/>
  <c r="J20" i="53"/>
  <c r="K20" i="53"/>
  <c r="L20" i="53"/>
  <c r="M20" i="53"/>
  <c r="N20" i="53"/>
  <c r="O20" i="53"/>
  <c r="P20" i="53"/>
  <c r="Q20" i="53"/>
  <c r="R20" i="53"/>
  <c r="S20" i="53"/>
  <c r="T20" i="53"/>
  <c r="I20" i="53"/>
  <c r="I21" i="53" s="1"/>
  <c r="J21" i="53" s="1"/>
  <c r="K21" i="53" s="1"/>
  <c r="L21" i="53" s="1"/>
  <c r="M21" i="53" s="1"/>
  <c r="N21" i="53" s="1"/>
  <c r="O21" i="53" s="1"/>
  <c r="P21" i="53" s="1"/>
  <c r="Q21" i="53" s="1"/>
  <c r="R21" i="53" s="1"/>
  <c r="S21" i="53" s="1"/>
  <c r="T21" i="53" s="1"/>
  <c r="T12" i="53"/>
  <c r="S12" i="53"/>
  <c r="R12" i="53"/>
  <c r="Q12" i="53"/>
  <c r="P12" i="53"/>
  <c r="O12" i="53"/>
  <c r="N12" i="53"/>
  <c r="M12" i="53"/>
  <c r="L12" i="53"/>
  <c r="K12" i="53"/>
  <c r="J12" i="53"/>
  <c r="F21" i="53"/>
  <c r="H22" i="53"/>
  <c r="H21" i="53"/>
  <c r="B36" i="53"/>
  <c r="C37" i="53" s="1"/>
  <c r="B37" i="53"/>
  <c r="G22" i="53"/>
  <c r="F22" i="53"/>
  <c r="G21" i="53"/>
  <c r="B9" i="53"/>
  <c r="P70" i="44"/>
  <c r="O70" i="44"/>
  <c r="N70" i="44"/>
  <c r="M70" i="44"/>
  <c r="L70" i="44"/>
  <c r="K70" i="44"/>
  <c r="J70" i="44"/>
  <c r="I70" i="44"/>
  <c r="H70" i="44"/>
  <c r="G70" i="44"/>
  <c r="F70" i="44"/>
  <c r="E70" i="44"/>
  <c r="D70" i="44"/>
  <c r="C70" i="44"/>
  <c r="P69" i="44"/>
  <c r="O69" i="44"/>
  <c r="N69" i="44"/>
  <c r="M69" i="44"/>
  <c r="L69" i="44"/>
  <c r="K69" i="44"/>
  <c r="J69" i="44"/>
  <c r="I69" i="44"/>
  <c r="H69" i="44"/>
  <c r="G69" i="44"/>
  <c r="F69" i="44"/>
  <c r="E69" i="44"/>
  <c r="D69" i="44"/>
  <c r="C69" i="44"/>
  <c r="B70" i="44"/>
  <c r="B69" i="44"/>
  <c r="C64" i="44"/>
  <c r="D64" i="44"/>
  <c r="E64" i="44"/>
  <c r="F64" i="44"/>
  <c r="G64" i="44"/>
  <c r="H64" i="44"/>
  <c r="I64" i="44"/>
  <c r="J64" i="44"/>
  <c r="K64" i="44"/>
  <c r="L64" i="44"/>
  <c r="M64" i="44"/>
  <c r="N64" i="44"/>
  <c r="O64" i="44"/>
  <c r="P64" i="44"/>
  <c r="B64" i="44"/>
  <c r="C63" i="44"/>
  <c r="D63" i="44"/>
  <c r="E63" i="44"/>
  <c r="F63" i="44"/>
  <c r="G63" i="44"/>
  <c r="H63" i="44"/>
  <c r="I63" i="44"/>
  <c r="J63" i="44"/>
  <c r="K63" i="44"/>
  <c r="L63" i="44"/>
  <c r="M63" i="44"/>
  <c r="N63" i="44"/>
  <c r="O63" i="44"/>
  <c r="P63" i="44"/>
  <c r="B63" i="44"/>
  <c r="I41" i="44"/>
  <c r="I43" i="44"/>
  <c r="I45" i="44"/>
  <c r="I46" i="44"/>
  <c r="I47" i="44"/>
  <c r="I48" i="44"/>
  <c r="I52" i="44"/>
  <c r="I54" i="44"/>
  <c r="I55" i="44"/>
  <c r="B35" i="44"/>
  <c r="H50" i="44" s="1"/>
  <c r="I50" i="44" s="1"/>
  <c r="G56" i="44"/>
  <c r="G53" i="44"/>
  <c r="G51" i="44"/>
  <c r="G47" i="44"/>
  <c r="G44" i="44"/>
  <c r="G42" i="44"/>
  <c r="G40" i="44"/>
  <c r="G57" i="44" s="1"/>
  <c r="F56" i="44"/>
  <c r="F53" i="44"/>
  <c r="F52" i="44"/>
  <c r="F51" i="44"/>
  <c r="F50" i="44"/>
  <c r="F49" i="44"/>
  <c r="F48" i="44"/>
  <c r="F47" i="44"/>
  <c r="F46" i="44"/>
  <c r="F45" i="44"/>
  <c r="F44" i="44"/>
  <c r="F42" i="44"/>
  <c r="F40" i="44"/>
  <c r="D48" i="53"/>
  <c r="B48" i="53"/>
  <c r="C48" i="53" s="1"/>
  <c r="D47" i="53"/>
  <c r="B47" i="53"/>
  <c r="C47" i="53" s="1"/>
  <c r="D46" i="53"/>
  <c r="E46" i="53" s="1"/>
  <c r="B46" i="53"/>
  <c r="C46" i="53" s="1"/>
  <c r="D45" i="53"/>
  <c r="B45" i="53"/>
  <c r="C45" i="53" s="1"/>
  <c r="D44" i="53"/>
  <c r="E44" i="53" s="1"/>
  <c r="B44" i="53"/>
  <c r="C44" i="53" s="1"/>
  <c r="D43" i="53"/>
  <c r="B43" i="53"/>
  <c r="C43" i="53" s="1"/>
  <c r="D42" i="53"/>
  <c r="E42" i="53" s="1"/>
  <c r="B42" i="53"/>
  <c r="C42" i="53" s="1"/>
  <c r="D41" i="53"/>
  <c r="B41" i="53"/>
  <c r="C41" i="53" s="1"/>
  <c r="D40" i="53"/>
  <c r="E40" i="53" s="1"/>
  <c r="B40" i="53"/>
  <c r="C40" i="53" s="1"/>
  <c r="D39" i="53"/>
  <c r="B39" i="53"/>
  <c r="C39" i="53" s="1"/>
  <c r="D38" i="53"/>
  <c r="E38" i="53" s="1"/>
  <c r="B38" i="53"/>
  <c r="C38" i="53" s="1"/>
  <c r="D37" i="53"/>
  <c r="D36" i="53"/>
  <c r="C6" i="53"/>
  <c r="B6" i="53"/>
  <c r="G5" i="53" l="1"/>
  <c r="O5" i="53"/>
  <c r="I6" i="53"/>
  <c r="Q6" i="53"/>
  <c r="I5" i="53"/>
  <c r="Q5" i="53"/>
  <c r="K6" i="53"/>
  <c r="S6" i="53"/>
  <c r="H13" i="53"/>
  <c r="K5" i="53"/>
  <c r="S5" i="53"/>
  <c r="M6" i="53"/>
  <c r="G13" i="53"/>
  <c r="H14" i="53"/>
  <c r="F14" i="53"/>
  <c r="F5" i="53"/>
  <c r="M5" i="53"/>
  <c r="G6" i="53"/>
  <c r="O6" i="53"/>
  <c r="G14" i="53"/>
  <c r="F13" i="53"/>
  <c r="E37" i="53"/>
  <c r="E39" i="53"/>
  <c r="E41" i="53"/>
  <c r="E43" i="53"/>
  <c r="E45" i="53"/>
  <c r="E48" i="53"/>
  <c r="H5" i="53"/>
  <c r="L5" i="53"/>
  <c r="P5" i="53"/>
  <c r="T5" i="53"/>
  <c r="J6" i="53"/>
  <c r="N6" i="53"/>
  <c r="R6" i="53"/>
  <c r="F6" i="53"/>
  <c r="J5" i="53"/>
  <c r="N5" i="53"/>
  <c r="R5" i="53"/>
  <c r="H6" i="53"/>
  <c r="L6" i="53"/>
  <c r="P6" i="53"/>
  <c r="T6" i="53"/>
  <c r="E47" i="53"/>
  <c r="C31" i="44"/>
  <c r="H56" i="44"/>
  <c r="I56" i="44" s="1"/>
  <c r="H40" i="44"/>
  <c r="I40" i="44" s="1"/>
  <c r="C30" i="44"/>
  <c r="H42" i="44"/>
  <c r="I42" i="44" s="1"/>
  <c r="C24" i="44"/>
  <c r="C27" i="44"/>
  <c r="H49" i="44"/>
  <c r="I49" i="44" s="1"/>
  <c r="C34" i="44"/>
  <c r="C26" i="44"/>
  <c r="C33" i="44"/>
  <c r="C29" i="44"/>
  <c r="C25" i="44"/>
  <c r="H44" i="44"/>
  <c r="I44" i="44" s="1"/>
  <c r="H51" i="44"/>
  <c r="I51" i="44" s="1"/>
  <c r="C32" i="44"/>
  <c r="C28" i="44"/>
  <c r="H47" i="44"/>
  <c r="H53" i="44"/>
  <c r="I53" i="44" s="1"/>
  <c r="C5" i="46"/>
  <c r="C4" i="46"/>
  <c r="B76" i="50"/>
  <c r="B75" i="50"/>
  <c r="D73" i="50"/>
  <c r="C70" i="50"/>
  <c r="B51" i="50"/>
  <c r="B50" i="50"/>
  <c r="F48" i="50"/>
  <c r="D48" i="50"/>
  <c r="E48" i="50" s="1"/>
  <c r="E44" i="50"/>
  <c r="C44" i="50"/>
  <c r="C1" i="50"/>
  <c r="B76" i="49"/>
  <c r="B75" i="49"/>
  <c r="E73" i="49"/>
  <c r="F73" i="49" s="1"/>
  <c r="D73" i="49"/>
  <c r="D70" i="49" s="1"/>
  <c r="E70" i="49"/>
  <c r="C70" i="49"/>
  <c r="B50" i="49"/>
  <c r="E48" i="49"/>
  <c r="D48" i="49"/>
  <c r="D44" i="49"/>
  <c r="C44" i="49"/>
  <c r="C1" i="49"/>
  <c r="B79" i="48"/>
  <c r="B77" i="48"/>
  <c r="B78" i="48" s="1"/>
  <c r="B76" i="48"/>
  <c r="B75" i="48"/>
  <c r="F73" i="48"/>
  <c r="D73" i="48"/>
  <c r="E73" i="48" s="1"/>
  <c r="E70" i="48"/>
  <c r="C70" i="48"/>
  <c r="B50" i="48"/>
  <c r="E48" i="48"/>
  <c r="D48" i="48"/>
  <c r="D44" i="48"/>
  <c r="C44" i="48"/>
  <c r="P71" i="48"/>
  <c r="L71" i="48"/>
  <c r="H71" i="48"/>
  <c r="E71" i="48"/>
  <c r="D71" i="48"/>
  <c r="O45" i="48"/>
  <c r="K45" i="48"/>
  <c r="G45" i="48"/>
  <c r="D45" i="48"/>
  <c r="C45" i="48"/>
  <c r="C1" i="48"/>
  <c r="F44" i="47"/>
  <c r="E44" i="47"/>
  <c r="F43" i="47"/>
  <c r="E43" i="47"/>
  <c r="E42" i="47"/>
  <c r="F38" i="47"/>
  <c r="F39" i="47" s="1"/>
  <c r="E30" i="47"/>
  <c r="F29" i="47"/>
  <c r="F30" i="47" s="1"/>
  <c r="E29" i="47"/>
  <c r="E28" i="47"/>
  <c r="F25" i="47"/>
  <c r="F24" i="47"/>
  <c r="E16" i="47"/>
  <c r="F15" i="47"/>
  <c r="F16" i="47" s="1"/>
  <c r="E15" i="47"/>
  <c r="E14" i="47"/>
  <c r="F10" i="47"/>
  <c r="F11" i="47" s="1"/>
  <c r="C1" i="47"/>
  <c r="B9" i="47" s="1"/>
  <c r="B23" i="47" s="1"/>
  <c r="B37" i="47" s="1"/>
  <c r="C9" i="47" l="1"/>
  <c r="C23" i="47" s="1"/>
  <c r="C37" i="47" s="1"/>
  <c r="D9" i="47"/>
  <c r="D23" i="47" s="1"/>
  <c r="D37" i="47" s="1"/>
  <c r="C49" i="48"/>
  <c r="C66" i="48" s="1"/>
  <c r="D49" i="48"/>
  <c r="I57" i="44"/>
  <c r="C35" i="44"/>
  <c r="H57" i="44"/>
  <c r="B80" i="48"/>
  <c r="L45" i="48"/>
  <c r="C71" i="48"/>
  <c r="E74" i="48" s="1"/>
  <c r="M71" i="48"/>
  <c r="F48" i="48"/>
  <c r="E44" i="48"/>
  <c r="E49" i="48" s="1"/>
  <c r="F70" i="48"/>
  <c r="G73" i="48"/>
  <c r="E45" i="48"/>
  <c r="I45" i="48"/>
  <c r="M45" i="48"/>
  <c r="Q45" i="48"/>
  <c r="F71" i="48"/>
  <c r="J71" i="48"/>
  <c r="N71" i="48"/>
  <c r="H45" i="48"/>
  <c r="N45" i="48"/>
  <c r="I71" i="48"/>
  <c r="O71" i="48"/>
  <c r="B51" i="49"/>
  <c r="J45" i="48"/>
  <c r="K71" i="48"/>
  <c r="D50" i="48"/>
  <c r="B51" i="48"/>
  <c r="E44" i="49"/>
  <c r="F48" i="49"/>
  <c r="F45" i="48"/>
  <c r="P45" i="48"/>
  <c r="G71" i="48"/>
  <c r="Q71" i="48"/>
  <c r="G73" i="49"/>
  <c r="F70" i="49"/>
  <c r="D70" i="48"/>
  <c r="E76" i="48"/>
  <c r="B77" i="49"/>
  <c r="F44" i="50"/>
  <c r="G48" i="50"/>
  <c r="B77" i="50"/>
  <c r="D44" i="50"/>
  <c r="B52" i="50"/>
  <c r="D70" i="50"/>
  <c r="E73" i="50"/>
  <c r="C74" i="48" l="1"/>
  <c r="C91" i="48" s="1"/>
  <c r="D66" i="48"/>
  <c r="H24" i="47" s="1"/>
  <c r="G10" i="47"/>
  <c r="G24" i="47"/>
  <c r="F75" i="49"/>
  <c r="B81" i="48"/>
  <c r="C28" i="47"/>
  <c r="C24" i="47"/>
  <c r="D50" i="50"/>
  <c r="B78" i="50"/>
  <c r="D74" i="48"/>
  <c r="D91" i="48" s="1"/>
  <c r="D75" i="48"/>
  <c r="D75" i="50"/>
  <c r="B24" i="47"/>
  <c r="B28" i="47"/>
  <c r="D42" i="47"/>
  <c r="D38" i="47"/>
  <c r="E50" i="50"/>
  <c r="F73" i="50"/>
  <c r="E70" i="50"/>
  <c r="E51" i="50"/>
  <c r="G44" i="50"/>
  <c r="H48" i="50"/>
  <c r="E50" i="48"/>
  <c r="D50" i="49"/>
  <c r="E75" i="48"/>
  <c r="E91" i="48" s="1"/>
  <c r="G48" i="48"/>
  <c r="F44" i="48"/>
  <c r="C10" i="47"/>
  <c r="C14" i="47"/>
  <c r="C42" i="47"/>
  <c r="C38" i="47"/>
  <c r="B53" i="50"/>
  <c r="B78" i="49"/>
  <c r="G15" i="47"/>
  <c r="G29" i="47"/>
  <c r="F51" i="49"/>
  <c r="F74" i="48"/>
  <c r="F76" i="48"/>
  <c r="F77" i="48"/>
  <c r="F75" i="48"/>
  <c r="D10" i="47"/>
  <c r="D14" i="47"/>
  <c r="B52" i="49"/>
  <c r="F77" i="49"/>
  <c r="B38" i="47"/>
  <c r="B42" i="47"/>
  <c r="F51" i="50"/>
  <c r="F50" i="50"/>
  <c r="F49" i="50"/>
  <c r="G70" i="49"/>
  <c r="G77" i="49" s="1"/>
  <c r="H73" i="49"/>
  <c r="G48" i="49"/>
  <c r="F44" i="49"/>
  <c r="B52" i="48"/>
  <c r="E51" i="48"/>
  <c r="G70" i="48"/>
  <c r="H73" i="48"/>
  <c r="C74" i="50"/>
  <c r="C91" i="50" s="1"/>
  <c r="F52" i="50"/>
  <c r="D24" i="47"/>
  <c r="D28" i="47"/>
  <c r="B14" i="47"/>
  <c r="B10" i="47"/>
  <c r="H10" i="47" l="1"/>
  <c r="D74" i="50"/>
  <c r="D91" i="50" s="1"/>
  <c r="H30" i="47" s="1"/>
  <c r="G38" i="47"/>
  <c r="F91" i="48"/>
  <c r="J29" i="47" s="1"/>
  <c r="F66" i="50"/>
  <c r="J25" i="47" s="1"/>
  <c r="E66" i="48"/>
  <c r="I10" i="47" s="1"/>
  <c r="H38" i="47"/>
  <c r="G43" i="47"/>
  <c r="I15" i="47"/>
  <c r="I29" i="47"/>
  <c r="I73" i="49"/>
  <c r="H70" i="49"/>
  <c r="E76" i="49"/>
  <c r="F76" i="49"/>
  <c r="G52" i="50"/>
  <c r="F49" i="48"/>
  <c r="F50" i="48"/>
  <c r="C49" i="49"/>
  <c r="C66" i="49" s="1"/>
  <c r="D49" i="49"/>
  <c r="D66" i="49" s="1"/>
  <c r="D43" i="47"/>
  <c r="D39" i="47"/>
  <c r="D44" i="47" s="1"/>
  <c r="C25" i="47"/>
  <c r="C30" i="47" s="1"/>
  <c r="C29" i="47"/>
  <c r="F52" i="49"/>
  <c r="B53" i="49"/>
  <c r="E49" i="49"/>
  <c r="G78" i="49"/>
  <c r="H78" i="49"/>
  <c r="B79" i="49"/>
  <c r="B54" i="50"/>
  <c r="G53" i="50"/>
  <c r="C15" i="47"/>
  <c r="C11" i="47"/>
  <c r="C16" i="47" s="1"/>
  <c r="D74" i="49"/>
  <c r="E74" i="49"/>
  <c r="C74" i="49"/>
  <c r="C91" i="49" s="1"/>
  <c r="G44" i="48"/>
  <c r="H48" i="48"/>
  <c r="E75" i="50"/>
  <c r="E74" i="50"/>
  <c r="E76" i="50"/>
  <c r="B79" i="50"/>
  <c r="I73" i="48"/>
  <c r="H70" i="48"/>
  <c r="F51" i="48"/>
  <c r="F49" i="49"/>
  <c r="F50" i="49"/>
  <c r="B39" i="47"/>
  <c r="B44" i="47" s="1"/>
  <c r="B43" i="47"/>
  <c r="E51" i="49"/>
  <c r="D11" i="47"/>
  <c r="D16" i="47" s="1"/>
  <c r="D15" i="47"/>
  <c r="C43" i="47"/>
  <c r="C39" i="47"/>
  <c r="C44" i="47" s="1"/>
  <c r="F74" i="49"/>
  <c r="I48" i="50"/>
  <c r="H44" i="50"/>
  <c r="H53" i="50" s="1"/>
  <c r="G73" i="50"/>
  <c r="F70" i="50"/>
  <c r="B82" i="48"/>
  <c r="B11" i="47"/>
  <c r="B16" i="47" s="1"/>
  <c r="B15" i="47"/>
  <c r="H29" i="47"/>
  <c r="H15" i="47"/>
  <c r="G52" i="48"/>
  <c r="B53" i="48"/>
  <c r="F52" i="48"/>
  <c r="G74" i="49"/>
  <c r="G75" i="49"/>
  <c r="G76" i="49"/>
  <c r="D29" i="47"/>
  <c r="D25" i="47"/>
  <c r="D30" i="47" s="1"/>
  <c r="G16" i="47"/>
  <c r="G30" i="47"/>
  <c r="G76" i="48"/>
  <c r="G78" i="48"/>
  <c r="G74" i="48"/>
  <c r="G75" i="48"/>
  <c r="G77" i="48"/>
  <c r="H48" i="49"/>
  <c r="G44" i="49"/>
  <c r="C49" i="50"/>
  <c r="C66" i="50" s="1"/>
  <c r="E49" i="50"/>
  <c r="E66" i="50" s="1"/>
  <c r="G49" i="50"/>
  <c r="G50" i="50"/>
  <c r="G51" i="50"/>
  <c r="B25" i="47"/>
  <c r="B30" i="47" s="1"/>
  <c r="B29" i="47"/>
  <c r="D49" i="50"/>
  <c r="D66" i="50" s="1"/>
  <c r="E75" i="49"/>
  <c r="D75" i="49"/>
  <c r="E50" i="49"/>
  <c r="E91" i="50" l="1"/>
  <c r="H16" i="47"/>
  <c r="H44" i="47" s="1"/>
  <c r="J11" i="47"/>
  <c r="J39" i="47" s="1"/>
  <c r="J15" i="47"/>
  <c r="J43" i="47" s="1"/>
  <c r="E91" i="49"/>
  <c r="I28" i="47" s="1"/>
  <c r="I24" i="47"/>
  <c r="I38" i="47" s="1"/>
  <c r="G91" i="48"/>
  <c r="K29" i="47" s="1"/>
  <c r="G44" i="47"/>
  <c r="I43" i="47"/>
  <c r="G49" i="49"/>
  <c r="G50" i="49"/>
  <c r="G51" i="49"/>
  <c r="G14" i="47"/>
  <c r="G28" i="47"/>
  <c r="B55" i="50"/>
  <c r="H54" i="50"/>
  <c r="B83" i="48"/>
  <c r="J48" i="50"/>
  <c r="I44" i="50"/>
  <c r="I54" i="50" s="1"/>
  <c r="H75" i="48"/>
  <c r="H74" i="48"/>
  <c r="H76" i="48"/>
  <c r="H79" i="48"/>
  <c r="H77" i="48"/>
  <c r="H78" i="48"/>
  <c r="E66" i="49"/>
  <c r="J73" i="49"/>
  <c r="I70" i="49"/>
  <c r="I25" i="47"/>
  <c r="I11" i="47"/>
  <c r="F74" i="50"/>
  <c r="F75" i="50"/>
  <c r="F76" i="50"/>
  <c r="F77" i="50"/>
  <c r="F91" i="49"/>
  <c r="J73" i="48"/>
  <c r="I70" i="48"/>
  <c r="B80" i="50"/>
  <c r="H44" i="48"/>
  <c r="I48" i="48"/>
  <c r="D91" i="49"/>
  <c r="H79" i="49"/>
  <c r="B80" i="49"/>
  <c r="I79" i="49"/>
  <c r="F66" i="48"/>
  <c r="H11" i="47"/>
  <c r="H25" i="47"/>
  <c r="K15" i="47"/>
  <c r="G53" i="48"/>
  <c r="B54" i="48"/>
  <c r="H53" i="48"/>
  <c r="H49" i="50"/>
  <c r="H51" i="50"/>
  <c r="H50" i="50"/>
  <c r="H52" i="50"/>
  <c r="I16" i="47"/>
  <c r="I30" i="47"/>
  <c r="G52" i="49"/>
  <c r="G23" i="47"/>
  <c r="G9" i="47"/>
  <c r="H74" i="49"/>
  <c r="H75" i="49"/>
  <c r="H76" i="49"/>
  <c r="H77" i="49"/>
  <c r="G66" i="50"/>
  <c r="I48" i="49"/>
  <c r="H44" i="49"/>
  <c r="G91" i="49"/>
  <c r="G25" i="47"/>
  <c r="G11" i="47"/>
  <c r="H43" i="47"/>
  <c r="H73" i="50"/>
  <c r="G70" i="50"/>
  <c r="F66" i="49"/>
  <c r="G49" i="48"/>
  <c r="G50" i="48"/>
  <c r="G51" i="48"/>
  <c r="G53" i="49"/>
  <c r="B54" i="49"/>
  <c r="H9" i="47"/>
  <c r="H23" i="47"/>
  <c r="I14" i="47" l="1"/>
  <c r="I39" i="47"/>
  <c r="G66" i="48"/>
  <c r="K24" i="47" s="1"/>
  <c r="G42" i="47"/>
  <c r="H49" i="49"/>
  <c r="H50" i="49"/>
  <c r="H51" i="49"/>
  <c r="H52" i="49"/>
  <c r="H53" i="49"/>
  <c r="G74" i="50"/>
  <c r="G75" i="50"/>
  <c r="G76" i="50"/>
  <c r="G77" i="50"/>
  <c r="G78" i="50"/>
  <c r="K25" i="47"/>
  <c r="K11" i="47"/>
  <c r="H91" i="49"/>
  <c r="J48" i="48"/>
  <c r="I44" i="48"/>
  <c r="I54" i="48" s="1"/>
  <c r="J70" i="49"/>
  <c r="K73" i="49"/>
  <c r="H91" i="48"/>
  <c r="H70" i="50"/>
  <c r="I73" i="50"/>
  <c r="K14" i="47"/>
  <c r="K28" i="47"/>
  <c r="G37" i="47"/>
  <c r="I44" i="47"/>
  <c r="H66" i="50"/>
  <c r="B55" i="48"/>
  <c r="H54" i="48"/>
  <c r="H39" i="47"/>
  <c r="H49" i="48"/>
  <c r="H50" i="48"/>
  <c r="H51" i="48"/>
  <c r="H52" i="48"/>
  <c r="B81" i="50"/>
  <c r="I74" i="48"/>
  <c r="I77" i="48"/>
  <c r="I75" i="48"/>
  <c r="I79" i="48"/>
  <c r="I78" i="48"/>
  <c r="I76" i="48"/>
  <c r="I80" i="48"/>
  <c r="I23" i="47"/>
  <c r="I9" i="47"/>
  <c r="H54" i="49"/>
  <c r="B55" i="49"/>
  <c r="J70" i="48"/>
  <c r="K73" i="48"/>
  <c r="I51" i="50"/>
  <c r="I49" i="50"/>
  <c r="I50" i="50"/>
  <c r="I52" i="50"/>
  <c r="I53" i="50"/>
  <c r="I55" i="50"/>
  <c r="B56" i="50"/>
  <c r="H37" i="47"/>
  <c r="J9" i="47"/>
  <c r="J23" i="47"/>
  <c r="G39" i="47"/>
  <c r="I44" i="49"/>
  <c r="J48" i="49"/>
  <c r="K43" i="47"/>
  <c r="J24" i="47"/>
  <c r="J10" i="47"/>
  <c r="B81" i="49"/>
  <c r="J80" i="49"/>
  <c r="I80" i="49"/>
  <c r="H28" i="47"/>
  <c r="H14" i="47"/>
  <c r="J28" i="47"/>
  <c r="J14" i="47"/>
  <c r="F91" i="50"/>
  <c r="I74" i="49"/>
  <c r="I76" i="49"/>
  <c r="I75" i="49"/>
  <c r="I77" i="49"/>
  <c r="I78" i="49"/>
  <c r="I42" i="47"/>
  <c r="J44" i="50"/>
  <c r="K48" i="50"/>
  <c r="B84" i="48"/>
  <c r="G66" i="49"/>
  <c r="H42" i="47" l="1"/>
  <c r="K10" i="47"/>
  <c r="K38" i="47" s="1"/>
  <c r="J37" i="47"/>
  <c r="H66" i="48"/>
  <c r="L10" i="47" s="1"/>
  <c r="J38" i="47"/>
  <c r="K81" i="49"/>
  <c r="B82" i="49"/>
  <c r="J81" i="49"/>
  <c r="K48" i="49"/>
  <c r="J44" i="49"/>
  <c r="J56" i="50"/>
  <c r="B57" i="50"/>
  <c r="K56" i="50"/>
  <c r="B56" i="49"/>
  <c r="J55" i="49"/>
  <c r="I55" i="49"/>
  <c r="I91" i="49"/>
  <c r="I49" i="49"/>
  <c r="I50" i="49"/>
  <c r="I51" i="49"/>
  <c r="I52" i="49"/>
  <c r="I53" i="49"/>
  <c r="L73" i="48"/>
  <c r="K70" i="48"/>
  <c r="L11" i="47"/>
  <c r="L25" i="47"/>
  <c r="K70" i="49"/>
  <c r="L73" i="49"/>
  <c r="H66" i="49"/>
  <c r="K23" i="47"/>
  <c r="K9" i="47"/>
  <c r="L48" i="50"/>
  <c r="K44" i="50"/>
  <c r="J16" i="47"/>
  <c r="J30" i="47"/>
  <c r="J74" i="48"/>
  <c r="J75" i="48"/>
  <c r="J78" i="48"/>
  <c r="J76" i="48"/>
  <c r="J79" i="48"/>
  <c r="J77" i="48"/>
  <c r="J80" i="48"/>
  <c r="J81" i="48"/>
  <c r="I54" i="49"/>
  <c r="I37" i="47"/>
  <c r="I91" i="48"/>
  <c r="B82" i="50"/>
  <c r="I70" i="50"/>
  <c r="J73" i="50"/>
  <c r="J74" i="49"/>
  <c r="J75" i="49"/>
  <c r="J76" i="49"/>
  <c r="J77" i="49"/>
  <c r="J78" i="49"/>
  <c r="J79" i="49"/>
  <c r="K39" i="47"/>
  <c r="L24" i="47"/>
  <c r="B56" i="48"/>
  <c r="J55" i="48"/>
  <c r="I55" i="48"/>
  <c r="L29" i="47"/>
  <c r="L15" i="47"/>
  <c r="K48" i="48"/>
  <c r="J44" i="48"/>
  <c r="G91" i="50"/>
  <c r="K42" i="47"/>
  <c r="L28" i="47"/>
  <c r="L14" i="47"/>
  <c r="B85" i="48"/>
  <c r="J49" i="50"/>
  <c r="J50" i="50"/>
  <c r="J51" i="50"/>
  <c r="J52" i="50"/>
  <c r="J53" i="50"/>
  <c r="J54" i="50"/>
  <c r="J42" i="47"/>
  <c r="J55" i="50"/>
  <c r="I66" i="50"/>
  <c r="H74" i="50"/>
  <c r="H75" i="50"/>
  <c r="H76" i="50"/>
  <c r="H77" i="50"/>
  <c r="H78" i="50"/>
  <c r="H79" i="50"/>
  <c r="I49" i="48"/>
  <c r="I50" i="48"/>
  <c r="I51" i="48"/>
  <c r="I52" i="48"/>
  <c r="I53" i="48"/>
  <c r="L43" i="47" l="1"/>
  <c r="J91" i="49"/>
  <c r="N28" i="47" s="1"/>
  <c r="J44" i="47"/>
  <c r="B86" i="48"/>
  <c r="I66" i="49"/>
  <c r="K16" i="47"/>
  <c r="K30" i="47"/>
  <c r="B57" i="48"/>
  <c r="J56" i="48"/>
  <c r="L38" i="47"/>
  <c r="K73" i="50"/>
  <c r="J70" i="50"/>
  <c r="B83" i="50"/>
  <c r="M14" i="47"/>
  <c r="M28" i="47"/>
  <c r="K57" i="50"/>
  <c r="B58" i="50"/>
  <c r="J49" i="49"/>
  <c r="J50" i="49"/>
  <c r="J51" i="49"/>
  <c r="J52" i="49"/>
  <c r="J53" i="49"/>
  <c r="J54" i="49"/>
  <c r="H91" i="50"/>
  <c r="L42" i="47"/>
  <c r="J49" i="48"/>
  <c r="J50" i="48"/>
  <c r="J51" i="48"/>
  <c r="J52" i="48"/>
  <c r="J53" i="48"/>
  <c r="J54" i="48"/>
  <c r="I75" i="50"/>
  <c r="I74" i="50"/>
  <c r="I76" i="50"/>
  <c r="I77" i="50"/>
  <c r="I78" i="50"/>
  <c r="I79" i="50"/>
  <c r="I80" i="50"/>
  <c r="J91" i="48"/>
  <c r="M48" i="50"/>
  <c r="L44" i="50"/>
  <c r="L57" i="50" s="1"/>
  <c r="L70" i="49"/>
  <c r="M73" i="49"/>
  <c r="K74" i="48"/>
  <c r="K77" i="48"/>
  <c r="K76" i="48"/>
  <c r="K79" i="48"/>
  <c r="K78" i="48"/>
  <c r="K75" i="48"/>
  <c r="K80" i="48"/>
  <c r="K81" i="48"/>
  <c r="K82" i="48"/>
  <c r="L48" i="49"/>
  <c r="K44" i="49"/>
  <c r="K82" i="49"/>
  <c r="B83" i="49"/>
  <c r="L82" i="49"/>
  <c r="I66" i="48"/>
  <c r="M15" i="47"/>
  <c r="M29" i="47"/>
  <c r="K50" i="50"/>
  <c r="K49" i="50"/>
  <c r="K51" i="50"/>
  <c r="K52" i="50"/>
  <c r="K53" i="50"/>
  <c r="K54" i="50"/>
  <c r="K55" i="50"/>
  <c r="L9" i="47"/>
  <c r="L23" i="47"/>
  <c r="L39" i="47"/>
  <c r="M25" i="47"/>
  <c r="M11" i="47"/>
  <c r="J66" i="50"/>
  <c r="K44" i="48"/>
  <c r="L48" i="48"/>
  <c r="K37" i="47"/>
  <c r="K74" i="49"/>
  <c r="K75" i="49"/>
  <c r="K76" i="49"/>
  <c r="K77" i="49"/>
  <c r="K78" i="49"/>
  <c r="K79" i="49"/>
  <c r="K80" i="49"/>
  <c r="M73" i="48"/>
  <c r="L70" i="48"/>
  <c r="B57" i="49"/>
  <c r="J56" i="49"/>
  <c r="K56" i="49"/>
  <c r="N14" i="47" l="1"/>
  <c r="N42" i="47" s="1"/>
  <c r="M39" i="47"/>
  <c r="L37" i="47"/>
  <c r="K66" i="50"/>
  <c r="O11" i="47" s="1"/>
  <c r="K49" i="48"/>
  <c r="K50" i="48"/>
  <c r="K51" i="48"/>
  <c r="K52" i="48"/>
  <c r="K53" i="48"/>
  <c r="K54" i="48"/>
  <c r="K55" i="48"/>
  <c r="B58" i="49"/>
  <c r="K57" i="49"/>
  <c r="N73" i="48"/>
  <c r="M70" i="48"/>
  <c r="M10" i="47"/>
  <c r="M24" i="47"/>
  <c r="N73" i="49"/>
  <c r="M70" i="49"/>
  <c r="N15" i="47"/>
  <c r="N29" i="47"/>
  <c r="J74" i="50"/>
  <c r="J75" i="50"/>
  <c r="J76" i="50"/>
  <c r="J77" i="50"/>
  <c r="J78" i="50"/>
  <c r="J79" i="50"/>
  <c r="J80" i="50"/>
  <c r="J81" i="50"/>
  <c r="K57" i="48"/>
  <c r="B58" i="48"/>
  <c r="M48" i="48"/>
  <c r="L44" i="48"/>
  <c r="M43" i="47"/>
  <c r="K49" i="49"/>
  <c r="K50" i="49"/>
  <c r="K51" i="49"/>
  <c r="K52" i="49"/>
  <c r="K53" i="49"/>
  <c r="K54" i="49"/>
  <c r="K55" i="49"/>
  <c r="L74" i="49"/>
  <c r="L75" i="49"/>
  <c r="L76" i="49"/>
  <c r="L77" i="49"/>
  <c r="L78" i="49"/>
  <c r="L79" i="49"/>
  <c r="L80" i="49"/>
  <c r="L81" i="49"/>
  <c r="J66" i="48"/>
  <c r="J66" i="49"/>
  <c r="B84" i="50"/>
  <c r="K70" i="50"/>
  <c r="L73" i="50"/>
  <c r="K44" i="47"/>
  <c r="O25" i="47"/>
  <c r="L44" i="49"/>
  <c r="M48" i="49"/>
  <c r="L49" i="50"/>
  <c r="L50" i="50"/>
  <c r="L51" i="50"/>
  <c r="L52" i="50"/>
  <c r="L53" i="50"/>
  <c r="L54" i="50"/>
  <c r="L55" i="50"/>
  <c r="L56" i="50"/>
  <c r="I91" i="50"/>
  <c r="M58" i="50"/>
  <c r="L58" i="50"/>
  <c r="B59" i="50"/>
  <c r="K56" i="48"/>
  <c r="M23" i="47"/>
  <c r="M9" i="47"/>
  <c r="B87" i="48"/>
  <c r="L76" i="48"/>
  <c r="L75" i="48"/>
  <c r="L74" i="48"/>
  <c r="L78" i="48"/>
  <c r="L77" i="48"/>
  <c r="L79" i="48"/>
  <c r="L80" i="48"/>
  <c r="L81" i="48"/>
  <c r="L82" i="48"/>
  <c r="L83" i="48"/>
  <c r="K91" i="49"/>
  <c r="N11" i="47"/>
  <c r="N25" i="47"/>
  <c r="B84" i="49"/>
  <c r="L83" i="49"/>
  <c r="M83" i="49"/>
  <c r="K91" i="48"/>
  <c r="N48" i="50"/>
  <c r="M44" i="50"/>
  <c r="L30" i="47"/>
  <c r="L16" i="47"/>
  <c r="M42" i="47"/>
  <c r="N43" i="47" l="1"/>
  <c r="M37" i="47"/>
  <c r="M38" i="47"/>
  <c r="N39" i="47"/>
  <c r="L49" i="49"/>
  <c r="L50" i="49"/>
  <c r="L51" i="49"/>
  <c r="L52" i="49"/>
  <c r="L53" i="49"/>
  <c r="L54" i="49"/>
  <c r="L55" i="49"/>
  <c r="L56" i="49"/>
  <c r="L70" i="50"/>
  <c r="M73" i="50"/>
  <c r="B85" i="50"/>
  <c r="N48" i="48"/>
  <c r="M44" i="48"/>
  <c r="J91" i="50"/>
  <c r="N70" i="49"/>
  <c r="O73" i="49"/>
  <c r="N70" i="48"/>
  <c r="O73" i="48"/>
  <c r="L57" i="49"/>
  <c r="M49" i="50"/>
  <c r="M51" i="50"/>
  <c r="M50" i="50"/>
  <c r="M52" i="50"/>
  <c r="M53" i="50"/>
  <c r="M54" i="50"/>
  <c r="M55" i="50"/>
  <c r="M56" i="50"/>
  <c r="M57" i="50"/>
  <c r="O14" i="47"/>
  <c r="O28" i="47"/>
  <c r="L91" i="48"/>
  <c r="O39" i="47"/>
  <c r="K74" i="50"/>
  <c r="K76" i="50"/>
  <c r="K75" i="50"/>
  <c r="K77" i="50"/>
  <c r="K78" i="50"/>
  <c r="K79" i="50"/>
  <c r="K80" i="50"/>
  <c r="K81" i="50"/>
  <c r="K82" i="50"/>
  <c r="N9" i="47"/>
  <c r="N23" i="47"/>
  <c r="K66" i="49"/>
  <c r="B59" i="49"/>
  <c r="M58" i="49"/>
  <c r="L58" i="49"/>
  <c r="N44" i="50"/>
  <c r="O48" i="50"/>
  <c r="B85" i="49"/>
  <c r="M84" i="49"/>
  <c r="B88" i="48"/>
  <c r="M16" i="47"/>
  <c r="M30" i="47"/>
  <c r="L66" i="50"/>
  <c r="N24" i="47"/>
  <c r="N10" i="47"/>
  <c r="L91" i="49"/>
  <c r="L58" i="48"/>
  <c r="B59" i="48"/>
  <c r="M58" i="48"/>
  <c r="L44" i="47"/>
  <c r="O15" i="47"/>
  <c r="O29" i="47"/>
  <c r="M59" i="50"/>
  <c r="N59" i="50"/>
  <c r="B60" i="50"/>
  <c r="M44" i="49"/>
  <c r="N48" i="49"/>
  <c r="L49" i="48"/>
  <c r="L50" i="48"/>
  <c r="L51" i="48"/>
  <c r="L52" i="48"/>
  <c r="L53" i="48"/>
  <c r="L54" i="48"/>
  <c r="L55" i="48"/>
  <c r="L56" i="48"/>
  <c r="L57" i="48"/>
  <c r="M74" i="49"/>
  <c r="M75" i="49"/>
  <c r="M76" i="49"/>
  <c r="M77" i="49"/>
  <c r="M78" i="49"/>
  <c r="M79" i="49"/>
  <c r="M80" i="49"/>
  <c r="M81" i="49"/>
  <c r="M82" i="49"/>
  <c r="M75" i="48"/>
  <c r="M74" i="48"/>
  <c r="M78" i="48"/>
  <c r="M77" i="48"/>
  <c r="M79" i="48"/>
  <c r="M76" i="48"/>
  <c r="M80" i="48"/>
  <c r="M81" i="48"/>
  <c r="M82" i="48"/>
  <c r="M83" i="48"/>
  <c r="M84" i="48"/>
  <c r="K66" i="48"/>
  <c r="O43" i="47" l="1"/>
  <c r="N38" i="47"/>
  <c r="M44" i="47"/>
  <c r="O42" i="47"/>
  <c r="P29" i="47"/>
  <c r="P15" i="47"/>
  <c r="P43" i="47" s="1"/>
  <c r="N74" i="49"/>
  <c r="N76" i="49"/>
  <c r="N75" i="49"/>
  <c r="N77" i="49"/>
  <c r="N78" i="49"/>
  <c r="N79" i="49"/>
  <c r="N80" i="49"/>
  <c r="N81" i="49"/>
  <c r="N82" i="49"/>
  <c r="N83" i="49"/>
  <c r="M91" i="48"/>
  <c r="O48" i="49"/>
  <c r="N44" i="49"/>
  <c r="B89" i="48"/>
  <c r="N37" i="47"/>
  <c r="O70" i="48"/>
  <c r="P73" i="48"/>
  <c r="N30" i="47"/>
  <c r="N16" i="47"/>
  <c r="B86" i="50"/>
  <c r="L66" i="48"/>
  <c r="B60" i="48"/>
  <c r="M59" i="48"/>
  <c r="B86" i="49"/>
  <c r="N85" i="49"/>
  <c r="M49" i="49"/>
  <c r="M50" i="49"/>
  <c r="M51" i="49"/>
  <c r="M52" i="49"/>
  <c r="M53" i="49"/>
  <c r="M54" i="49"/>
  <c r="M55" i="49"/>
  <c r="M56" i="49"/>
  <c r="M57" i="49"/>
  <c r="P11" i="47"/>
  <c r="P25" i="47"/>
  <c r="O44" i="50"/>
  <c r="P48" i="50"/>
  <c r="B60" i="49"/>
  <c r="M59" i="49"/>
  <c r="N59" i="49"/>
  <c r="K91" i="50"/>
  <c r="N74" i="48"/>
  <c r="N77" i="48"/>
  <c r="N75" i="48"/>
  <c r="N76" i="48"/>
  <c r="N78" i="48"/>
  <c r="N79" i="48"/>
  <c r="N80" i="48"/>
  <c r="N81" i="48"/>
  <c r="N82" i="48"/>
  <c r="N83" i="48"/>
  <c r="N84" i="48"/>
  <c r="N85" i="48"/>
  <c r="M49" i="48"/>
  <c r="M50" i="48"/>
  <c r="M51" i="48"/>
  <c r="M52" i="48"/>
  <c r="M53" i="48"/>
  <c r="M54" i="48"/>
  <c r="M55" i="48"/>
  <c r="M56" i="48"/>
  <c r="M57" i="48"/>
  <c r="N73" i="50"/>
  <c r="M70" i="50"/>
  <c r="O10" i="47"/>
  <c r="O24" i="47"/>
  <c r="M91" i="49"/>
  <c r="B61" i="50"/>
  <c r="N60" i="50"/>
  <c r="O60" i="50"/>
  <c r="P28" i="47"/>
  <c r="P14" i="47"/>
  <c r="N84" i="49"/>
  <c r="N49" i="50"/>
  <c r="N50" i="50"/>
  <c r="N51" i="50"/>
  <c r="N52" i="50"/>
  <c r="N53" i="50"/>
  <c r="N54" i="50"/>
  <c r="N55" i="50"/>
  <c r="N56" i="50"/>
  <c r="N57" i="50"/>
  <c r="N58" i="50"/>
  <c r="O9" i="47"/>
  <c r="O23" i="47"/>
  <c r="M66" i="50"/>
  <c r="O70" i="49"/>
  <c r="P73" i="49"/>
  <c r="O48" i="48"/>
  <c r="N44" i="48"/>
  <c r="L74" i="50"/>
  <c r="L75" i="50"/>
  <c r="L76" i="50"/>
  <c r="L77" i="50"/>
  <c r="L78" i="50"/>
  <c r="L79" i="50"/>
  <c r="L80" i="50"/>
  <c r="L81" i="50"/>
  <c r="L82" i="50"/>
  <c r="L83" i="50"/>
  <c r="L66" i="49"/>
  <c r="N44" i="47" l="1"/>
  <c r="O37" i="47"/>
  <c r="P42" i="47"/>
  <c r="M66" i="48"/>
  <c r="N91" i="48"/>
  <c r="Q48" i="50"/>
  <c r="Q44" i="50" s="1"/>
  <c r="P44" i="50"/>
  <c r="M66" i="49"/>
  <c r="P24" i="47"/>
  <c r="P10" i="47"/>
  <c r="Q73" i="48"/>
  <c r="Q70" i="48" s="1"/>
  <c r="P70" i="48"/>
  <c r="L91" i="50"/>
  <c r="O74" i="49"/>
  <c r="O76" i="49"/>
  <c r="O75" i="49"/>
  <c r="O77" i="49"/>
  <c r="O78" i="49"/>
  <c r="O79" i="49"/>
  <c r="O80" i="49"/>
  <c r="O81" i="49"/>
  <c r="O82" i="49"/>
  <c r="O83" i="49"/>
  <c r="O84" i="49"/>
  <c r="P61" i="50"/>
  <c r="B62" i="50"/>
  <c r="O61" i="50"/>
  <c r="Q61" i="50"/>
  <c r="O38" i="47"/>
  <c r="O16" i="47"/>
  <c r="O30" i="47"/>
  <c r="O50" i="50"/>
  <c r="O49" i="50"/>
  <c r="O51" i="50"/>
  <c r="O52" i="50"/>
  <c r="O53" i="50"/>
  <c r="O54" i="50"/>
  <c r="O55" i="50"/>
  <c r="O56" i="50"/>
  <c r="O57" i="50"/>
  <c r="O58" i="50"/>
  <c r="O59" i="50"/>
  <c r="O85" i="49"/>
  <c r="B87" i="50"/>
  <c r="O74" i="48"/>
  <c r="O78" i="48"/>
  <c r="O77" i="48"/>
  <c r="O76" i="48"/>
  <c r="O79" i="48"/>
  <c r="O75" i="48"/>
  <c r="O80" i="48"/>
  <c r="O81" i="48"/>
  <c r="O82" i="48"/>
  <c r="O83" i="48"/>
  <c r="O84" i="48"/>
  <c r="O85" i="48"/>
  <c r="O86" i="48"/>
  <c r="N49" i="49"/>
  <c r="N50" i="49"/>
  <c r="N51" i="49"/>
  <c r="N52" i="49"/>
  <c r="N53" i="49"/>
  <c r="N54" i="49"/>
  <c r="N55" i="49"/>
  <c r="N56" i="49"/>
  <c r="N57" i="49"/>
  <c r="N58" i="49"/>
  <c r="N91" i="49"/>
  <c r="Q73" i="49"/>
  <c r="Q70" i="49" s="1"/>
  <c r="P70" i="49"/>
  <c r="N49" i="48"/>
  <c r="N50" i="48"/>
  <c r="N51" i="48"/>
  <c r="N52" i="48"/>
  <c r="N53" i="48"/>
  <c r="N54" i="48"/>
  <c r="N55" i="48"/>
  <c r="N56" i="48"/>
  <c r="N57" i="48"/>
  <c r="N58" i="48"/>
  <c r="Q25" i="47"/>
  <c r="Q11" i="47"/>
  <c r="N66" i="50"/>
  <c r="M75" i="50"/>
  <c r="M74" i="50"/>
  <c r="M76" i="50"/>
  <c r="M77" i="50"/>
  <c r="M78" i="50"/>
  <c r="M79" i="50"/>
  <c r="M80" i="50"/>
  <c r="M81" i="50"/>
  <c r="M82" i="50"/>
  <c r="M83" i="50"/>
  <c r="M84" i="50"/>
  <c r="B61" i="49"/>
  <c r="N60" i="49"/>
  <c r="O86" i="49"/>
  <c r="Q86" i="49"/>
  <c r="P86" i="49"/>
  <c r="B87" i="49"/>
  <c r="N59" i="48"/>
  <c r="P48" i="49"/>
  <c r="O44" i="49"/>
  <c r="P9" i="47"/>
  <c r="P23" i="47"/>
  <c r="O44" i="48"/>
  <c r="P48" i="48"/>
  <c r="Q14" i="47"/>
  <c r="Q28" i="47"/>
  <c r="O73" i="50"/>
  <c r="N70" i="50"/>
  <c r="P39" i="47"/>
  <c r="O60" i="48"/>
  <c r="N60" i="48"/>
  <c r="B61" i="48"/>
  <c r="Q15" i="47"/>
  <c r="Q29" i="47"/>
  <c r="Q39" i="47" l="1"/>
  <c r="N74" i="50"/>
  <c r="N75" i="50"/>
  <c r="N76" i="50"/>
  <c r="N77" i="50"/>
  <c r="N78" i="50"/>
  <c r="N79" i="50"/>
  <c r="N80" i="50"/>
  <c r="N81" i="50"/>
  <c r="N82" i="50"/>
  <c r="N83" i="50"/>
  <c r="N84" i="50"/>
  <c r="N85" i="50"/>
  <c r="Q48" i="48"/>
  <c r="Q44" i="48" s="1"/>
  <c r="P44" i="48"/>
  <c r="O49" i="49"/>
  <c r="O50" i="49"/>
  <c r="O51" i="49"/>
  <c r="O52" i="49"/>
  <c r="O53" i="49"/>
  <c r="O54" i="49"/>
  <c r="O55" i="49"/>
  <c r="O56" i="49"/>
  <c r="O57" i="49"/>
  <c r="O58" i="49"/>
  <c r="O59" i="49"/>
  <c r="O61" i="49"/>
  <c r="Q61" i="49"/>
  <c r="B62" i="49"/>
  <c r="R28" i="47"/>
  <c r="R14" i="47"/>
  <c r="Q74" i="48"/>
  <c r="Q77" i="48"/>
  <c r="Q75" i="48"/>
  <c r="Q79" i="48"/>
  <c r="Q76" i="48"/>
  <c r="Q78" i="48"/>
  <c r="Q80" i="48"/>
  <c r="Q81" i="48"/>
  <c r="Q82" i="48"/>
  <c r="Q83" i="48"/>
  <c r="Q84" i="48"/>
  <c r="Q85" i="48"/>
  <c r="Q86" i="48"/>
  <c r="Q87" i="48"/>
  <c r="Q88" i="48"/>
  <c r="P49" i="50"/>
  <c r="P50" i="50"/>
  <c r="P51" i="50"/>
  <c r="P52" i="50"/>
  <c r="P53" i="50"/>
  <c r="P54" i="50"/>
  <c r="P55" i="50"/>
  <c r="P56" i="50"/>
  <c r="P57" i="50"/>
  <c r="P58" i="50"/>
  <c r="P59" i="50"/>
  <c r="P60" i="50"/>
  <c r="Q61" i="48"/>
  <c r="O61" i="48"/>
  <c r="B62" i="48"/>
  <c r="P61" i="48"/>
  <c r="Q42" i="47"/>
  <c r="P37" i="47"/>
  <c r="P87" i="49"/>
  <c r="B88" i="49"/>
  <c r="Q87" i="49"/>
  <c r="O60" i="49"/>
  <c r="R11" i="47"/>
  <c r="R25" i="47"/>
  <c r="N66" i="48"/>
  <c r="O44" i="47"/>
  <c r="Q62" i="50"/>
  <c r="B63" i="50"/>
  <c r="P62" i="50"/>
  <c r="O91" i="49"/>
  <c r="P38" i="47"/>
  <c r="Q49" i="50"/>
  <c r="Q51" i="50"/>
  <c r="Q50" i="50"/>
  <c r="Q52" i="50"/>
  <c r="Q53" i="50"/>
  <c r="Q54" i="50"/>
  <c r="Q55" i="50"/>
  <c r="Q56" i="50"/>
  <c r="Q57" i="50"/>
  <c r="Q58" i="50"/>
  <c r="Q59" i="50"/>
  <c r="Q60" i="50"/>
  <c r="P74" i="49"/>
  <c r="P76" i="49"/>
  <c r="P75" i="49"/>
  <c r="P77" i="49"/>
  <c r="P78" i="49"/>
  <c r="P79" i="49"/>
  <c r="P80" i="49"/>
  <c r="P81" i="49"/>
  <c r="P82" i="49"/>
  <c r="P83" i="49"/>
  <c r="P84" i="49"/>
  <c r="P85" i="49"/>
  <c r="N66" i="49"/>
  <c r="O66" i="50"/>
  <c r="P30" i="47"/>
  <c r="P16" i="47"/>
  <c r="R29" i="47"/>
  <c r="R15" i="47"/>
  <c r="Q43" i="47"/>
  <c r="P73" i="50"/>
  <c r="O70" i="50"/>
  <c r="O49" i="48"/>
  <c r="O50" i="48"/>
  <c r="O51" i="48"/>
  <c r="O52" i="48"/>
  <c r="O53" i="48"/>
  <c r="O54" i="48"/>
  <c r="O55" i="48"/>
  <c r="O56" i="48"/>
  <c r="O57" i="48"/>
  <c r="O58" i="48"/>
  <c r="O59" i="48"/>
  <c r="Q48" i="49"/>
  <c r="Q44" i="49" s="1"/>
  <c r="P44" i="49"/>
  <c r="M91" i="50"/>
  <c r="Q75" i="49"/>
  <c r="Q74" i="49"/>
  <c r="Q76" i="49"/>
  <c r="Q77" i="49"/>
  <c r="Q78" i="49"/>
  <c r="Q79" i="49"/>
  <c r="Q80" i="49"/>
  <c r="Q81" i="49"/>
  <c r="Q82" i="49"/>
  <c r="Q83" i="49"/>
  <c r="Q84" i="49"/>
  <c r="Q85" i="49"/>
  <c r="O91" i="48"/>
  <c r="B88" i="50"/>
  <c r="P75" i="48"/>
  <c r="P74" i="48"/>
  <c r="P76" i="48"/>
  <c r="P78" i="48"/>
  <c r="P79" i="48"/>
  <c r="P77" i="48"/>
  <c r="P80" i="48"/>
  <c r="P81" i="48"/>
  <c r="P82" i="48"/>
  <c r="P83" i="48"/>
  <c r="P84" i="48"/>
  <c r="P85" i="48"/>
  <c r="P86" i="48"/>
  <c r="P87" i="48"/>
  <c r="Q23" i="47"/>
  <c r="Q9" i="47"/>
  <c r="Q10" i="47"/>
  <c r="Q24" i="47"/>
  <c r="Q37" i="47" l="1"/>
  <c r="Q38" i="47"/>
  <c r="R43" i="47"/>
  <c r="R42" i="47"/>
  <c r="R39" i="47"/>
  <c r="S14" i="47"/>
  <c r="S28" i="47"/>
  <c r="B89" i="50"/>
  <c r="O66" i="48"/>
  <c r="S25" i="47"/>
  <c r="S11" i="47"/>
  <c r="P66" i="50"/>
  <c r="O66" i="49"/>
  <c r="P91" i="48"/>
  <c r="Q49" i="49"/>
  <c r="Q50" i="49"/>
  <c r="Q51" i="49"/>
  <c r="Q52" i="49"/>
  <c r="Q53" i="49"/>
  <c r="Q54" i="49"/>
  <c r="Q55" i="49"/>
  <c r="Q56" i="49"/>
  <c r="Q57" i="49"/>
  <c r="Q58" i="49"/>
  <c r="Q59" i="49"/>
  <c r="Q60" i="49"/>
  <c r="O74" i="50"/>
  <c r="O76" i="50"/>
  <c r="O75" i="50"/>
  <c r="O77" i="50"/>
  <c r="O78" i="50"/>
  <c r="O79" i="50"/>
  <c r="O80" i="50"/>
  <c r="O81" i="50"/>
  <c r="O82" i="50"/>
  <c r="O83" i="50"/>
  <c r="O84" i="50"/>
  <c r="O85" i="50"/>
  <c r="O86" i="50"/>
  <c r="R9" i="47"/>
  <c r="R23" i="47"/>
  <c r="P91" i="49"/>
  <c r="Q63" i="50"/>
  <c r="Q66" i="50" s="1"/>
  <c r="B64" i="50"/>
  <c r="B89" i="49"/>
  <c r="Q88" i="49"/>
  <c r="Q91" i="49" s="1"/>
  <c r="P49" i="48"/>
  <c r="P50" i="48"/>
  <c r="P51" i="48"/>
  <c r="P52" i="48"/>
  <c r="P53" i="48"/>
  <c r="P54" i="48"/>
  <c r="P55" i="48"/>
  <c r="P56" i="48"/>
  <c r="P57" i="48"/>
  <c r="P58" i="48"/>
  <c r="P59" i="48"/>
  <c r="P60" i="48"/>
  <c r="Q16" i="47"/>
  <c r="Q30" i="47"/>
  <c r="Q91" i="48"/>
  <c r="P62" i="49"/>
  <c r="Q62" i="49"/>
  <c r="B63" i="49"/>
  <c r="P49" i="49"/>
  <c r="P50" i="49"/>
  <c r="P51" i="49"/>
  <c r="P52" i="49"/>
  <c r="P53" i="49"/>
  <c r="P54" i="49"/>
  <c r="P55" i="49"/>
  <c r="P56" i="49"/>
  <c r="P57" i="49"/>
  <c r="P58" i="49"/>
  <c r="P59" i="49"/>
  <c r="P60" i="49"/>
  <c r="R24" i="47"/>
  <c r="R10" i="47"/>
  <c r="R38" i="47" s="1"/>
  <c r="S15" i="47"/>
  <c r="S29" i="47"/>
  <c r="P70" i="50"/>
  <c r="Q73" i="50"/>
  <c r="Q70" i="50" s="1"/>
  <c r="P44" i="47"/>
  <c r="B63" i="48"/>
  <c r="P62" i="48"/>
  <c r="Q62" i="48"/>
  <c r="P61" i="49"/>
  <c r="Q49" i="48"/>
  <c r="Q50" i="48"/>
  <c r="Q51" i="48"/>
  <c r="Q52" i="48"/>
  <c r="Q53" i="48"/>
  <c r="Q54" i="48"/>
  <c r="Q55" i="48"/>
  <c r="Q56" i="48"/>
  <c r="Q57" i="48"/>
  <c r="Q58" i="48"/>
  <c r="Q59" i="48"/>
  <c r="Q60" i="48"/>
  <c r="N91" i="50"/>
  <c r="U14" i="47" l="1"/>
  <c r="U28" i="47"/>
  <c r="Q75" i="50"/>
  <c r="Q74" i="50"/>
  <c r="Q76" i="50"/>
  <c r="Q77" i="50"/>
  <c r="Q78" i="50"/>
  <c r="Q79" i="50"/>
  <c r="Q80" i="50"/>
  <c r="Q81" i="50"/>
  <c r="Q82" i="50"/>
  <c r="Q83" i="50"/>
  <c r="Q84" i="50"/>
  <c r="Q85" i="50"/>
  <c r="Q86" i="50"/>
  <c r="Q87" i="50"/>
  <c r="U25" i="47"/>
  <c r="U11" i="47"/>
  <c r="O91" i="50"/>
  <c r="T11" i="47"/>
  <c r="T25" i="47"/>
  <c r="P74" i="50"/>
  <c r="P75" i="50"/>
  <c r="P76" i="50"/>
  <c r="P77" i="50"/>
  <c r="P78" i="50"/>
  <c r="P79" i="50"/>
  <c r="P80" i="50"/>
  <c r="P81" i="50"/>
  <c r="P82" i="50"/>
  <c r="P83" i="50"/>
  <c r="P84" i="50"/>
  <c r="P85" i="50"/>
  <c r="P86" i="50"/>
  <c r="P87" i="50"/>
  <c r="P66" i="49"/>
  <c r="U15" i="47"/>
  <c r="U29" i="47"/>
  <c r="T28" i="47"/>
  <c r="T14" i="47"/>
  <c r="S39" i="47"/>
  <c r="Q88" i="50"/>
  <c r="R16" i="47"/>
  <c r="R30" i="47"/>
  <c r="Q63" i="48"/>
  <c r="Q66" i="48" s="1"/>
  <c r="B64" i="48"/>
  <c r="B64" i="49"/>
  <c r="Q63" i="49"/>
  <c r="Q66" i="49" s="1"/>
  <c r="T29" i="47"/>
  <c r="T15" i="47"/>
  <c r="S43" i="47"/>
  <c r="Q44" i="47"/>
  <c r="P66" i="48"/>
  <c r="R37" i="47"/>
  <c r="S23" i="47"/>
  <c r="S9" i="47"/>
  <c r="S10" i="47"/>
  <c r="S24" i="47"/>
  <c r="S42" i="47"/>
  <c r="R44" i="47" l="1"/>
  <c r="T43" i="47"/>
  <c r="T39" i="47"/>
  <c r="U42" i="47"/>
  <c r="U10" i="47"/>
  <c r="U24" i="47"/>
  <c r="U23" i="47"/>
  <c r="U9" i="47"/>
  <c r="U37" i="47" s="1"/>
  <c r="S38" i="47"/>
  <c r="T10" i="47"/>
  <c r="T24" i="47"/>
  <c r="P91" i="50"/>
  <c r="S16" i="47"/>
  <c r="S30" i="47"/>
  <c r="S37" i="47"/>
  <c r="U43" i="47"/>
  <c r="U39" i="47"/>
  <c r="Q91" i="50"/>
  <c r="T42" i="47"/>
  <c r="T9" i="47"/>
  <c r="T23" i="47"/>
  <c r="S44" i="47" l="1"/>
  <c r="U38" i="47"/>
  <c r="T37" i="47"/>
  <c r="T30" i="47"/>
  <c r="T16" i="47"/>
  <c r="U16" i="47"/>
  <c r="U30" i="47"/>
  <c r="T38" i="47"/>
  <c r="T44" i="47" l="1"/>
  <c r="U44" i="47"/>
  <c r="D17" i="44"/>
  <c r="E17" i="44"/>
  <c r="D9" i="44"/>
  <c r="C9" i="44"/>
  <c r="B9" i="44"/>
  <c r="B17" i="44"/>
  <c r="K19" i="44" l="1"/>
  <c r="J19" i="44"/>
  <c r="I19" i="44"/>
  <c r="H19" i="44"/>
  <c r="G19" i="44"/>
  <c r="F19" i="44"/>
  <c r="E19" i="44"/>
  <c r="D19" i="44"/>
  <c r="C19" i="44"/>
  <c r="B19" i="44"/>
</calcChain>
</file>

<file path=xl/sharedStrings.xml><?xml version="1.0" encoding="utf-8"?>
<sst xmlns="http://schemas.openxmlformats.org/spreadsheetml/2006/main" count="527" uniqueCount="272">
  <si>
    <t>GWh</t>
  </si>
  <si>
    <t>Entity</t>
  </si>
  <si>
    <t>CEC</t>
  </si>
  <si>
    <t>Program Type</t>
  </si>
  <si>
    <t>MM Therms</t>
  </si>
  <si>
    <t>Fed/CEC</t>
  </si>
  <si>
    <t>State Financing</t>
  </si>
  <si>
    <t>Energy Asset Rating</t>
  </si>
  <si>
    <t>Codes &amp; Standards</t>
  </si>
  <si>
    <t>Title 24</t>
  </si>
  <si>
    <t>Title 20</t>
  </si>
  <si>
    <t>DGS EE Retrofit</t>
  </si>
  <si>
    <t>Program Bin</t>
  </si>
  <si>
    <t>Local</t>
  </si>
  <si>
    <t>State of CA</t>
  </si>
  <si>
    <t>CEC/CCC</t>
  </si>
  <si>
    <t>DGS</t>
  </si>
  <si>
    <t>Local Government Ordinances</t>
  </si>
  <si>
    <t>Local Government Challenge</t>
  </si>
  <si>
    <t>ECAA Financing</t>
  </si>
  <si>
    <t>PACE Financing</t>
  </si>
  <si>
    <t>DWR</t>
  </si>
  <si>
    <t>RES, NR</t>
  </si>
  <si>
    <t>RES</t>
  </si>
  <si>
    <t>NR</t>
  </si>
  <si>
    <t>Bldg Sector(s)</t>
  </si>
  <si>
    <t>Program:</t>
  </si>
  <si>
    <t>Building Type</t>
  </si>
  <si>
    <t>Measure Category</t>
  </si>
  <si>
    <t>Smart Meter Data Analytics</t>
  </si>
  <si>
    <t>GGRF: Water-Energy Grant</t>
  </si>
  <si>
    <t>Proposition 39</t>
  </si>
  <si>
    <t>Funding Data</t>
  </si>
  <si>
    <t>Single Family</t>
  </si>
  <si>
    <t>FOR LOOKUP PURPOSES</t>
  </si>
  <si>
    <t xml:space="preserve">Energy Unit </t>
  </si>
  <si>
    <t>ELECTRICITY - CUMULATIVE SAVINGS</t>
  </si>
  <si>
    <t>GAS - CUMULATIVE SAVINGS</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</si>
  <si>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</si>
  <si>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</si>
  <si>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</si>
  <si>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</si>
  <si>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</si>
  <si>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</si>
  <si>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</si>
  <si>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</si>
  <si>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</si>
  <si>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</si>
  <si>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</si>
  <si>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</si>
  <si>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</si>
  <si>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</si>
  <si>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</si>
  <si>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</si>
  <si>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</si>
  <si>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Program</t>
  </si>
  <si>
    <t>Program Category</t>
  </si>
  <si>
    <t>Program Name</t>
  </si>
  <si>
    <t>Annual kWh Savings</t>
  </si>
  <si>
    <t>Annual MT CO2 Savings</t>
  </si>
  <si>
    <t>mPOWER Placer</t>
  </si>
  <si>
    <t>mPOWER Folsom</t>
  </si>
  <si>
    <t>Berkeley FIRST</t>
  </si>
  <si>
    <t>Sonoma County Energy Independence Program</t>
  </si>
  <si>
    <t>CaliforniaFIRST</t>
  </si>
  <si>
    <t>WRCOG HERO Program</t>
  </si>
  <si>
    <t>SANBAG HERO Program</t>
  </si>
  <si>
    <t>California HERO Program</t>
  </si>
  <si>
    <t>AllianceNRG Program</t>
  </si>
  <si>
    <t>LA HERO Program</t>
  </si>
  <si>
    <t>CaliforniaFIRST in Los Angeles County</t>
  </si>
  <si>
    <t>Ygrene Works Program</t>
  </si>
  <si>
    <t>PACEfunding</t>
  </si>
  <si>
    <t>Annual Therm Savings</t>
  </si>
  <si>
    <t>kWh Self-Generation</t>
  </si>
  <si>
    <t xml:space="preserve">Source: </t>
  </si>
  <si>
    <t>http://treasurer.ca.gov/caeatfa/pace/activity.asp</t>
  </si>
  <si>
    <t>Number of Enrollment Applications</t>
  </si>
  <si>
    <t>Total Financing Amount</t>
  </si>
  <si>
    <t>http://pacenation.us/pace-market-data/</t>
  </si>
  <si>
    <t>Commercial</t>
  </si>
  <si>
    <t>Number of Projects</t>
  </si>
  <si>
    <t>% Mix/Water</t>
  </si>
  <si>
    <t>% Energy Efficiency</t>
  </si>
  <si>
    <t>% Renewable Energy</t>
  </si>
  <si>
    <t>Office</t>
  </si>
  <si>
    <t>Industrial</t>
  </si>
  <si>
    <t>Nonprofit</t>
  </si>
  <si>
    <t>Services</t>
  </si>
  <si>
    <t>Multifamily</t>
  </si>
  <si>
    <t>Hospitality</t>
  </si>
  <si>
    <t>Mixed Use</t>
  </si>
  <si>
    <t>Agriculture</t>
  </si>
  <si>
    <t>Reported End-of-Year</t>
  </si>
  <si>
    <t>Projected End-of-Year</t>
  </si>
  <si>
    <t>TOTAL</t>
  </si>
  <si>
    <t>Annual Funding $M</t>
  </si>
  <si>
    <t>Via Trend Function</t>
  </si>
  <si>
    <t>Estimated Annual Environmental Savings (through June 30, 2016)</t>
  </si>
  <si>
    <t>Year</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</si>
  <si>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</si>
  <si>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</si>
  <si>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</si>
  <si>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</si>
  <si>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</si>
  <si>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</si>
  <si>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</si>
  <si>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</si>
  <si>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</si>
  <si>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</si>
  <si>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</si>
  <si>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</si>
  <si>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</si>
  <si>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</si>
  <si>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Reference</t>
  </si>
  <si>
    <t xml:space="preserve">This tab shows the "reference" case of the analysis which assumes business-as-usual trends. </t>
  </si>
  <si>
    <t>Conservative</t>
  </si>
  <si>
    <t xml:space="preserve">This tab shows the "conservative" case of the analysis built upon the "reference" case. </t>
  </si>
  <si>
    <t xml:space="preserve">This tab shows the "aggressive" case of the analysis built upon the "reference" case. </t>
  </si>
  <si>
    <t>Graph (electricity)</t>
  </si>
  <si>
    <t xml:space="preserve">This graph shows the SB 350 electricity savings potential by scenario, for both residential and nonresidential sectors. </t>
  </si>
  <si>
    <t>Graph (gas)</t>
  </si>
  <si>
    <t xml:space="preserve">This graph shows the SB 350 natural gas savings potential by scenario, for both residential and nonresidential sectors. </t>
  </si>
  <si>
    <t>Acronym Definition</t>
  </si>
  <si>
    <t>Definition</t>
  </si>
  <si>
    <t xml:space="preserve">Gigawatt hours </t>
  </si>
  <si>
    <t>Million therms</t>
  </si>
  <si>
    <t>SB 350</t>
  </si>
  <si>
    <t>Senate Bill 350</t>
  </si>
  <si>
    <t>AAEE</t>
  </si>
  <si>
    <t>Additional Achievable Energy Efficiency is defined as energy savings not yet considered committed but deemed likely to occur, including future updates of building codes, appliance regulations, and utility efficiency programs</t>
  </si>
  <si>
    <t>Single family and multi-family buildings</t>
  </si>
  <si>
    <t>Non-residential</t>
  </si>
  <si>
    <t>Program Information</t>
  </si>
  <si>
    <t>GGRF: Low Income Weatherization</t>
  </si>
  <si>
    <t>Category</t>
  </si>
  <si>
    <t>Total</t>
  </si>
  <si>
    <t>Data Sources</t>
  </si>
  <si>
    <t>Savings Allocation by Sector</t>
  </si>
  <si>
    <t>Savings Overlap Assumptions</t>
  </si>
  <si>
    <t>Utility Savings Overlap</t>
  </si>
  <si>
    <t>4% assuming the same overlap percentage as Proposition 39</t>
  </si>
  <si>
    <t>Demand Forecast Overlap</t>
  </si>
  <si>
    <t>Negligible</t>
  </si>
  <si>
    <t>AAEE Overlap</t>
  </si>
  <si>
    <t>Scenario Assumptions</t>
  </si>
  <si>
    <t>Reference Case</t>
  </si>
  <si>
    <t>Conservative Case</t>
  </si>
  <si>
    <t>Aggressive Case</t>
  </si>
  <si>
    <t>Scenario:</t>
  </si>
  <si>
    <t>All</t>
  </si>
  <si>
    <t>Scenario</t>
  </si>
  <si>
    <t>Cumulative Energy Savings Potential - Electricity</t>
  </si>
  <si>
    <t>Aggressive</t>
  </si>
  <si>
    <t>Cumulative Energy Savings Potential - Gas</t>
  </si>
  <si>
    <t xml:space="preserve">Residential </t>
  </si>
  <si>
    <t>Combined</t>
  </si>
  <si>
    <t>Manually Entered Value</t>
  </si>
  <si>
    <t>Assumption:</t>
  </si>
  <si>
    <t>Automatic Calculation</t>
  </si>
  <si>
    <t>Decay-adjusted Values</t>
  </si>
  <si>
    <t>Assumption</t>
  </si>
  <si>
    <t>First-Year EE Savings minus Utility Overlap</t>
  </si>
  <si>
    <t>Assume Prop 39 overlap</t>
  </si>
  <si>
    <t>Decay inputs:</t>
  </si>
  <si>
    <t>Weighting</t>
  </si>
  <si>
    <t>EUL</t>
  </si>
  <si>
    <t>HVAC Equipment</t>
  </si>
  <si>
    <t>Note: These weightings are from Prop 39 data.  Feel free to change them if you have program-specific data to support the change.  We can also update the categories and EULs as necessary but we should make that decision as a team, not at the individual program level.  Assumption for decay is that savings decay by 50% after each EUL period (50% decay after 1 EUL period. 75% after 2, 87.5% after 3, etc.).  Decay maxes out at 93.75% after 4 EUL periods.</t>
  </si>
  <si>
    <t>HVAC Control Equipment</t>
  </si>
  <si>
    <t>HVAC Control Operations</t>
  </si>
  <si>
    <t>Lighting Equipment</t>
  </si>
  <si>
    <t>Lighting Control</t>
  </si>
  <si>
    <t>Other</t>
  </si>
  <si>
    <t>Incremental savings by Year:</t>
  </si>
  <si>
    <t>Electricity (GWh)</t>
  </si>
  <si>
    <t>Cumulative</t>
  </si>
  <si>
    <t>Gas (MM Therms)</t>
  </si>
  <si>
    <t>Cumulative Savings (MM Therms)</t>
  </si>
  <si>
    <t>First-Year Savings minus Utility Overlap</t>
  </si>
  <si>
    <t>Federal Appliance Standards</t>
  </si>
  <si>
    <t>Air Quality Management Districts</t>
  </si>
  <si>
    <t>Benchmarking and Public Disclosure</t>
  </si>
  <si>
    <t>Benchmarking &amp; Market Transformation</t>
  </si>
  <si>
    <t>Behavorial, Retrocommissioning, Operational Savings</t>
  </si>
  <si>
    <t>Fuel Substitution</t>
  </si>
  <si>
    <t>Appendix A12 - PACE Financing</t>
  </si>
  <si>
    <t>Property Assessed Clean Energy (PACE) Financing</t>
  </si>
  <si>
    <t>Provider</t>
  </si>
  <si>
    <t>Clean Energy CV Upgrade</t>
  </si>
  <si>
    <t>Clean Energy Sacramento</t>
  </si>
  <si>
    <t>Clean Energy Yolo</t>
  </si>
  <si>
    <t>Figtree PACE Financing</t>
  </si>
  <si>
    <t>HERO</t>
  </si>
  <si>
    <t>mPower</t>
  </si>
  <si>
    <t>PACEFunding</t>
  </si>
  <si>
    <t>Sonoma County Energy Independence Program (SCEIP)</t>
  </si>
  <si>
    <t>YgreneWorks</t>
  </si>
  <si>
    <t>RES PACE PROVIDERS in CSE's Database (8/29/17)</t>
  </si>
  <si>
    <t>RES PACE PROVIDERS enrolled in PACE Loss Reserve Program</t>
  </si>
  <si>
    <t>CAEATFA PACE Reserve Program</t>
  </si>
  <si>
    <t>Placer County</t>
  </si>
  <si>
    <t>City of Folsom</t>
  </si>
  <si>
    <t>Berkeley Financing Initiative for Renewable and Solar Technology (FIRST)</t>
  </si>
  <si>
    <t>City of Berkeley</t>
  </si>
  <si>
    <t>Sonoma County</t>
  </si>
  <si>
    <t>State of California</t>
  </si>
  <si>
    <t>Western Riverside Council of Governments (WRCOG) Home Energy Renovation Opportunity (HERO) Program</t>
  </si>
  <si>
    <t>Western Riverside County</t>
  </si>
  <si>
    <t>San Bernardino Associated Governments (SANBAG) HERO Program</t>
  </si>
  <si>
    <t>San Bernardino County</t>
  </si>
  <si>
    <t>Los Angeles County</t>
  </si>
  <si>
    <t>California Municipal Finance Authority (CMFA) PACE</t>
  </si>
  <si>
    <t>CSCDA HERO Program</t>
  </si>
  <si>
    <t>Figtree PACE Program</t>
  </si>
  <si>
    <t>Spruce PACE</t>
  </si>
  <si>
    <t>Region</t>
  </si>
  <si>
    <t>Enrollment Date</t>
  </si>
  <si>
    <t>Match CSE?</t>
  </si>
  <si>
    <t>Yes</t>
  </si>
  <si>
    <t>No</t>
  </si>
  <si>
    <t>Percent</t>
  </si>
  <si>
    <t>CSE Equivalent Name</t>
  </si>
  <si>
    <t>CSE # of Juridictions</t>
  </si>
  <si>
    <t>Percent of Total</t>
  </si>
  <si>
    <t>Total # of Jurisdictions</t>
  </si>
  <si>
    <t>Reported to CAEATFA</t>
  </si>
  <si>
    <t>Percent of Reported</t>
  </si>
  <si>
    <t>Percent of Total Providers</t>
  </si>
  <si>
    <t>Gas (MMTh)</t>
  </si>
  <si>
    <t xml:space="preserve">PACENation Data from </t>
  </si>
  <si>
    <t>Residential Projected Savings - ALL RESIDENTIAL</t>
  </si>
  <si>
    <t>Assume Constant Savings</t>
  </si>
  <si>
    <t xml:space="preserve">  </t>
  </si>
  <si>
    <t>California Only</t>
  </si>
  <si>
    <t>Nationwide</t>
  </si>
  <si>
    <t>Total Financing</t>
  </si>
  <si>
    <t>Percent of National Total</t>
  </si>
  <si>
    <t>Nonresidential Projected Savings*</t>
  </si>
  <si>
    <t>*Extracted savings for California only and EE only.</t>
  </si>
  <si>
    <t>Residential Projected Savings* - CAEATFA ONLY</t>
  </si>
  <si>
    <t xml:space="preserve">**Note: Extrapolated savings for all residential buildings using the CAEATFA data and the ratio between the number of PACE jurisdictions who reported savings to CAEATFA to the number of all PACE jurisdictions. </t>
  </si>
  <si>
    <t>Residential Projected Savings** - ALL RESIDENTIAL</t>
  </si>
  <si>
    <t xml:space="preserve">*Note: Assume that PACE providers enrolled in CAEATFA reported savings for the entire portfolio of local jurisdictions that they serve. </t>
  </si>
  <si>
    <t>Assume Trended Savings (beginning 2018)</t>
  </si>
  <si>
    <t>Trend Increase</t>
  </si>
  <si>
    <t>% Annual Increase</t>
  </si>
  <si>
    <t>Residential First-Year Savings</t>
  </si>
  <si>
    <t>Nonresidential First-Year Savings</t>
  </si>
  <si>
    <t>Assume constant annual savings projections based on nonresidential savings extrapolated from CAEATFA reported savings and PACENation market data. No overlap, full savings potential</t>
  </si>
  <si>
    <t>Assume constant annual savings projections based on residential savings extrapolated from CAEATFA reported savings. No overlap, full savings potential</t>
  </si>
  <si>
    <t>Assume trended annual savings projections based on nonresidential savings extrapolated from CAEATFA reported savings and PACENation market data. No overlap, full savings potential</t>
  </si>
  <si>
    <t>Assume trended annual savings projections based on residential savings extrapolated from CAEATFA reported savings. No overlap, full savings potential</t>
  </si>
  <si>
    <t>Assumed less than "reference" case to be conservative about using the CAEATFA and PACENation raw data.</t>
  </si>
  <si>
    <t>Projected Funding Trends</t>
  </si>
  <si>
    <t>Refer to the RES PACE Data tab.</t>
  </si>
  <si>
    <t>Nonresidential</t>
  </si>
  <si>
    <t>Refer to the NR PACE Data tab.</t>
  </si>
  <si>
    <t>California State Treasurer PACE Loss Reserve Program</t>
  </si>
  <si>
    <t>PACENation Market Data</t>
  </si>
  <si>
    <t>PACE districts searchable database</t>
  </si>
  <si>
    <t>CAEATFA Data</t>
  </si>
  <si>
    <t>PACENation Data</t>
  </si>
  <si>
    <t>PACE Providers List</t>
  </si>
  <si>
    <t>PACE Providers Stats</t>
  </si>
  <si>
    <t>Center for Sustainable Energy database</t>
  </si>
  <si>
    <t>Assumed that the combined residential and nonresidential savings, which were extrapolated from 2016 data, will continue at a constant trajectory to achieve the same level of annual savings through 2029.</t>
  </si>
  <si>
    <t xml:space="preserve">Assumed that the combined residential and nonresidential savings, which resulted from data extrapolation as described above, will result in 50% less savings if the project data were available for a formal verification process. This assumption factored the uncertainly in data reported by PACE providers, when they are not bounded to supply detailed project data. </t>
  </si>
  <si>
    <t xml:space="preserve">Assumed that the combined residential and nonresidential savings, which were extrapolated from 2016 data, will experience an exponential growth to reflect the corresponding growth in PACE financing data as reported by PACENation. As a result of this assumption, the annual savings increased exponentially beginning 2018 through 2029, assuming that 2017 followed the same funding level as 2016.  </t>
  </si>
  <si>
    <t>PACE</t>
  </si>
  <si>
    <t>Property Assessed Clean Energy</t>
  </si>
  <si>
    <t xml:space="preserve">Commercial buildings, excluding industrial and agriculture.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</si>
</sst>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F800]dddd\,\ mmmm\ dd\,\ yyyy"/>
    <numFmt numFmtId="167" formatCode="_(* #,##0.0_);_(* \(#,##0.0\);_(* &quot;-&quot;??_);_(@_)"/>
    <numFmt numFmtId="168" formatCode="0.000"/>
    <numFmt numFmtId="169" formatCode="0.0%"/>
  </numFmts>
  <fonts count="29" x14ac:knownFonts="1">
    <font>
      <sz val="11"/>
      <color theme="1"/>
      <name val="Calibri"/>
      <family val="2"/>
      <scheme val="minor"/>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4"/>
      <color theme="1"/>
      <name val="Calibri"/>
      <family val="2"/>
      <scheme val="minor"/>
    </font>
    <font>
      <sz val="11"/>
      <color rgb="FFFF0000"/>
      <name val="Calibri"/>
      <family val="2"/>
      <scheme val="minor"/>
    </font>
    <font>
      <sz val="14"/>
      <color theme="1"/>
      <name val="Calibri"/>
      <family val="2"/>
      <scheme val="minor"/>
    </font>
    <font>
      <b/>
      <sz val="11"/>
      <color rgb="FF0070C0"/>
      <name val="Calibri"/>
      <family val="2"/>
      <scheme val="minor"/>
    </font>
    <font>
      <b/>
      <sz val="14"/>
      <color rgb="FF0070C0"/>
      <name val="Calibri"/>
      <family val="2"/>
      <scheme val="minor"/>
    </font>
    <font>
      <sz val="10"/>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sz val="10"/>
      <color theme="0" tint="-0.499984740745262"/>
      <name val="Calibri"/>
      <family val="2"/>
      <scheme val="minor"/>
    </font>
    <font>
      <sz val="12"/>
      <color theme="1"/>
      <name val="Calibri"/>
      <family val="2"/>
      <scheme val="minor"/>
    </font>
    <font>
      <u/>
      <sz val="11"/>
      <color theme="10"/>
      <name val="Calibri"/>
      <family val="2"/>
      <scheme val="minor"/>
    </font>
    <font>
      <b/>
      <sz val="11"/>
      <color theme="1"/>
      <name val="Arial"/>
      <family val="2"/>
    </font>
    <font>
      <sz val="18"/>
      <color theme="1"/>
      <name val="Arial"/>
      <family val="2"/>
    </font>
    <font>
      <b/>
      <sz val="14"/>
      <color theme="1"/>
      <name val="Arial"/>
      <family val="2"/>
    </font>
    <font>
      <b/>
      <i/>
      <sz val="18"/>
      <color theme="1"/>
      <name val="Calibri"/>
      <family val="2"/>
      <scheme val="minor"/>
    </font>
    <font>
      <sz val="11"/>
      <name val="Calibri"/>
      <family val="2"/>
      <scheme val="minor"/>
    </font>
    <font>
      <u/>
      <sz val="9"/>
      <color theme="10"/>
      <name val="Calibri"/>
      <family val="2"/>
      <scheme val="minor"/>
    </font>
    <font>
      <b/>
      <sz val="11"/>
      <color rgb="FF000000"/>
      <name val="Calibri"/>
      <family val="2"/>
    </font>
    <font>
      <sz val="11"/>
      <color rgb="FF000000"/>
      <name val="Calibri"/>
      <family val="2"/>
    </font>
  </fonts>
  <fills count="1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7">
    <xf numFmtId="0" fontId="0" fillId="0" borderId="0"/>
    <xf numFmtId="43" fontId="10" fillId="0" borderId="0" applyFont="0" applyFill="0" applyBorder="0" applyAlignment="0" applyProtection="0">
      <alignment wrapText="1"/>
    </xf>
    <xf numFmtId="44" fontId="10" fillId="0" borderId="0" applyFont="0" applyFill="0" applyBorder="0" applyAlignment="0" applyProtection="0">
      <alignment wrapText="1"/>
    </xf>
    <xf numFmtId="43" fontId="10" fillId="0" borderId="0" applyFont="0" applyFill="0" applyBorder="0" applyAlignment="0" applyProtection="0">
      <alignment wrapText="1"/>
    </xf>
    <xf numFmtId="0" fontId="10" fillId="0" borderId="0">
      <alignment wrapText="1"/>
    </xf>
    <xf numFmtId="9" fontId="4" fillId="0" borderId="0" applyFont="0" applyFill="0" applyBorder="0" applyAlignment="0" applyProtection="0"/>
    <xf numFmtId="43" fontId="4" fillId="0" borderId="0" applyFont="0" applyFill="0" applyBorder="0" applyAlignment="0" applyProtection="0"/>
    <xf numFmtId="0" fontId="20" fillId="0" borderId="0" applyNumberForma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26" fillId="0" borderId="0" applyNumberFormat="0" applyFill="0" applyBorder="0" applyAlignment="0" applyProtection="0"/>
    <xf numFmtId="0" fontId="10" fillId="0" borderId="0"/>
    <xf numFmtId="0" fontId="10" fillId="0" borderId="0"/>
    <xf numFmtId="0" fontId="4" fillId="0" borderId="0"/>
    <xf numFmtId="0" fontId="4" fillId="0" borderId="0"/>
    <xf numFmtId="9" fontId="10" fillId="0" borderId="0" applyFont="0" applyFill="0" applyBorder="0" applyAlignment="0" applyProtection="0"/>
    <xf numFmtId="9" fontId="10" fillId="0" borderId="0" applyFont="0" applyFill="0" applyBorder="0" applyAlignment="0" applyProtection="0"/>
  </cellStyleXfs>
  <cellXfs count="193">
    <xf numFmtId="0" fontId="0" fillId="0" borderId="0" xfId="0"/>
    <xf numFmtId="0" fontId="2" fillId="0" borderId="0" xfId="0" applyFont="1"/>
    <xf numFmtId="0" fontId="0" fillId="0" borderId="0" xfId="0" applyFont="1"/>
    <xf numFmtId="0" fontId="0" fillId="0" borderId="0" xfId="0" applyBorder="1"/>
    <xf numFmtId="0" fontId="5" fillId="0" borderId="0" xfId="0" applyFont="1"/>
    <xf numFmtId="0" fontId="3" fillId="0" borderId="0" xfId="0" applyFont="1" applyAlignment="1">
      <alignment horizontal="left"/>
    </xf>
    <xf numFmtId="0" fontId="6" fillId="0" borderId="0" xfId="0" applyFont="1"/>
    <xf numFmtId="0" fontId="0" fillId="0" borderId="0" xfId="0" applyFont="1" applyFill="1" applyBorder="1"/>
    <xf numFmtId="0" fontId="7" fillId="0" borderId="0" xfId="0" applyFont="1"/>
    <xf numFmtId="0" fontId="2" fillId="0" borderId="0" xfId="0" applyFont="1" applyAlignment="1"/>
    <xf numFmtId="1" fontId="0" fillId="0" borderId="0" xfId="0" applyNumberFormat="1" applyFont="1" applyFill="1" applyBorder="1"/>
    <xf numFmtId="0" fontId="2" fillId="0" borderId="2" xfId="0" applyFont="1" applyBorder="1" applyAlignment="1">
      <alignment horizontal="left"/>
    </xf>
    <xf numFmtId="0" fontId="0" fillId="0" borderId="0" xfId="0" applyFont="1" applyBorder="1"/>
    <xf numFmtId="0" fontId="16" fillId="0" borderId="2" xfId="0" applyFont="1" applyBorder="1" applyAlignment="1">
      <alignment horizontal="left"/>
    </xf>
    <xf numFmtId="0" fontId="17" fillId="0" borderId="0" xfId="0" applyFont="1" applyAlignment="1">
      <alignment horizontal="left"/>
    </xf>
    <xf numFmtId="0" fontId="18" fillId="0" borderId="0" xfId="0" applyFont="1" applyBorder="1"/>
    <xf numFmtId="0" fontId="0" fillId="0" borderId="6" xfId="0" applyBorder="1"/>
    <xf numFmtId="0" fontId="0" fillId="0" borderId="7" xfId="0" applyBorder="1"/>
    <xf numFmtId="0" fontId="2" fillId="0" borderId="0" xfId="0" applyFont="1" applyBorder="1"/>
    <xf numFmtId="0" fontId="0" fillId="0" borderId="9" xfId="0" applyBorder="1"/>
    <xf numFmtId="0" fontId="0" fillId="0" borderId="8" xfId="0" applyBorder="1"/>
    <xf numFmtId="0" fontId="5" fillId="0" borderId="0" xfId="0" applyFont="1" applyBorder="1"/>
    <xf numFmtId="0" fontId="5" fillId="0" borderId="0" xfId="0" applyFont="1" applyFill="1" applyBorder="1"/>
    <xf numFmtId="0" fontId="7" fillId="0" borderId="0" xfId="0" applyFont="1" applyBorder="1"/>
    <xf numFmtId="0" fontId="7" fillId="0" borderId="9" xfId="0" applyFont="1" applyBorder="1"/>
    <xf numFmtId="0" fontId="8" fillId="0" borderId="0" xfId="0" applyFont="1" applyFill="1" applyBorder="1"/>
    <xf numFmtId="0" fontId="0" fillId="0" borderId="10" xfId="0" applyBorder="1"/>
    <xf numFmtId="0" fontId="0" fillId="0" borderId="11" xfId="0" applyBorder="1"/>
    <xf numFmtId="0" fontId="0" fillId="0" borderId="12" xfId="0" applyBorder="1"/>
    <xf numFmtId="0" fontId="8" fillId="0" borderId="0" xfId="0" applyFont="1" applyBorder="1"/>
    <xf numFmtId="0" fontId="0" fillId="0" borderId="8" xfId="0" applyFont="1" applyBorder="1"/>
    <xf numFmtId="0" fontId="13" fillId="0" borderId="0" xfId="0" applyFont="1" applyFill="1" applyBorder="1" applyAlignment="1">
      <alignment horizontal="center"/>
    </xf>
    <xf numFmtId="164" fontId="13" fillId="0" borderId="0" xfId="0" applyNumberFormat="1" applyFont="1" applyFill="1" applyBorder="1"/>
    <xf numFmtId="0" fontId="9" fillId="0" borderId="5" xfId="0" applyFont="1" applyBorder="1"/>
    <xf numFmtId="0" fontId="19" fillId="0" borderId="0" xfId="0" applyFont="1" applyFill="1" applyBorder="1" applyAlignment="1">
      <alignment horizontal="left" vertical="top"/>
    </xf>
    <xf numFmtId="0" fontId="14" fillId="0" borderId="0" xfId="0" applyFont="1" applyBorder="1" applyAlignment="1">
      <alignment horizontal="right"/>
    </xf>
    <xf numFmtId="9" fontId="0" fillId="0" borderId="0" xfId="5" applyFont="1"/>
    <xf numFmtId="0" fontId="12" fillId="0" borderId="0" xfId="0" applyFont="1"/>
    <xf numFmtId="0" fontId="11" fillId="0" borderId="0" xfId="0" applyFont="1"/>
    <xf numFmtId="0" fontId="11" fillId="0" borderId="0" xfId="0" applyFont="1" applyFill="1" applyBorder="1" applyAlignment="1">
      <alignment horizontal="left"/>
    </xf>
    <xf numFmtId="0" fontId="11" fillId="0" borderId="0" xfId="0" applyFont="1" applyBorder="1"/>
    <xf numFmtId="0" fontId="0" fillId="0" borderId="1" xfId="0" applyBorder="1"/>
    <xf numFmtId="3" fontId="0" fillId="0" borderId="1" xfId="0" applyNumberFormat="1" applyBorder="1"/>
    <xf numFmtId="0" fontId="2" fillId="0" borderId="1" xfId="0" applyFont="1" applyBorder="1" applyAlignment="1">
      <alignment horizontal="center" vertical="center" wrapText="1"/>
    </xf>
    <xf numFmtId="0" fontId="20" fillId="0" borderId="0" xfId="7"/>
    <xf numFmtId="0" fontId="0" fillId="0" borderId="16" xfId="0" applyBorder="1"/>
    <xf numFmtId="3" fontId="0" fillId="0" borderId="16" xfId="0" applyNumberFormat="1" applyBorder="1"/>
    <xf numFmtId="3" fontId="0" fillId="0" borderId="1" xfId="0" applyNumberFormat="1" applyFill="1" applyBorder="1"/>
    <xf numFmtId="8" fontId="0" fillId="0" borderId="1" xfId="0" applyNumberFormat="1" applyBorder="1"/>
    <xf numFmtId="165" fontId="0" fillId="0" borderId="1" xfId="0" applyNumberFormat="1" applyBorder="1"/>
    <xf numFmtId="9" fontId="0" fillId="0" borderId="1" xfId="0" applyNumberFormat="1" applyBorder="1"/>
    <xf numFmtId="9" fontId="0" fillId="0" borderId="1" xfId="5" applyFont="1" applyBorder="1"/>
    <xf numFmtId="9" fontId="0" fillId="0" borderId="1" xfId="5" applyFont="1" applyFill="1" applyBorder="1"/>
    <xf numFmtId="0" fontId="0" fillId="0" borderId="1" xfId="0" applyFont="1" applyBorder="1" applyAlignment="1">
      <alignment horizontal="right" vertical="center" wrapText="1"/>
    </xf>
    <xf numFmtId="0" fontId="0" fillId="0" borderId="1" xfId="0" applyFont="1" applyFill="1" applyBorder="1" applyAlignment="1">
      <alignment horizontal="right" vertical="center" wrapText="1"/>
    </xf>
    <xf numFmtId="0" fontId="2" fillId="0" borderId="17" xfId="0" applyFont="1" applyFill="1" applyBorder="1"/>
    <xf numFmtId="3" fontId="0" fillId="0" borderId="2" xfId="0" applyNumberFormat="1" applyBorder="1"/>
    <xf numFmtId="165" fontId="0" fillId="0" borderId="2" xfId="0" applyNumberFormat="1" applyBorder="1"/>
    <xf numFmtId="0" fontId="2"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22" fillId="5" borderId="0" xfId="0" applyFont="1" applyFill="1" applyAlignment="1">
      <alignment horizontal="left"/>
    </xf>
    <xf numFmtId="0" fontId="1" fillId="5" borderId="0" xfId="0" applyFont="1" applyFill="1"/>
    <xf numFmtId="0" fontId="0" fillId="5" borderId="0" xfId="0" applyFont="1" applyFill="1"/>
    <xf numFmtId="0" fontId="23" fillId="5" borderId="0" xfId="0" applyFont="1" applyFill="1" applyAlignment="1">
      <alignment horizontal="left"/>
    </xf>
    <xf numFmtId="166" fontId="1" fillId="5" borderId="0" xfId="0" applyNumberFormat="1" applyFont="1" applyFill="1" applyAlignment="1">
      <alignment horizontal="left"/>
    </xf>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Border="1" applyAlignment="1">
      <alignment vertical="center" wrapText="1"/>
    </xf>
    <xf numFmtId="0" fontId="1" fillId="0" borderId="0" xfId="0" applyFont="1" applyBorder="1" applyAlignment="1">
      <alignment wrapText="1"/>
    </xf>
    <xf numFmtId="0" fontId="0" fillId="0" borderId="1" xfId="0" applyFont="1" applyBorder="1" applyAlignment="1">
      <alignment vertical="center" wrapText="1"/>
    </xf>
    <xf numFmtId="0" fontId="0" fillId="0" borderId="1" xfId="0" applyFont="1" applyBorder="1" applyAlignment="1">
      <alignment wrapText="1"/>
    </xf>
    <xf numFmtId="0" fontId="0" fillId="5" borderId="0" xfId="0" applyFont="1" applyFill="1" applyBorder="1"/>
    <xf numFmtId="0" fontId="0" fillId="5" borderId="1" xfId="0" applyFont="1" applyFill="1" applyBorder="1" applyAlignment="1">
      <alignment horizontal="left" vertical="center" wrapText="1"/>
    </xf>
    <xf numFmtId="165" fontId="0" fillId="5" borderId="1" xfId="0" applyNumberFormat="1" applyFont="1" applyFill="1" applyBorder="1" applyAlignment="1">
      <alignment horizontal="left" vertical="center" wrapText="1"/>
    </xf>
    <xf numFmtId="0" fontId="0" fillId="5" borderId="1" xfId="0" applyFont="1" applyFill="1" applyBorder="1" applyAlignment="1">
      <alignment horizontal="left" wrapText="1"/>
    </xf>
    <xf numFmtId="9" fontId="0" fillId="5" borderId="1" xfId="0" applyNumberFormat="1" applyFont="1" applyFill="1" applyBorder="1" applyAlignment="1">
      <alignment horizontal="left" wrapText="1"/>
    </xf>
    <xf numFmtId="0" fontId="0" fillId="5" borderId="1" xfId="0" applyFont="1" applyFill="1" applyBorder="1" applyAlignment="1">
      <alignment vertical="center" wrapText="1"/>
    </xf>
    <xf numFmtId="0" fontId="0" fillId="5" borderId="0" xfId="0" applyFont="1" applyFill="1" applyBorder="1" applyAlignment="1">
      <alignment vertical="center" wrapText="1"/>
    </xf>
    <xf numFmtId="0" fontId="0" fillId="5" borderId="0" xfId="0" applyFont="1" applyFill="1" applyBorder="1" applyAlignment="1">
      <alignment horizontal="left" wrapText="1"/>
    </xf>
    <xf numFmtId="0" fontId="15" fillId="0" borderId="0" xfId="0" applyFont="1" applyFill="1" applyBorder="1" applyAlignment="1">
      <alignment horizontal="left"/>
    </xf>
    <xf numFmtId="0" fontId="5" fillId="3" borderId="3" xfId="0" applyFont="1" applyFill="1" applyBorder="1"/>
    <xf numFmtId="0" fontId="5" fillId="3" borderId="15" xfId="0" applyFont="1" applyFill="1" applyBorder="1"/>
    <xf numFmtId="0" fontId="5" fillId="3" borderId="15" xfId="0" applyFont="1" applyFill="1" applyBorder="1" applyAlignment="1">
      <alignment horizontal="center"/>
    </xf>
    <xf numFmtId="0" fontId="5" fillId="3" borderId="4" xfId="0" applyFont="1" applyFill="1" applyBorder="1"/>
    <xf numFmtId="167" fontId="5" fillId="0" borderId="5" xfId="6" applyNumberFormat="1" applyFont="1" applyFill="1" applyBorder="1"/>
    <xf numFmtId="167" fontId="5" fillId="0" borderId="6" xfId="6" applyNumberFormat="1" applyFont="1" applyFill="1" applyBorder="1"/>
    <xf numFmtId="167" fontId="0" fillId="0" borderId="8" xfId="6" applyNumberFormat="1" applyFont="1" applyFill="1" applyBorder="1"/>
    <xf numFmtId="167" fontId="0" fillId="0" borderId="0" xfId="6" applyNumberFormat="1" applyFont="1" applyFill="1" applyBorder="1"/>
    <xf numFmtId="167" fontId="0" fillId="0" borderId="0" xfId="6" applyNumberFormat="1" applyFont="1" applyFill="1" applyBorder="1" applyAlignment="1">
      <alignment horizontal="center"/>
    </xf>
    <xf numFmtId="167" fontId="0" fillId="0" borderId="9" xfId="6" applyNumberFormat="1" applyFont="1" applyFill="1" applyBorder="1"/>
    <xf numFmtId="167" fontId="5" fillId="0" borderId="8" xfId="6" applyNumberFormat="1" applyFont="1" applyFill="1" applyBorder="1"/>
    <xf numFmtId="167" fontId="5" fillId="0" borderId="0" xfId="6" applyNumberFormat="1" applyFont="1" applyFill="1" applyBorder="1"/>
    <xf numFmtId="167" fontId="5" fillId="0" borderId="0" xfId="6" applyNumberFormat="1" applyFont="1" applyFill="1" applyBorder="1" applyAlignment="1">
      <alignment horizontal="center"/>
    </xf>
    <xf numFmtId="167" fontId="4" fillId="0" borderId="8" xfId="6" applyNumberFormat="1" applyFont="1" applyFill="1" applyBorder="1"/>
    <xf numFmtId="167" fontId="4" fillId="0" borderId="10" xfId="6" applyNumberFormat="1" applyFont="1" applyFill="1" applyBorder="1"/>
    <xf numFmtId="167" fontId="0" fillId="0" borderId="11" xfId="6" applyNumberFormat="1" applyFont="1" applyFill="1" applyBorder="1"/>
    <xf numFmtId="167" fontId="0" fillId="0" borderId="11" xfId="6" applyNumberFormat="1" applyFont="1" applyFill="1" applyBorder="1" applyAlignment="1">
      <alignment horizontal="center"/>
    </xf>
    <xf numFmtId="167" fontId="0" fillId="0" borderId="12" xfId="6" applyNumberFormat="1" applyFont="1" applyFill="1" applyBorder="1"/>
    <xf numFmtId="167" fontId="0" fillId="0" borderId="0" xfId="6" applyNumberFormat="1" applyFont="1" applyBorder="1"/>
    <xf numFmtId="167" fontId="5" fillId="4" borderId="3" xfId="6" applyNumberFormat="1" applyFont="1" applyFill="1" applyBorder="1"/>
    <xf numFmtId="167" fontId="5" fillId="4" borderId="6" xfId="6" applyNumberFormat="1" applyFont="1" applyFill="1" applyBorder="1"/>
    <xf numFmtId="167" fontId="5" fillId="4" borderId="6" xfId="6" applyNumberFormat="1" applyFont="1" applyFill="1" applyBorder="1" applyAlignment="1">
      <alignment horizontal="center"/>
    </xf>
    <xf numFmtId="0" fontId="5" fillId="4" borderId="6" xfId="6" applyNumberFormat="1" applyFont="1" applyFill="1" applyBorder="1"/>
    <xf numFmtId="0" fontId="5" fillId="4" borderId="7" xfId="6" applyNumberFormat="1" applyFont="1" applyFill="1" applyBorder="1"/>
    <xf numFmtId="167" fontId="0" fillId="0" borderId="10" xfId="6" applyNumberFormat="1" applyFont="1" applyFill="1" applyBorder="1"/>
    <xf numFmtId="167" fontId="5" fillId="6" borderId="3" xfId="6" applyNumberFormat="1" applyFont="1" applyFill="1" applyBorder="1"/>
    <xf numFmtId="167" fontId="5" fillId="6" borderId="6" xfId="6" applyNumberFormat="1" applyFont="1" applyFill="1" applyBorder="1"/>
    <xf numFmtId="167" fontId="5" fillId="6" borderId="6" xfId="6" applyNumberFormat="1" applyFont="1" applyFill="1" applyBorder="1" applyAlignment="1">
      <alignment horizontal="center"/>
    </xf>
    <xf numFmtId="0" fontId="5" fillId="6" borderId="6" xfId="6" applyNumberFormat="1" applyFont="1" applyFill="1" applyBorder="1"/>
    <xf numFmtId="0" fontId="5" fillId="6" borderId="7" xfId="6" applyNumberFormat="1" applyFont="1" applyFill="1" applyBorder="1"/>
    <xf numFmtId="0" fontId="0" fillId="7" borderId="0" xfId="0" applyFill="1"/>
    <xf numFmtId="9" fontId="0" fillId="0" borderId="0" xfId="0" applyNumberFormat="1" applyBorder="1"/>
    <xf numFmtId="0" fontId="0" fillId="8" borderId="0" xfId="0" applyFill="1"/>
    <xf numFmtId="0" fontId="0" fillId="9" borderId="0" xfId="0" applyFill="1"/>
    <xf numFmtId="0" fontId="5" fillId="0" borderId="8" xfId="0" applyFont="1" applyBorder="1" applyAlignment="1">
      <alignment horizontal="center"/>
    </xf>
    <xf numFmtId="0" fontId="0" fillId="0" borderId="8" xfId="0" applyFont="1" applyFill="1" applyBorder="1" applyAlignment="1">
      <alignment horizontal="left"/>
    </xf>
    <xf numFmtId="0" fontId="0" fillId="0" borderId="10" xfId="0" applyFont="1" applyFill="1" applyBorder="1" applyAlignment="1">
      <alignment horizontal="left"/>
    </xf>
    <xf numFmtId="164" fontId="0" fillId="0" borderId="11" xfId="0" applyNumberFormat="1" applyFont="1" applyFill="1" applyBorder="1"/>
    <xf numFmtId="9" fontId="6" fillId="0" borderId="0" xfId="0" applyNumberFormat="1" applyFont="1" applyBorder="1"/>
    <xf numFmtId="0" fontId="6" fillId="0" borderId="0" xfId="0" applyFont="1" applyBorder="1"/>
    <xf numFmtId="0" fontId="0" fillId="0" borderId="13" xfId="0" applyBorder="1"/>
    <xf numFmtId="10" fontId="6" fillId="0" borderId="1" xfId="5" applyNumberFormat="1" applyFont="1" applyBorder="1"/>
    <xf numFmtId="0" fontId="25" fillId="0" borderId="1" xfId="0" applyFont="1" applyBorder="1"/>
    <xf numFmtId="0" fontId="9" fillId="0" borderId="8" xfId="0" applyFont="1" applyBorder="1"/>
    <xf numFmtId="168" fontId="6" fillId="0" borderId="1" xfId="0" applyNumberFormat="1" applyFont="1" applyBorder="1"/>
    <xf numFmtId="168" fontId="0" fillId="0" borderId="1" xfId="0" applyNumberFormat="1" applyBorder="1"/>
    <xf numFmtId="168" fontId="0" fillId="0" borderId="0" xfId="0" applyNumberFormat="1" applyBorder="1"/>
    <xf numFmtId="0" fontId="0" fillId="9" borderId="8" xfId="0" applyFill="1" applyBorder="1"/>
    <xf numFmtId="168" fontId="0" fillId="9" borderId="0" xfId="0" applyNumberFormat="1" applyFill="1" applyBorder="1"/>
    <xf numFmtId="0" fontId="11" fillId="0" borderId="0" xfId="0" applyFont="1" applyFill="1" applyBorder="1"/>
    <xf numFmtId="0" fontId="11" fillId="0" borderId="0" xfId="0" applyFont="1" applyFill="1"/>
    <xf numFmtId="165" fontId="0" fillId="0" borderId="1" xfId="0" applyNumberFormat="1" applyFont="1" applyFill="1" applyBorder="1"/>
    <xf numFmtId="0" fontId="2" fillId="6"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horizontal="center" vertical="center"/>
    </xf>
    <xf numFmtId="9" fontId="0" fillId="10" borderId="1" xfId="5" applyFont="1" applyFill="1" applyBorder="1" applyAlignment="1">
      <alignment horizontal="center"/>
    </xf>
    <xf numFmtId="0" fontId="27" fillId="11" borderId="1" xfId="0" applyFont="1" applyFill="1" applyBorder="1" applyAlignment="1">
      <alignment vertical="center"/>
    </xf>
    <xf numFmtId="0" fontId="27" fillId="10" borderId="2" xfId="0" applyFont="1" applyFill="1" applyBorder="1" applyAlignment="1">
      <alignment vertical="center"/>
    </xf>
    <xf numFmtId="0" fontId="28" fillId="10" borderId="2" xfId="0" applyFont="1" applyFill="1" applyBorder="1" applyAlignment="1">
      <alignment horizontal="center" vertical="center"/>
    </xf>
    <xf numFmtId="0" fontId="28" fillId="10" borderId="1" xfId="0" applyFont="1" applyFill="1" applyBorder="1" applyAlignment="1">
      <alignment horizontal="left" vertical="center"/>
    </xf>
    <xf numFmtId="0" fontId="27" fillId="11" borderId="1" xfId="0" applyFont="1" applyFill="1" applyBorder="1" applyAlignment="1">
      <alignment horizontal="center" vertical="center"/>
    </xf>
    <xf numFmtId="0" fontId="27" fillId="10" borderId="2" xfId="0" applyFont="1" applyFill="1" applyBorder="1" applyAlignment="1">
      <alignment horizontal="center" vertical="center"/>
    </xf>
    <xf numFmtId="9" fontId="27" fillId="10" borderId="2" xfId="5" applyFont="1" applyFill="1" applyBorder="1" applyAlignment="1">
      <alignment horizontal="center" vertical="center"/>
    </xf>
    <xf numFmtId="0" fontId="27" fillId="12" borderId="1" xfId="0" applyFont="1" applyFill="1" applyBorder="1" applyAlignment="1">
      <alignment vertical="center"/>
    </xf>
    <xf numFmtId="0" fontId="0" fillId="6" borderId="1" xfId="0" applyFill="1" applyBorder="1"/>
    <xf numFmtId="0" fontId="27" fillId="13" borderId="1" xfId="0" applyFont="1" applyFill="1" applyBorder="1" applyAlignment="1">
      <alignment horizontal="center" vertical="center"/>
    </xf>
    <xf numFmtId="0" fontId="27" fillId="13" borderId="1" xfId="0" applyFont="1" applyFill="1" applyBorder="1" applyAlignment="1">
      <alignment vertical="center"/>
    </xf>
    <xf numFmtId="9" fontId="28" fillId="15" borderId="1" xfId="5" applyFont="1" applyFill="1" applyBorder="1" applyAlignment="1">
      <alignment horizontal="center" vertical="center"/>
    </xf>
    <xf numFmtId="9" fontId="0" fillId="15" borderId="1" xfId="5" applyFont="1" applyFill="1" applyBorder="1" applyAlignment="1">
      <alignment horizontal="center"/>
    </xf>
    <xf numFmtId="9" fontId="27" fillId="15" borderId="2" xfId="5" applyFont="1" applyFill="1" applyBorder="1" applyAlignment="1">
      <alignment horizontal="center" vertical="center"/>
    </xf>
    <xf numFmtId="0" fontId="0" fillId="14" borderId="1" xfId="0" applyFill="1" applyBorder="1"/>
    <xf numFmtId="15" fontId="0" fillId="14" borderId="1" xfId="0" applyNumberFormat="1" applyFill="1" applyBorder="1"/>
    <xf numFmtId="15" fontId="0" fillId="14" borderId="1" xfId="0" applyNumberFormat="1" applyFill="1" applyBorder="1" applyAlignment="1">
      <alignment horizontal="center"/>
    </xf>
    <xf numFmtId="167" fontId="0" fillId="0" borderId="1" xfId="6" applyNumberFormat="1" applyFont="1" applyBorder="1"/>
    <xf numFmtId="0" fontId="2" fillId="0" borderId="1" xfId="0" applyFont="1" applyFill="1" applyBorder="1" applyAlignment="1">
      <alignment horizontal="right" vertical="center"/>
    </xf>
    <xf numFmtId="0" fontId="2" fillId="0" borderId="1" xfId="0" applyFont="1" applyFill="1" applyBorder="1" applyAlignment="1">
      <alignment horizontal="right" vertical="center" wrapText="1"/>
    </xf>
    <xf numFmtId="0" fontId="2" fillId="3" borderId="1" xfId="0" applyFont="1" applyFill="1" applyBorder="1" applyAlignment="1">
      <alignment horizontal="center"/>
    </xf>
    <xf numFmtId="0" fontId="2" fillId="3" borderId="16" xfId="0" applyFont="1" applyFill="1" applyBorder="1" applyAlignment="1">
      <alignment horizontal="center"/>
    </xf>
    <xf numFmtId="169" fontId="6" fillId="0" borderId="1" xfId="5" applyNumberFormat="1" applyFont="1" applyBorder="1" applyAlignment="1">
      <alignment horizontal="center"/>
    </xf>
    <xf numFmtId="3" fontId="0" fillId="0" borderId="0" xfId="0" applyNumberFormat="1" applyBorder="1"/>
    <xf numFmtId="0" fontId="0" fillId="0" borderId="0" xfId="0" applyFill="1" applyBorder="1"/>
    <xf numFmtId="9" fontId="0" fillId="6" borderId="1" xfId="5" applyFont="1" applyFill="1" applyBorder="1"/>
    <xf numFmtId="0" fontId="2" fillId="2" borderId="6" xfId="0" applyFont="1" applyFill="1" applyBorder="1"/>
    <xf numFmtId="0" fontId="0" fillId="2" borderId="6" xfId="0" applyFont="1" applyFill="1" applyBorder="1"/>
    <xf numFmtId="0" fontId="5" fillId="2" borderId="5" xfId="0" applyFont="1" applyFill="1" applyBorder="1"/>
    <xf numFmtId="0" fontId="0" fillId="2" borderId="7" xfId="0" applyFont="1" applyFill="1" applyBorder="1"/>
    <xf numFmtId="0" fontId="5" fillId="4" borderId="5" xfId="0" applyFont="1" applyFill="1" applyBorder="1"/>
    <xf numFmtId="0" fontId="2" fillId="4" borderId="6" xfId="0" applyFont="1" applyFill="1" applyBorder="1"/>
    <xf numFmtId="0" fontId="0" fillId="4" borderId="6" xfId="0" applyFont="1" applyFill="1" applyBorder="1"/>
    <xf numFmtId="0" fontId="0" fillId="4" borderId="7" xfId="0" applyFont="1" applyFill="1" applyBorder="1"/>
    <xf numFmtId="0" fontId="5" fillId="3" borderId="1" xfId="0" applyFont="1" applyFill="1" applyBorder="1"/>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 fillId="5" borderId="16"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2" fillId="0" borderId="16" xfId="0" applyFont="1" applyBorder="1" applyAlignment="1">
      <alignment horizontal="left" vertical="center" wrapText="1"/>
    </xf>
    <xf numFmtId="0" fontId="2" fillId="0" borderId="14" xfId="0" applyFont="1" applyBorder="1" applyAlignment="1">
      <alignment horizontal="left" vertical="center" wrapText="1"/>
    </xf>
    <xf numFmtId="167" fontId="24" fillId="6" borderId="3" xfId="6" applyNumberFormat="1" applyFont="1" applyFill="1" applyBorder="1" applyAlignment="1">
      <alignment horizontal="center"/>
    </xf>
    <xf numFmtId="167" fontId="24" fillId="6" borderId="15" xfId="6" applyNumberFormat="1" applyFont="1" applyFill="1" applyBorder="1" applyAlignment="1">
      <alignment horizontal="center"/>
    </xf>
    <xf numFmtId="167" fontId="24" fillId="6" borderId="4" xfId="6" applyNumberFormat="1" applyFont="1" applyFill="1" applyBorder="1" applyAlignment="1">
      <alignment horizontal="center"/>
    </xf>
    <xf numFmtId="167" fontId="5" fillId="0" borderId="6" xfId="6" applyNumberFormat="1" applyFont="1" applyFill="1" applyBorder="1" applyAlignment="1">
      <alignment horizontal="center"/>
    </xf>
    <xf numFmtId="167" fontId="5" fillId="0" borderId="7" xfId="6" applyNumberFormat="1" applyFont="1" applyFill="1" applyBorder="1" applyAlignment="1">
      <alignment horizontal="center"/>
    </xf>
    <xf numFmtId="167" fontId="5" fillId="0" borderId="0" xfId="6" applyNumberFormat="1" applyFont="1" applyFill="1" applyBorder="1" applyAlignment="1">
      <alignment horizontal="center"/>
    </xf>
    <xf numFmtId="167" fontId="5" fillId="0" borderId="9" xfId="6" applyNumberFormat="1" applyFont="1" applyFill="1" applyBorder="1" applyAlignment="1">
      <alignment horizontal="center"/>
    </xf>
    <xf numFmtId="0" fontId="24" fillId="3" borderId="3" xfId="0" applyFont="1" applyFill="1" applyBorder="1" applyAlignment="1">
      <alignment horizontal="center"/>
    </xf>
    <xf numFmtId="0" fontId="24" fillId="3" borderId="15" xfId="0" applyFont="1" applyFill="1" applyBorder="1" applyAlignment="1">
      <alignment horizontal="center"/>
    </xf>
    <xf numFmtId="0" fontId="24" fillId="3" borderId="4" xfId="0" applyFont="1" applyFill="1" applyBorder="1" applyAlignment="1">
      <alignment horizontal="center"/>
    </xf>
    <xf numFmtId="167" fontId="24" fillId="4" borderId="3" xfId="6" applyNumberFormat="1" applyFont="1" applyFill="1" applyBorder="1" applyAlignment="1">
      <alignment horizontal="center"/>
    </xf>
    <xf numFmtId="167" fontId="24" fillId="4" borderId="15" xfId="6" applyNumberFormat="1" applyFont="1" applyFill="1" applyBorder="1" applyAlignment="1">
      <alignment horizontal="center"/>
    </xf>
    <xf numFmtId="167" fontId="24" fillId="4" borderId="4" xfId="6" applyNumberFormat="1" applyFont="1" applyFill="1" applyBorder="1" applyAlignment="1">
      <alignment horizontal="center"/>
    </xf>
    <xf numFmtId="0" fontId="0" fillId="0" borderId="0" xfId="0" applyBorder="1" applyAlignment="1">
      <alignment horizontal="left" vertical="top" wrapText="1"/>
    </xf>
    <xf numFmtId="0" fontId="2" fillId="3" borderId="1" xfId="0" applyFont="1" applyFill="1" applyBorder="1" applyAlignment="1">
      <alignment horizontal="center" vertical="center" wrapText="1"/>
    </xf>
  </cellXfs>
  <cellStyles count="17">
    <cellStyle name="Comma" xfId="6" builtinId="3"/>
    <cellStyle name="Comma 2" xfId="1"/>
    <cellStyle name="Comma 2 2" xfId="3"/>
    <cellStyle name="Currency 2" xfId="2"/>
    <cellStyle name="Currency 2 2" xfId="8"/>
    <cellStyle name="Currency 2 3" xfId="9"/>
    <cellStyle name="Hyperlink" xfId="7" builtinId="8"/>
    <cellStyle name="Hyperlink 2" xfId="10"/>
    <cellStyle name="Normal" xfId="0" builtinId="0"/>
    <cellStyle name="Normal 11" xfId="11"/>
    <cellStyle name="Normal 2" xfId="4"/>
    <cellStyle name="Normal 2 2" xfId="12"/>
    <cellStyle name="Normal 3" xfId="13"/>
    <cellStyle name="Normal 5 2 2 2" xfId="14"/>
    <cellStyle name="Percent" xfId="5" builtinId="5"/>
    <cellStyle name="Percent 2" xfId="15"/>
    <cellStyle name="Percent 2 2" xfId="1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chartsheet" Target="chartsheets/sheet1.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3.xml"/><Relationship Id="rId10" Type="http://schemas.openxmlformats.org/officeDocument/2006/relationships/worksheet" Target="worksheets/sheet8.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externalLink" Target="externalLinks/externalLink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#,##0.0_);_(* \(#,##0.0\);_(* "-"??_);_(@_)</c:formatCode>
                <c:ptCount val="15"/>
                <c:pt idx="0">
                  <c:v>265.69759724216374</c:v>
                </c:pt>
                <c:pt idx="1">
                  <c:v>531.39519448432748</c:v>
                </c:pt>
                <c:pt idx="2">
                  <c:v>797.09279172649121</c:v>
                </c:pt>
                <c:pt idx="3">
                  <c:v>1051.3653922872418</c:v>
                </c:pt>
                <c:pt idx="4">
                  <c:v>1305.6379928479926</c:v>
                </c:pt>
                <c:pt idx="5">
                  <c:v>1559.9105934087434</c:v>
                </c:pt>
                <c:pt idx="6">
                  <c:v>1808.4706956287873</c:v>
                </c:pt>
                <c:pt idx="7">
                  <c:v>2057.0307978488318</c:v>
                </c:pt>
                <c:pt idx="8">
                  <c:v>2294.9629961791893</c:v>
                </c:pt>
                <c:pt idx="9">
                  <c:v>2530.038945339194</c:v>
                </c:pt>
                <c:pt idx="10">
                  <c:v>2754.4869906095118</c:v>
                </c:pt>
                <c:pt idx="11">
                  <c:v>2978.9350358798297</c:v>
                </c:pt>
                <c:pt idx="12">
                  <c:v>3201.9549565649704</c:v>
                </c:pt>
                <c:pt idx="13">
                  <c:v>3424.9748772501116</c:v>
                </c:pt>
                <c:pt idx="14">
                  <c:v>3647.9947979352523</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#,##0.0_);_(* \(#,##0.0\);_(* "-"??_);_(@_)</c:formatCode>
                <c:ptCount val="15"/>
                <c:pt idx="0">
                  <c:v>531.39519448432748</c:v>
                </c:pt>
                <c:pt idx="1">
                  <c:v>1062.790388968655</c:v>
                </c:pt>
                <c:pt idx="2">
                  <c:v>1594.1855834529824</c:v>
                </c:pt>
                <c:pt idx="3">
                  <c:v>2102.7307845744836</c:v>
                </c:pt>
                <c:pt idx="4">
                  <c:v>2611.2759856959851</c:v>
                </c:pt>
                <c:pt idx="5">
                  <c:v>3119.8211868174867</c:v>
                </c:pt>
                <c:pt idx="6">
                  <c:v>3616.9413912575747</c:v>
                </c:pt>
                <c:pt idx="7">
                  <c:v>4114.0615956976635</c:v>
                </c:pt>
                <c:pt idx="8">
                  <c:v>4589.9259923583786</c:v>
                </c:pt>
                <c:pt idx="9">
                  <c:v>5060.077890678388</c:v>
                </c:pt>
                <c:pt idx="10">
                  <c:v>5508.9739812190237</c:v>
                </c:pt>
                <c:pt idx="11">
                  <c:v>5957.8700717596594</c:v>
                </c:pt>
                <c:pt idx="12">
                  <c:v>6403.9099131299408</c:v>
                </c:pt>
                <c:pt idx="13">
                  <c:v>6849.9497545002232</c:v>
                </c:pt>
                <c:pt idx="14">
                  <c:v>7295.9895958705047</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#,##0.0_);_(* \(#,##0.0\);_(* "-"??_);_(@_)</c:formatCode>
                <c:ptCount val="15"/>
                <c:pt idx="0">
                  <c:v>531.39519448432748</c:v>
                </c:pt>
                <c:pt idx="1">
                  <c:v>1062.790388968655</c:v>
                </c:pt>
                <c:pt idx="2">
                  <c:v>1594.1855834529824</c:v>
                </c:pt>
                <c:pt idx="3">
                  <c:v>2194.4573077864416</c:v>
                </c:pt>
                <c:pt idx="4">
                  <c:v>2886.4555553318969</c:v>
                </c:pt>
                <c:pt idx="5">
                  <c:v>3670.1803260893107</c:v>
                </c:pt>
                <c:pt idx="6">
                  <c:v>4530.262382879193</c:v>
                </c:pt>
                <c:pt idx="7">
                  <c:v>5478.1267223829182</c:v>
                </c:pt>
                <c:pt idx="8">
                  <c:v>6492.5175368211521</c:v>
                </c:pt>
                <c:pt idx="9">
                  <c:v>7587.0060153834638</c:v>
                </c:pt>
                <c:pt idx="10">
                  <c:v>8746.0488486312261</c:v>
                </c:pt>
                <c:pt idx="11">
                  <c:v>9987.2327834152966</c:v>
                </c:pt>
                <c:pt idx="12">
                  <c:v>11306.715510440828</c:v>
                </c:pt>
                <c:pt idx="13">
                  <c:v>12703.68421794966</c:v>
                </c:pt>
                <c:pt idx="14">
                  <c:v>14178.138905941825</c:v>
                </c:pt>
              </c:numCache>
            </c:numRef>
          </c:val>
          <c:smooth val="0"/>
        </c:ser>
        <c:dLbls>
          <c:showLegendKey val="0"/>
          <c:showVal val="0"/>
          <c:showCatName val="0"/>
          <c:showSerName val="0"/>
          <c:showPercent val="0"/>
          <c:showBubbleSize val="0"/>
        </c:dLbls>
        <c:marker val="1"/>
        <c:smooth val="0"/>
        <c:axId val="204696192"/>
        <c:axId val="206923264"/>
      </c:lineChart>
      <c:catAx>
        <c:axId val="204696192"/>
        <c:scaling>
          <c:orientation val="minMax"/>
        </c:scaling>
        <c:delete val="0"/>
        <c:axPos val="b"/>
        <c:numFmt formatCode="General" sourceLinked="1"/>
        <c:majorTickMark val="none"/>
        <c:minorTickMark val="none"/>
        <c:tickLblPos val="nextTo"/>
        <c:crossAx val="206923264"/>
        <c:crosses val="autoZero"/>
        <c:auto val="1"/>
        <c:lblAlgn val="ctr"/>
        <c:lblOffset val="100"/>
        <c:noMultiLvlLbl val="0"/>
      </c:catAx>
      <c:valAx>
        <c:axId val="206923264"/>
        <c:scaling>
          <c:orientation val="minMax"/>
        </c:scaling>
        <c:delete val="0"/>
        <c:axPos val="l"/>
        <c:majorGridlines/>
        <c:title>
          <c:tx>
            <c:rich>
              <a:bodyPr rot="-5400000" vert="horz"/>
              <a:lstStyle/>
              <a:p>
                <a:pPr>
                  <a:defRPr sz="1200"/>
                </a:pPr>
                <a:r>
                  <a:rPr lang="en-US" sz="1200"/>
                  <a:t>Electricity Savings (GWh)</a:t>
                </a:r>
              </a:p>
            </c:rich>
          </c:tx>
          <c:overlay val="0"/>
        </c:title>
        <c:numFmt formatCode="_(* #,##0.0_);_(* \(#,##0.0\);_(* &quot;-&quot;??_);_(@_)" sourceLinked="1"/>
        <c:majorTickMark val="none"/>
        <c:minorTickMark val="none"/>
        <c:tickLblPos val="nextTo"/>
        <c:crossAx val="204696192"/>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 Conservative </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0.40656844576748163</c:v>
                </c:pt>
                <c:pt idx="1">
                  <c:v>0.81313689153496327</c:v>
                </c:pt>
                <c:pt idx="2">
                  <c:v>1.2197053373024449</c:v>
                </c:pt>
                <c:pt idx="3">
                  <c:v>1.6087913399019249</c:v>
                </c:pt>
                <c:pt idx="4">
                  <c:v>1.9978773425014047</c:v>
                </c:pt>
                <c:pt idx="5">
                  <c:v>2.3869633451008845</c:v>
                </c:pt>
                <c:pt idx="6">
                  <c:v>2.7673081261163639</c:v>
                </c:pt>
                <c:pt idx="7">
                  <c:v>3.1476529071318429</c:v>
                </c:pt>
                <c:pt idx="8">
                  <c:v>3.5117349503166224</c:v>
                </c:pt>
                <c:pt idx="9">
                  <c:v>3.8714463827094021</c:v>
                </c:pt>
                <c:pt idx="10">
                  <c:v>4.2148950772714819</c:v>
                </c:pt>
                <c:pt idx="11">
                  <c:v>4.5583437718335622</c:v>
                </c:pt>
                <c:pt idx="12">
                  <c:v>4.8996071609996417</c:v>
                </c:pt>
                <c:pt idx="13">
                  <c:v>5.2408705501657211</c:v>
                </c:pt>
                <c:pt idx="14">
                  <c:v>5.5821339393318015</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0.81313689153496327</c:v>
                </c:pt>
                <c:pt idx="1">
                  <c:v>1.6262737830699265</c:v>
                </c:pt>
                <c:pt idx="2">
                  <c:v>2.4394106746048898</c:v>
                </c:pt>
                <c:pt idx="3">
                  <c:v>3.2175826798038498</c:v>
                </c:pt>
                <c:pt idx="4">
                  <c:v>3.9957546850028094</c:v>
                </c:pt>
                <c:pt idx="5">
                  <c:v>4.773926690201769</c:v>
                </c:pt>
                <c:pt idx="6">
                  <c:v>5.5346162522327278</c:v>
                </c:pt>
                <c:pt idx="7">
                  <c:v>6.2953058142636857</c:v>
                </c:pt>
                <c:pt idx="8">
                  <c:v>7.0234699006332448</c:v>
                </c:pt>
                <c:pt idx="9">
                  <c:v>7.7428927654188042</c:v>
                </c:pt>
                <c:pt idx="10">
                  <c:v>8.4297901545429639</c:v>
                </c:pt>
                <c:pt idx="11">
                  <c:v>9.1166875436671244</c:v>
                </c:pt>
                <c:pt idx="12">
                  <c:v>9.7992143219992833</c:v>
                </c:pt>
                <c:pt idx="13">
                  <c:v>10.481741100331442</c:v>
                </c:pt>
                <c:pt idx="14">
                  <c:v>11.164267878663603</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0.81313689153496327</c:v>
                </c:pt>
                <c:pt idx="1">
                  <c:v>1.6262737830699265</c:v>
                </c:pt>
                <c:pt idx="2">
                  <c:v>2.4394106746048898</c:v>
                </c:pt>
                <c:pt idx="3">
                  <c:v>3.3579419091120117</c:v>
                </c:pt>
                <c:pt idx="4">
                  <c:v>4.4168323729273542</c:v>
                </c:pt>
                <c:pt idx="5">
                  <c:v>5.6160820660508577</c:v>
                </c:pt>
                <c:pt idx="6">
                  <c:v>6.9321730984543324</c:v>
                </c:pt>
                <c:pt idx="7">
                  <c:v>8.3825879133057128</c:v>
                </c:pt>
                <c:pt idx="8">
                  <c:v>9.934801034943666</c:v>
                </c:pt>
                <c:pt idx="9">
                  <c:v>11.609578994015401</c:v>
                </c:pt>
                <c:pt idx="10">
                  <c:v>13.383137536443579</c:v>
                </c:pt>
                <c:pt idx="11">
                  <c:v>15.282387768717216</c:v>
                </c:pt>
                <c:pt idx="12">
                  <c:v>17.3014502183293</c:v>
                </c:pt>
                <c:pt idx="13">
                  <c:v>19.439081126899453</c:v>
                </c:pt>
                <c:pt idx="14">
                  <c:v>21.695280494427731</c:v>
                </c:pt>
              </c:numCache>
            </c:numRef>
          </c:val>
          <c:smooth val="0"/>
        </c:ser>
        <c:dLbls>
          <c:showLegendKey val="0"/>
          <c:showVal val="0"/>
          <c:showCatName val="0"/>
          <c:showSerName val="0"/>
          <c:showPercent val="0"/>
          <c:showBubbleSize val="0"/>
        </c:dLbls>
        <c:marker val="1"/>
        <c:smooth val="0"/>
        <c:axId val="219296512"/>
        <c:axId val="219298816"/>
      </c:lineChart>
      <c:catAx>
        <c:axId val="219296512"/>
        <c:scaling>
          <c:orientation val="minMax"/>
        </c:scaling>
        <c:delete val="0"/>
        <c:axPos val="b"/>
        <c:numFmt formatCode="General" sourceLinked="1"/>
        <c:majorTickMark val="none"/>
        <c:minorTickMark val="none"/>
        <c:tickLblPos val="nextTo"/>
        <c:crossAx val="219298816"/>
        <c:crosses val="autoZero"/>
        <c:auto val="1"/>
        <c:lblAlgn val="ctr"/>
        <c:lblOffset val="100"/>
        <c:noMultiLvlLbl val="0"/>
      </c:catAx>
      <c:valAx>
        <c:axId val="219298816"/>
        <c:scaling>
          <c:orientation val="minMax"/>
        </c:scaling>
        <c:delete val="0"/>
        <c:axPos val="l"/>
        <c:majorGridlines/>
        <c:title>
          <c:tx>
            <c:rich>
              <a:bodyPr rot="-5400000" vert="horz"/>
              <a:lstStyle/>
              <a:p>
                <a:pPr>
                  <a:defRPr sz="1200"/>
                </a:pPr>
                <a:r>
                  <a:rPr lang="en-US" sz="1200"/>
                  <a:t>Gas Savings (MM Therms)</a:t>
                </a:r>
              </a:p>
            </c:rich>
          </c:tx>
          <c:overlay val="0"/>
        </c:title>
        <c:numFmt formatCode="_(* #,##0.0_);_(* \(#,##0.0\);_(* &quot;-&quot;??_);_(@_)" sourceLinked="1"/>
        <c:majorTickMark val="none"/>
        <c:minorTickMark val="none"/>
        <c:tickLblPos val="nextTo"/>
        <c:crossAx val="219296512"/>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018815" cy="1183278"/>
        </a:xfrm>
        <a:prstGeom prst="rect">
          <a:avLst/>
        </a:prstGeom>
        <a:noFill/>
        <a:ln w="3175">
          <a:solidFill>
            <a:schemeClr val="tx1"/>
          </a:solidFill>
        </a:ln>
        <a:effectLst/>
        <a:extLst>
          <a:ext uri="{C572A759-6A51-4108-AA02-DFA0A04FC94B}">
            <ma14:wrappingTextBox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w15="http://schemas.microsoft.com/office/word/2012/wordml" xmlns:lc="http://schemas.openxmlformats.org/drawingml/2006/locked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3</xdr:col>
      <xdr:colOff>218803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hase%203%20Calculations/Program%20Data%20Analysis%20-%20AB802%20-%20Phase%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am Analysis"/>
      <sheetName val="SB 350 Potential"/>
      <sheetName val="Reference"/>
      <sheetName val="Conservative"/>
      <sheetName val="Aggressive"/>
      <sheetName val="Graph (electricity)"/>
      <sheetName val="Graph (gas)"/>
      <sheetName val="CEC Worksheet"/>
      <sheetName val="CEC Fuel Savings for 350"/>
      <sheetName val="Look-up"/>
      <sheetName val="FS Stick Mid PA"/>
      <sheetName val="FS ADD Mid PA"/>
      <sheetName val="Summary"/>
      <sheetName val="Building Stock Data"/>
      <sheetName val="Benchmar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A4" t="str">
            <v>Title 24</v>
          </cell>
        </row>
        <row r="5">
          <cell r="A5" t="str">
            <v>Title 20</v>
          </cell>
        </row>
        <row r="6">
          <cell r="A6" t="str">
            <v>Federal Appliances</v>
          </cell>
        </row>
        <row r="7">
          <cell r="A7" t="str">
            <v>Local Government Ordinances</v>
          </cell>
        </row>
        <row r="8">
          <cell r="A8" t="str">
            <v>Air Quality Districts</v>
          </cell>
        </row>
        <row r="9">
          <cell r="A9" t="str">
            <v>Local Government Challenge</v>
          </cell>
        </row>
        <row r="10">
          <cell r="A10" t="str">
            <v>Proposition 39</v>
          </cell>
        </row>
        <row r="11">
          <cell r="A11" t="str">
            <v>GGRF: Low Income Weather</v>
          </cell>
        </row>
        <row r="12">
          <cell r="A12" t="str">
            <v>GGRF: Water-Energy Grant</v>
          </cell>
        </row>
        <row r="13">
          <cell r="A13" t="str">
            <v>DGS EE Retrofit</v>
          </cell>
        </row>
        <row r="14">
          <cell r="A14" t="str">
            <v>ECAA Financing</v>
          </cell>
        </row>
        <row r="15">
          <cell r="A15" t="str">
            <v>PACE Financing</v>
          </cell>
        </row>
        <row r="16">
          <cell r="A16" t="str">
            <v>AB 802</v>
          </cell>
        </row>
        <row r="17">
          <cell r="A17" t="str">
            <v>BRO's</v>
          </cell>
        </row>
        <row r="18">
          <cell r="A18" t="str">
            <v>Energy Asset Rating</v>
          </cell>
        </row>
        <row r="19">
          <cell r="A19" t="str">
            <v>Smart Meter Data Analytics</v>
          </cell>
        </row>
        <row r="20">
          <cell r="A20" t="str">
            <v>Electrification</v>
          </cell>
        </row>
        <row r="23">
          <cell r="B23" t="str">
            <v>Non_Residential</v>
          </cell>
          <cell r="C23" t="str">
            <v>Residential</v>
          </cell>
        </row>
      </sheetData>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treasurer.ca.gov/caeatfa/pace/activity.as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pacenation.us/pace-market-data/"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5"/>
  <sheetViews>
    <sheetView tabSelected="1" zoomScale="70" zoomScaleNormal="70" workbookViewId="0">
      <selection activeCell="C46" sqref="C46"/>
    </sheetView>
  </sheetViews>
  <sheetFormatPr defaultRowHeight="13.8" x14ac:dyDescent="0.25"/>
  <cols>
    <col min="1" max="1" width="8.88671875" style="61"/>
    <col min="2" max="2" width="20.5546875" style="61" customWidth="1"/>
    <col min="3" max="3" width="111.109375" style="61" customWidth="1"/>
    <col min="4" max="16384" width="8.88671875" style="61"/>
  </cols>
  <sheetData>
    <row r="8" spans="2:8" ht="22.8" x14ac:dyDescent="0.4">
      <c r="B8" s="60" t="s">
        <v>100</v>
      </c>
      <c r="H8"/>
    </row>
    <row r="9" spans="2:8" ht="22.8" x14ac:dyDescent="0.4">
      <c r="B9" s="60" t="s">
        <v>101</v>
      </c>
    </row>
    <row r="10" spans="2:8" ht="22.8" x14ac:dyDescent="0.4">
      <c r="B10" s="60" t="s">
        <v>102</v>
      </c>
    </row>
    <row r="11" spans="2:8" ht="22.8" x14ac:dyDescent="0.4">
      <c r="B11" s="60"/>
      <c r="C11" s="62"/>
    </row>
    <row r="12" spans="2:8" ht="17.399999999999999" x14ac:dyDescent="0.3">
      <c r="B12" s="63" t="s">
        <v>187</v>
      </c>
    </row>
    <row r="13" spans="2:8" x14ac:dyDescent="0.25">
      <c r="B13" s="61" t="s">
        <v>103</v>
      </c>
      <c r="C13" s="61" t="s">
        <v>186</v>
      </c>
    </row>
    <row r="14" spans="2:8" x14ac:dyDescent="0.25">
      <c r="B14" s="61" t="s">
        <v>104</v>
      </c>
      <c r="C14" s="61" t="s">
        <v>105</v>
      </c>
    </row>
    <row r="15" spans="2:8" x14ac:dyDescent="0.25">
      <c r="B15" s="61" t="s">
        <v>106</v>
      </c>
      <c r="C15" s="61" t="s">
        <v>107</v>
      </c>
    </row>
    <row r="16" spans="2:8" x14ac:dyDescent="0.25">
      <c r="B16" s="61" t="s">
        <v>108</v>
      </c>
      <c r="C16" s="64">
        <v>42978</v>
      </c>
    </row>
    <row r="27" spans="2:3" ht="27.6" customHeight="1" x14ac:dyDescent="0.25">
      <c r="B27" s="172" t="s">
        <v>109</v>
      </c>
      <c r="C27" s="173"/>
    </row>
    <row r="28" spans="2:3" x14ac:dyDescent="0.25">
      <c r="B28" s="65" t="s">
        <v>110</v>
      </c>
      <c r="C28" s="66" t="s">
        <v>111</v>
      </c>
    </row>
    <row r="29" spans="2:3" x14ac:dyDescent="0.25">
      <c r="B29" s="65" t="s">
        <v>112</v>
      </c>
      <c r="C29" s="66" t="s">
        <v>113</v>
      </c>
    </row>
    <row r="30" spans="2:3" x14ac:dyDescent="0.25">
      <c r="B30" s="65" t="s">
        <v>114</v>
      </c>
      <c r="C30" s="66" t="s">
        <v>115</v>
      </c>
    </row>
    <row r="31" spans="2:3" x14ac:dyDescent="0.25">
      <c r="B31" s="65" t="s">
        <v>116</v>
      </c>
      <c r="C31" s="66" t="s">
        <v>117</v>
      </c>
    </row>
    <row r="32" spans="2:3" x14ac:dyDescent="0.25">
      <c r="B32" s="65" t="s">
        <v>114</v>
      </c>
      <c r="C32" s="66" t="s">
        <v>118</v>
      </c>
    </row>
    <row r="33" spans="2:3" x14ac:dyDescent="0.25">
      <c r="B33" s="65" t="s">
        <v>119</v>
      </c>
      <c r="C33" s="65" t="s">
        <v>120</v>
      </c>
    </row>
    <row r="34" spans="2:3" x14ac:dyDescent="0.25">
      <c r="B34" s="65" t="s">
        <v>121</v>
      </c>
      <c r="C34" s="65" t="s">
        <v>122</v>
      </c>
    </row>
    <row r="35" spans="2:3" x14ac:dyDescent="0.25">
      <c r="B35" s="65"/>
      <c r="C35" s="66"/>
    </row>
    <row r="36" spans="2:3" x14ac:dyDescent="0.25">
      <c r="B36" s="67"/>
      <c r="C36" s="68"/>
    </row>
    <row r="38" spans="2:3" ht="27.6" customHeight="1" x14ac:dyDescent="0.25">
      <c r="B38" s="172" t="s">
        <v>123</v>
      </c>
      <c r="C38" s="173" t="s">
        <v>124</v>
      </c>
    </row>
    <row r="39" spans="2:3" x14ac:dyDescent="0.25">
      <c r="B39" s="65" t="s">
        <v>0</v>
      </c>
      <c r="C39" s="66" t="s">
        <v>125</v>
      </c>
    </row>
    <row r="40" spans="2:3" x14ac:dyDescent="0.25">
      <c r="B40" s="65" t="s">
        <v>4</v>
      </c>
      <c r="C40" s="66" t="s">
        <v>126</v>
      </c>
    </row>
    <row r="41" spans="2:3" ht="14.4" x14ac:dyDescent="0.3">
      <c r="B41" s="69" t="s">
        <v>127</v>
      </c>
      <c r="C41" s="70" t="s">
        <v>128</v>
      </c>
    </row>
    <row r="42" spans="2:3" ht="14.4" x14ac:dyDescent="0.3">
      <c r="B42" s="69" t="s">
        <v>269</v>
      </c>
      <c r="C42" s="70" t="s">
        <v>270</v>
      </c>
    </row>
    <row r="43" spans="2:3" ht="28.8" x14ac:dyDescent="0.3">
      <c r="B43" s="69" t="s">
        <v>129</v>
      </c>
      <c r="C43" s="70" t="s">
        <v>130</v>
      </c>
    </row>
    <row r="44" spans="2:3" ht="14.4" x14ac:dyDescent="0.3">
      <c r="B44" s="69" t="s">
        <v>49</v>
      </c>
      <c r="C44" s="70" t="s">
        <v>131</v>
      </c>
    </row>
    <row r="45" spans="2:3" ht="14.4" x14ac:dyDescent="0.3">
      <c r="B45" s="69" t="s">
        <v>132</v>
      </c>
      <c r="C45" s="70" t="s">
        <v>271</v>
      </c>
    </row>
  </sheetData>
  <mergeCells count="2">
    <mergeCell ref="B27:C27"/>
    <mergeCell ref="B38:C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C33"/>
  <sheetViews>
    <sheetView zoomScale="70" zoomScaleNormal="70" workbookViewId="0">
      <selection activeCell="C38" sqref="C38"/>
    </sheetView>
  </sheetViews>
  <sheetFormatPr defaultRowHeight="14.4" x14ac:dyDescent="0.3"/>
  <cols>
    <col min="1" max="1" width="8.88671875" style="71"/>
    <col min="2" max="2" width="27.21875" style="77" customWidth="1"/>
    <col min="3" max="3" width="111.109375" style="78" customWidth="1"/>
    <col min="4" max="16384" width="8.88671875" style="71"/>
  </cols>
  <sheetData>
    <row r="2" spans="2:3" ht="13.8" customHeight="1" x14ac:dyDescent="0.3">
      <c r="B2" s="176" t="s">
        <v>133</v>
      </c>
      <c r="C2" s="177"/>
    </row>
    <row r="3" spans="2:3" x14ac:dyDescent="0.3">
      <c r="B3" s="72" t="s">
        <v>55</v>
      </c>
      <c r="C3" s="72" t="s">
        <v>20</v>
      </c>
    </row>
    <row r="4" spans="2:3" x14ac:dyDescent="0.3">
      <c r="B4" s="72" t="s">
        <v>135</v>
      </c>
      <c r="C4" s="72" t="str">
        <f>VLOOKUP($C$3, 'Look-up'!$A$4:$D$20, 2, FALSE)</f>
        <v>State Financing</v>
      </c>
    </row>
    <row r="5" spans="2:3" x14ac:dyDescent="0.3">
      <c r="B5" s="72" t="s">
        <v>52</v>
      </c>
      <c r="C5" s="72" t="str">
        <f>VLOOKUP($C$3, 'Look-up'!$A$4:$D$20, 3, FALSE)</f>
        <v>RES, NR</v>
      </c>
    </row>
    <row r="8" spans="2:3" x14ac:dyDescent="0.3">
      <c r="B8" s="174" t="s">
        <v>32</v>
      </c>
      <c r="C8" s="175"/>
    </row>
    <row r="9" spans="2:3" x14ac:dyDescent="0.3">
      <c r="B9" s="72" t="s">
        <v>49</v>
      </c>
      <c r="C9" s="73" t="s">
        <v>255</v>
      </c>
    </row>
    <row r="10" spans="2:3" x14ac:dyDescent="0.3">
      <c r="B10" s="72" t="s">
        <v>256</v>
      </c>
      <c r="C10" s="73" t="s">
        <v>257</v>
      </c>
    </row>
    <row r="12" spans="2:3" ht="13.8" customHeight="1" x14ac:dyDescent="0.3">
      <c r="B12" s="174" t="s">
        <v>137</v>
      </c>
      <c r="C12" s="175"/>
    </row>
    <row r="13" spans="2:3" x14ac:dyDescent="0.3">
      <c r="B13" s="72" t="s">
        <v>261</v>
      </c>
      <c r="C13" s="74" t="s">
        <v>258</v>
      </c>
    </row>
    <row r="14" spans="2:3" x14ac:dyDescent="0.3">
      <c r="B14" s="72" t="s">
        <v>262</v>
      </c>
      <c r="C14" s="74" t="s">
        <v>259</v>
      </c>
    </row>
    <row r="15" spans="2:3" x14ac:dyDescent="0.3">
      <c r="B15" s="72" t="s">
        <v>263</v>
      </c>
      <c r="C15" s="74" t="s">
        <v>260</v>
      </c>
    </row>
    <row r="16" spans="2:3" x14ac:dyDescent="0.3">
      <c r="B16" s="72" t="s">
        <v>264</v>
      </c>
      <c r="C16" s="74" t="s">
        <v>265</v>
      </c>
    </row>
    <row r="19" spans="2:3" x14ac:dyDescent="0.3">
      <c r="B19" s="174" t="s">
        <v>138</v>
      </c>
      <c r="C19" s="175"/>
    </row>
    <row r="20" spans="2:3" x14ac:dyDescent="0.3">
      <c r="B20" s="72" t="s">
        <v>49</v>
      </c>
      <c r="C20" s="75">
        <f>'NR PACE Data'!C6</f>
        <v>0.90686274509803921</v>
      </c>
    </row>
    <row r="21" spans="2:3" x14ac:dyDescent="0.3">
      <c r="B21" s="72" t="s">
        <v>132</v>
      </c>
      <c r="C21" s="75">
        <f>'NR PACE Data'!B6</f>
        <v>9.3137254901960786E-2</v>
      </c>
    </row>
    <row r="24" spans="2:3" x14ac:dyDescent="0.3">
      <c r="B24" s="174" t="s">
        <v>139</v>
      </c>
      <c r="C24" s="175"/>
    </row>
    <row r="25" spans="2:3" x14ac:dyDescent="0.3">
      <c r="B25" s="76" t="s">
        <v>140</v>
      </c>
      <c r="C25" s="75" t="s">
        <v>141</v>
      </c>
    </row>
    <row r="26" spans="2:3" x14ac:dyDescent="0.3">
      <c r="B26" s="76" t="s">
        <v>142</v>
      </c>
      <c r="C26" s="75" t="s">
        <v>143</v>
      </c>
    </row>
    <row r="27" spans="2:3" x14ac:dyDescent="0.3">
      <c r="B27" s="76" t="s">
        <v>144</v>
      </c>
      <c r="C27" s="75" t="s">
        <v>143</v>
      </c>
    </row>
    <row r="30" spans="2:3" x14ac:dyDescent="0.3">
      <c r="B30" s="174" t="s">
        <v>145</v>
      </c>
      <c r="C30" s="175"/>
    </row>
    <row r="31" spans="2:3" ht="28.8" x14ac:dyDescent="0.3">
      <c r="B31" s="76" t="s">
        <v>146</v>
      </c>
      <c r="C31" s="74" t="s">
        <v>266</v>
      </c>
    </row>
    <row r="32" spans="2:3" ht="43.2" x14ac:dyDescent="0.3">
      <c r="B32" s="76" t="s">
        <v>147</v>
      </c>
      <c r="C32" s="74" t="s">
        <v>267</v>
      </c>
    </row>
    <row r="33" spans="2:3" ht="57.6" x14ac:dyDescent="0.3">
      <c r="B33" s="76" t="s">
        <v>148</v>
      </c>
      <c r="C33" s="74" t="s">
        <v>268</v>
      </c>
    </row>
  </sheetData>
  <mergeCells count="6">
    <mergeCell ref="B30:C30"/>
    <mergeCell ref="B2:C2"/>
    <mergeCell ref="B8:C8"/>
    <mergeCell ref="B12:C12"/>
    <mergeCell ref="B19:C19"/>
    <mergeCell ref="B24:C24"/>
  </mergeCells>
  <dataValidations count="1">
    <dataValidation type="list" allowBlank="1" showInputMessage="1" showErrorMessage="1" sqref="C3">
      <formula1>Programs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zoomScale="55" zoomScaleNormal="55" workbookViewId="0">
      <selection activeCell="W14" sqref="W14"/>
    </sheetView>
  </sheetViews>
  <sheetFormatPr defaultRowHeight="14.4" x14ac:dyDescent="0.3"/>
  <cols>
    <col min="2" max="2" width="18.44140625" customWidth="1"/>
    <col min="3" max="3" width="26.5546875" customWidth="1"/>
    <col min="4" max="4" width="31" customWidth="1"/>
    <col min="5" max="5" width="19.5546875" customWidth="1"/>
    <col min="6" max="6" width="22.33203125" bestFit="1" customWidth="1"/>
    <col min="7" max="11" width="13.44140625" bestFit="1" customWidth="1"/>
    <col min="12" max="21" width="14.77734375" customWidth="1"/>
    <col min="23" max="23" width="14" customWidth="1"/>
    <col min="24" max="24" width="39.109375" customWidth="1"/>
    <col min="25" max="25" width="12.33203125" customWidth="1"/>
  </cols>
  <sheetData>
    <row r="1" spans="2:28" ht="23.4" x14ac:dyDescent="0.45">
      <c r="B1" s="79" t="s">
        <v>26</v>
      </c>
      <c r="C1" s="79" t="str">
        <f>'Program Analysis'!C3</f>
        <v>PACE Financing</v>
      </c>
      <c r="D1" s="3"/>
    </row>
    <row r="2" spans="2:28" ht="23.4" x14ac:dyDescent="0.45">
      <c r="B2" s="79" t="s">
        <v>149</v>
      </c>
      <c r="C2" s="79" t="s">
        <v>150</v>
      </c>
      <c r="D2" s="3"/>
    </row>
    <row r="4" spans="2:28" s="2" customFormat="1" ht="15.6" x14ac:dyDescent="0.3">
      <c r="B4" s="34"/>
      <c r="G4" s="9"/>
      <c r="H4" s="9"/>
      <c r="I4" s="9"/>
      <c r="J4" s="9"/>
      <c r="K4" s="9"/>
      <c r="L4" s="9"/>
      <c r="M4" s="9"/>
      <c r="N4" s="9"/>
      <c r="O4" s="9"/>
      <c r="P4" s="9"/>
      <c r="Q4" s="9"/>
      <c r="R4" s="9"/>
      <c r="S4" s="9"/>
      <c r="T4" s="9"/>
      <c r="U4" s="9"/>
    </row>
    <row r="5" spans="2:28" s="2" customFormat="1" ht="15" thickBot="1" x14ac:dyDescent="0.35">
      <c r="G5" s="9"/>
      <c r="H5" s="9"/>
      <c r="I5" s="9"/>
      <c r="J5" s="9"/>
      <c r="K5" s="9"/>
      <c r="L5" s="9"/>
      <c r="M5" s="9"/>
      <c r="N5" s="9"/>
      <c r="O5" s="9"/>
      <c r="P5" s="9"/>
      <c r="Q5" s="9"/>
      <c r="R5" s="9"/>
      <c r="S5" s="9"/>
      <c r="T5" s="9"/>
      <c r="U5" s="9"/>
    </row>
    <row r="6" spans="2:28" ht="24" thickBot="1" x14ac:dyDescent="0.5">
      <c r="B6" s="185" t="s">
        <v>132</v>
      </c>
      <c r="C6" s="186"/>
      <c r="D6" s="186"/>
      <c r="E6" s="186"/>
      <c r="F6" s="186"/>
      <c r="G6" s="186"/>
      <c r="H6" s="186"/>
      <c r="I6" s="186"/>
      <c r="J6" s="186"/>
      <c r="K6" s="186"/>
      <c r="L6" s="186"/>
      <c r="M6" s="186"/>
      <c r="N6" s="186"/>
      <c r="O6" s="186"/>
      <c r="P6" s="186"/>
      <c r="Q6" s="186"/>
      <c r="R6" s="186"/>
      <c r="S6" s="186"/>
      <c r="T6" s="186"/>
      <c r="U6" s="187"/>
      <c r="V6" s="3"/>
      <c r="W6" s="3"/>
    </row>
    <row r="7" spans="2:28" s="8" customFormat="1" ht="18.600000000000001" thickBot="1" x14ac:dyDescent="0.4">
      <c r="B7" s="80" t="s">
        <v>1</v>
      </c>
      <c r="C7" s="81" t="s">
        <v>12</v>
      </c>
      <c r="D7" s="81" t="s">
        <v>3</v>
      </c>
      <c r="E7" s="81" t="s">
        <v>151</v>
      </c>
      <c r="F7" s="82" t="s">
        <v>35</v>
      </c>
      <c r="G7" s="81">
        <v>2015</v>
      </c>
      <c r="H7" s="81">
        <v>2016</v>
      </c>
      <c r="I7" s="81">
        <v>2017</v>
      </c>
      <c r="J7" s="81">
        <v>2018</v>
      </c>
      <c r="K7" s="81">
        <v>2019</v>
      </c>
      <c r="L7" s="81">
        <v>2020</v>
      </c>
      <c r="M7" s="81">
        <v>2021</v>
      </c>
      <c r="N7" s="81">
        <v>2022</v>
      </c>
      <c r="O7" s="81">
        <v>2023</v>
      </c>
      <c r="P7" s="81">
        <v>2024</v>
      </c>
      <c r="Q7" s="81">
        <v>2025</v>
      </c>
      <c r="R7" s="81">
        <v>2026</v>
      </c>
      <c r="S7" s="81">
        <v>2027</v>
      </c>
      <c r="T7" s="81">
        <v>2028</v>
      </c>
      <c r="U7" s="83">
        <v>2029</v>
      </c>
      <c r="V7" s="23"/>
      <c r="W7" s="23"/>
      <c r="Y7"/>
      <c r="AA7" s="14"/>
      <c r="AB7" s="14"/>
    </row>
    <row r="8" spans="2:28" s="8" customFormat="1" ht="18" x14ac:dyDescent="0.35">
      <c r="B8" s="84" t="s">
        <v>36</v>
      </c>
      <c r="C8" s="85"/>
      <c r="D8" s="85"/>
      <c r="E8" s="85"/>
      <c r="F8" s="85"/>
      <c r="G8" s="181" t="s">
        <v>152</v>
      </c>
      <c r="H8" s="181"/>
      <c r="I8" s="181"/>
      <c r="J8" s="181"/>
      <c r="K8" s="181"/>
      <c r="L8" s="181"/>
      <c r="M8" s="181"/>
      <c r="N8" s="181"/>
      <c r="O8" s="181"/>
      <c r="P8" s="181"/>
      <c r="Q8" s="181"/>
      <c r="R8" s="181"/>
      <c r="S8" s="181"/>
      <c r="T8" s="181"/>
      <c r="U8" s="182"/>
      <c r="V8" s="23"/>
      <c r="W8" s="23"/>
      <c r="AA8" s="14"/>
      <c r="AB8" s="14"/>
    </row>
    <row r="9" spans="2:28" ht="14.4" customHeight="1" x14ac:dyDescent="0.3">
      <c r="B9" s="86" t="str">
        <f>VLOOKUP($C$1, 'Look-up'!$A$4:$D$20, 4, FALSE)</f>
        <v>Local</v>
      </c>
      <c r="C9" s="87" t="str">
        <f>VLOOKUP($C$1, 'Look-up'!$A$4:$D$20, 2, FALSE)</f>
        <v>State Financing</v>
      </c>
      <c r="D9" s="87" t="str">
        <f>VLOOKUP($C$1, 'Look-up'!$A$4:$D$20, 1, FALSE)</f>
        <v>PACE Financing</v>
      </c>
      <c r="E9" s="87" t="s">
        <v>116</v>
      </c>
      <c r="F9" s="88" t="s">
        <v>0</v>
      </c>
      <c r="G9" s="87">
        <f>'Program Analysis'!$C$21*Conservative!C$66</f>
        <v>24.746344841181916</v>
      </c>
      <c r="H9" s="87">
        <f>'Program Analysis'!$C$21*Conservative!D$66</f>
        <v>49.492689682363832</v>
      </c>
      <c r="I9" s="87">
        <f>'Program Analysis'!$C$21*Conservative!E$66</f>
        <v>74.239034523545754</v>
      </c>
      <c r="J9" s="87">
        <f>'Program Analysis'!$C$21*Conservative!F$66</f>
        <v>97.921286536556835</v>
      </c>
      <c r="K9" s="87">
        <f>'Program Analysis'!$C$21*Conservative!G$66</f>
        <v>121.60353854956794</v>
      </c>
      <c r="L9" s="87">
        <f>'Program Analysis'!$C$21*Conservative!H$66</f>
        <v>145.28579056257905</v>
      </c>
      <c r="M9" s="87">
        <f>'Program Analysis'!$C$21*Conservative!I$66</f>
        <v>168.4359961615047</v>
      </c>
      <c r="N9" s="87">
        <f>'Program Analysis'!$C$21*Conservative!J$66</f>
        <v>191.58620176043041</v>
      </c>
      <c r="O9" s="87">
        <f>'Program Analysis'!$C$21*Conservative!K$66</f>
        <v>213.74655356570881</v>
      </c>
      <c r="P9" s="87">
        <f>'Program Analysis'!$C$21*Conservative!L$66</f>
        <v>235.64088216394455</v>
      </c>
      <c r="Q9" s="87">
        <f>'Program Analysis'!$C$21*Conservative!M$66</f>
        <v>256.54535696853299</v>
      </c>
      <c r="R9" s="87">
        <f>'Program Analysis'!$C$21*Conservative!N$66</f>
        <v>277.44983177312139</v>
      </c>
      <c r="S9" s="87">
        <f>'Program Analysis'!$C$21*Conservative!O$66</f>
        <v>298.22129497418842</v>
      </c>
      <c r="T9" s="87">
        <f>'Program Analysis'!$C$21*Conservative!P$66</f>
        <v>318.99275817525552</v>
      </c>
      <c r="U9" s="89">
        <f>'Program Analysis'!$C$21*Conservative!Q$66</f>
        <v>339.76422137632255</v>
      </c>
      <c r="V9" s="25"/>
      <c r="W9" s="3"/>
      <c r="AA9" s="5"/>
      <c r="AB9" s="5"/>
    </row>
    <row r="10" spans="2:28" x14ac:dyDescent="0.3">
      <c r="B10" s="86" t="str">
        <f>B9</f>
        <v>Local</v>
      </c>
      <c r="C10" s="87" t="str">
        <f t="shared" ref="C10:D11" si="0">C9</f>
        <v>State Financing</v>
      </c>
      <c r="D10" s="87" t="str">
        <f t="shared" si="0"/>
        <v>PACE Financing</v>
      </c>
      <c r="E10" s="87" t="s">
        <v>114</v>
      </c>
      <c r="F10" s="88" t="str">
        <f t="shared" ref="F10:F11" si="1">F9</f>
        <v>GWh</v>
      </c>
      <c r="G10" s="87">
        <f>'Program Analysis'!$C$21*Reference!C$66</f>
        <v>49.492689682363832</v>
      </c>
      <c r="H10" s="87">
        <f>'Program Analysis'!$C$21*Reference!D$66</f>
        <v>98.985379364727663</v>
      </c>
      <c r="I10" s="87">
        <f>'Program Analysis'!$C$21*Reference!E$66</f>
        <v>148.47806904709151</v>
      </c>
      <c r="J10" s="87">
        <f>'Program Analysis'!$C$21*Reference!F$66</f>
        <v>195.84257307311367</v>
      </c>
      <c r="K10" s="87">
        <f>'Program Analysis'!$C$21*Reference!G$66</f>
        <v>243.20707709913589</v>
      </c>
      <c r="L10" s="87">
        <f>'Program Analysis'!$C$21*Reference!H$66</f>
        <v>290.5715811251581</v>
      </c>
      <c r="M10" s="87">
        <f>'Program Analysis'!$C$21*Reference!I$66</f>
        <v>336.87199232300941</v>
      </c>
      <c r="N10" s="87">
        <f>'Program Analysis'!$C$21*Reference!J$66</f>
        <v>383.17240352086083</v>
      </c>
      <c r="O10" s="87">
        <f>'Program Analysis'!$C$21*Reference!K$66</f>
        <v>427.49310713141762</v>
      </c>
      <c r="P10" s="87">
        <f>'Program Analysis'!$C$21*Reference!L$66</f>
        <v>471.28176432788911</v>
      </c>
      <c r="Q10" s="87">
        <f>'Program Analysis'!$C$21*Reference!M$66</f>
        <v>513.09071393706597</v>
      </c>
      <c r="R10" s="87">
        <f>'Program Analysis'!$C$21*Reference!N$66</f>
        <v>554.89966354624278</v>
      </c>
      <c r="S10" s="87">
        <f>'Program Analysis'!$C$21*Reference!O$66</f>
        <v>596.44258994837685</v>
      </c>
      <c r="T10" s="87">
        <f>'Program Analysis'!$C$21*Reference!P$66</f>
        <v>637.98551635051103</v>
      </c>
      <c r="U10" s="89">
        <f>'Program Analysis'!$C$21*Reference!Q$66</f>
        <v>679.52844275264511</v>
      </c>
      <c r="V10" s="3"/>
      <c r="W10" s="3"/>
    </row>
    <row r="11" spans="2:28" x14ac:dyDescent="0.3">
      <c r="B11" s="86" t="str">
        <f t="shared" ref="B11" si="2">B10</f>
        <v>Local</v>
      </c>
      <c r="C11" s="87" t="str">
        <f t="shared" si="0"/>
        <v>State Financing</v>
      </c>
      <c r="D11" s="87" t="str">
        <f t="shared" si="0"/>
        <v>PACE Financing</v>
      </c>
      <c r="E11" s="87" t="s">
        <v>153</v>
      </c>
      <c r="F11" s="88" t="str">
        <f t="shared" si="1"/>
        <v>GWh</v>
      </c>
      <c r="G11" s="87">
        <f>'Program Analysis'!$C$21*Aggressive!C$66</f>
        <v>49.492689682363832</v>
      </c>
      <c r="H11" s="87">
        <f>'Program Analysis'!$C$21*Aggressive!D$66</f>
        <v>98.985379364727663</v>
      </c>
      <c r="I11" s="87">
        <f>'Program Analysis'!$C$21*Aggressive!E$66</f>
        <v>148.47806904709151</v>
      </c>
      <c r="J11" s="87">
        <f>'Program Analysis'!$C$21*Aggressive!F$66</f>
        <v>204.38572964677641</v>
      </c>
      <c r="K11" s="87">
        <f>'Program Analysis'!$C$21*Aggressive!G$66</f>
        <v>268.83654682012764</v>
      </c>
      <c r="L11" s="87">
        <f>'Program Analysis'!$C$21*Aggressive!H$66</f>
        <v>341.83052056714172</v>
      </c>
      <c r="M11" s="87">
        <f>'Program Analysis'!$C$21*Aggressive!I$66</f>
        <v>421.93620232698368</v>
      </c>
      <c r="N11" s="87">
        <f>'Program Analysis'!$C$21*Aggressive!J$66</f>
        <v>510.21768492782081</v>
      </c>
      <c r="O11" s="87">
        <f>'Program Analysis'!$C$21*Aggressive!K$66</f>
        <v>604.6952607823622</v>
      </c>
      <c r="P11" s="87">
        <f>'Program Analysis'!$C$21*Aggressive!L$66</f>
        <v>706.63291319747952</v>
      </c>
      <c r="Q11" s="87">
        <f>'Program Analysis'!$C$21*Aggressive!M$66</f>
        <v>814.58298099996716</v>
      </c>
      <c r="R11" s="87">
        <f>'Program Analysis'!$C$21*Aggressive!N$66</f>
        <v>930.18344551416976</v>
      </c>
      <c r="S11" s="87">
        <f>'Program Analysis'!$C$21*Aggressive!O$66</f>
        <v>1053.0764445998811</v>
      </c>
      <c r="T11" s="87">
        <f>'Program Analysis'!$C$21*Aggressive!P$66</f>
        <v>1183.1862752011939</v>
      </c>
      <c r="U11" s="89">
        <f>'Program Analysis'!$C$21*Aggressive!Q$66</f>
        <v>1320.5129373181112</v>
      </c>
      <c r="V11" s="3"/>
      <c r="W11" s="3"/>
    </row>
    <row r="12" spans="2:28" x14ac:dyDescent="0.3">
      <c r="B12" s="86"/>
      <c r="C12" s="87"/>
      <c r="D12" s="87"/>
      <c r="E12" s="87"/>
      <c r="F12" s="88"/>
      <c r="G12" s="87"/>
      <c r="H12" s="87"/>
      <c r="I12" s="87"/>
      <c r="J12" s="87"/>
      <c r="K12" s="87"/>
      <c r="L12" s="87"/>
      <c r="M12" s="87"/>
      <c r="N12" s="87"/>
      <c r="O12" s="87"/>
      <c r="P12" s="87"/>
      <c r="Q12" s="87"/>
      <c r="R12" s="87"/>
      <c r="S12" s="87"/>
      <c r="T12" s="87"/>
      <c r="U12" s="89"/>
      <c r="V12" s="3"/>
      <c r="W12" s="3"/>
    </row>
    <row r="13" spans="2:28" s="8" customFormat="1" ht="18" x14ac:dyDescent="0.35">
      <c r="B13" s="90" t="s">
        <v>37</v>
      </c>
      <c r="C13" s="91"/>
      <c r="D13" s="91"/>
      <c r="E13" s="91"/>
      <c r="F13" s="92"/>
      <c r="G13" s="183" t="s">
        <v>154</v>
      </c>
      <c r="H13" s="183"/>
      <c r="I13" s="183"/>
      <c r="J13" s="183"/>
      <c r="K13" s="183"/>
      <c r="L13" s="183"/>
      <c r="M13" s="183"/>
      <c r="N13" s="183"/>
      <c r="O13" s="183"/>
      <c r="P13" s="183"/>
      <c r="Q13" s="183"/>
      <c r="R13" s="183"/>
      <c r="S13" s="183"/>
      <c r="T13" s="183"/>
      <c r="U13" s="184"/>
      <c r="V13" s="23"/>
      <c r="W13" s="23"/>
      <c r="AA13" s="14"/>
      <c r="AB13" s="14"/>
    </row>
    <row r="14" spans="2:28" ht="14.4" customHeight="1" x14ac:dyDescent="0.3">
      <c r="B14" s="86" t="str">
        <f>B9</f>
        <v>Local</v>
      </c>
      <c r="C14" s="87" t="str">
        <f t="shared" ref="C14:E14" si="3">C9</f>
        <v>State Financing</v>
      </c>
      <c r="D14" s="87" t="str">
        <f t="shared" si="3"/>
        <v>PACE Financing</v>
      </c>
      <c r="E14" s="87" t="str">
        <f t="shared" si="3"/>
        <v>Conservative</v>
      </c>
      <c r="F14" s="88" t="s">
        <v>4</v>
      </c>
      <c r="G14" s="87">
        <f>'Program Analysis'!$C$21*Conservative!C$91</f>
        <v>3.7866668968539956E-2</v>
      </c>
      <c r="H14" s="87">
        <f>'Program Analysis'!$C$21*Conservative!D$91</f>
        <v>7.5733337937079911E-2</v>
      </c>
      <c r="I14" s="87">
        <f>'Program Analysis'!$C$21*Conservative!E$91</f>
        <v>0.11360000690561987</v>
      </c>
      <c r="J14" s="87">
        <f>'Program Analysis'!$C$21*Conservative!F$91</f>
        <v>0.14983840910851262</v>
      </c>
      <c r="K14" s="87">
        <f>'Program Analysis'!$C$21*Conservative!G$91</f>
        <v>0.18607681131140535</v>
      </c>
      <c r="L14" s="87">
        <f>'Program Analysis'!$C$21*Conservative!H$91</f>
        <v>0.22231521351429806</v>
      </c>
      <c r="M14" s="87">
        <f>'Program Analysis'!$C$21*Conservative!I$91</f>
        <v>0.25773948233436722</v>
      </c>
      <c r="N14" s="87">
        <f>'Program Analysis'!$C$21*Conservative!J$91</f>
        <v>0.29316375115443633</v>
      </c>
      <c r="O14" s="87">
        <f>'Program Analysis'!$C$21*Conservative!K$91</f>
        <v>0.32707335321576386</v>
      </c>
      <c r="P14" s="87">
        <f>'Program Analysis'!$C$21*Conservative!L$91</f>
        <v>0.36057588858567963</v>
      </c>
      <c r="Q14" s="87">
        <f>'Program Analysis'!$C$21*Conservative!M$91</f>
        <v>0.39256375719685371</v>
      </c>
      <c r="R14" s="87">
        <f>'Program Analysis'!$C$21*Conservative!N$91</f>
        <v>0.42455162580802785</v>
      </c>
      <c r="S14" s="87">
        <f>'Program Analysis'!$C$21*Conservative!O$91</f>
        <v>0.45633596107349605</v>
      </c>
      <c r="T14" s="87">
        <f>'Program Analysis'!$C$21*Conservative!P$91</f>
        <v>0.48812029633896425</v>
      </c>
      <c r="U14" s="89">
        <f>'Program Analysis'!$C$21*Conservative!Q$91</f>
        <v>0.51990463160443245</v>
      </c>
      <c r="V14" s="25"/>
      <c r="W14" s="3"/>
      <c r="AA14" s="5"/>
      <c r="AB14" s="5"/>
    </row>
    <row r="15" spans="2:28" x14ac:dyDescent="0.3">
      <c r="B15" s="93" t="str">
        <f t="shared" ref="B15:E16" si="4">B10</f>
        <v>Local</v>
      </c>
      <c r="C15" s="87" t="str">
        <f t="shared" si="4"/>
        <v>State Financing</v>
      </c>
      <c r="D15" s="87" t="str">
        <f t="shared" si="4"/>
        <v>PACE Financing</v>
      </c>
      <c r="E15" s="87" t="str">
        <f t="shared" si="4"/>
        <v>Reference</v>
      </c>
      <c r="F15" s="88" t="str">
        <f t="shared" ref="F15:F16" si="5">F14</f>
        <v>MM Therms</v>
      </c>
      <c r="G15" s="87">
        <f>'Program Analysis'!$C$21*Reference!C$91</f>
        <v>7.5733337937079911E-2</v>
      </c>
      <c r="H15" s="87">
        <f>'Program Analysis'!$C$21*Reference!D$91</f>
        <v>0.15146667587415982</v>
      </c>
      <c r="I15" s="87">
        <f>'Program Analysis'!$C$21*Reference!E$91</f>
        <v>0.22720001381123975</v>
      </c>
      <c r="J15" s="87">
        <f>'Program Analysis'!$C$21*Reference!F$91</f>
        <v>0.29967681821702524</v>
      </c>
      <c r="K15" s="87">
        <f>'Program Analysis'!$C$21*Reference!G$91</f>
        <v>0.37215362262281071</v>
      </c>
      <c r="L15" s="87">
        <f>'Program Analysis'!$C$21*Reference!H$91</f>
        <v>0.44463042702859612</v>
      </c>
      <c r="M15" s="87">
        <f>'Program Analysis'!$C$21*Reference!I$91</f>
        <v>0.51547896466873444</v>
      </c>
      <c r="N15" s="87">
        <f>'Program Analysis'!$C$21*Reference!J$91</f>
        <v>0.58632750230887265</v>
      </c>
      <c r="O15" s="87">
        <f>'Program Analysis'!$C$21*Reference!K$91</f>
        <v>0.65414670643152772</v>
      </c>
      <c r="P15" s="87">
        <f>'Program Analysis'!$C$21*Reference!L$91</f>
        <v>0.72115177717135925</v>
      </c>
      <c r="Q15" s="87">
        <f>'Program Analysis'!$C$21*Reference!M$91</f>
        <v>0.78512751439370743</v>
      </c>
      <c r="R15" s="87">
        <f>'Program Analysis'!$C$21*Reference!N$91</f>
        <v>0.84910325161605571</v>
      </c>
      <c r="S15" s="87">
        <f>'Program Analysis'!$C$21*Reference!O$91</f>
        <v>0.91267192214699211</v>
      </c>
      <c r="T15" s="87">
        <f>'Program Analysis'!$C$21*Reference!P$91</f>
        <v>0.97624059267792851</v>
      </c>
      <c r="U15" s="89">
        <f>'Program Analysis'!$C$21*Reference!Q$91</f>
        <v>1.0398092632088649</v>
      </c>
      <c r="V15" s="3"/>
      <c r="W15" s="3"/>
    </row>
    <row r="16" spans="2:28" ht="15" thickBot="1" x14ac:dyDescent="0.35">
      <c r="B16" s="94" t="str">
        <f t="shared" si="4"/>
        <v>Local</v>
      </c>
      <c r="C16" s="95" t="str">
        <f t="shared" si="4"/>
        <v>State Financing</v>
      </c>
      <c r="D16" s="95" t="str">
        <f t="shared" si="4"/>
        <v>PACE Financing</v>
      </c>
      <c r="E16" s="95" t="str">
        <f t="shared" si="4"/>
        <v>Aggressive</v>
      </c>
      <c r="F16" s="96" t="str">
        <f t="shared" si="5"/>
        <v>MM Therms</v>
      </c>
      <c r="G16" s="95">
        <f>'Program Analysis'!$C$21*Aggressive!C$91</f>
        <v>7.5733337937079911E-2</v>
      </c>
      <c r="H16" s="95">
        <f>'Program Analysis'!$C$21*Aggressive!D$91</f>
        <v>0.15146667587415982</v>
      </c>
      <c r="I16" s="95">
        <f>'Program Analysis'!$C$21*Aggressive!E$91</f>
        <v>0.22720001381123975</v>
      </c>
      <c r="J16" s="95">
        <f>'Program Analysis'!$C$21*Aggressive!F$91</f>
        <v>0.3127494915349423</v>
      </c>
      <c r="K16" s="95">
        <f>'Program Analysis'!$C$21*Aggressive!G$91</f>
        <v>0.41137164257656733</v>
      </c>
      <c r="L16" s="95">
        <f>'Program Analysis'!$C$21*Aggressive!H$91</f>
        <v>0.52306646693610925</v>
      </c>
      <c r="M16" s="95">
        <f>'Program Analysis'!$C$21*Aggressive!I$91</f>
        <v>0.64564357289525642</v>
      </c>
      <c r="N16" s="95">
        <f>'Program Analysis'!$C$21*Aggressive!J$91</f>
        <v>0.78073122721964971</v>
      </c>
      <c r="O16" s="95">
        <f>'Program Analysis'!$C$21*Aggressive!K$91</f>
        <v>0.9253000963918121</v>
      </c>
      <c r="P16" s="95">
        <f>'Program Analysis'!$C$21*Aggressive!L$91</f>
        <v>1.0812843180700618</v>
      </c>
      <c r="Q16" s="95">
        <f>'Program Analysis'!$C$21*Aggressive!M$91</f>
        <v>1.2464686921197452</v>
      </c>
      <c r="R16" s="95">
        <f>'Program Analysis'!$C$21*Aggressive!N$91</f>
        <v>1.4233596451256232</v>
      </c>
      <c r="S16" s="95">
        <f>'Program Analysis'!$C$21*Aggressive!O$91</f>
        <v>1.6114095791581211</v>
      </c>
      <c r="T16" s="95">
        <f>'Program Analysis'!$C$21*Aggressive!P$91</f>
        <v>1.8105026539759295</v>
      </c>
      <c r="U16" s="97">
        <f>'Program Analysis'!$C$21*Aggressive!Q$91</f>
        <v>2.0206388695790536</v>
      </c>
      <c r="V16" s="3"/>
      <c r="W16" s="3"/>
    </row>
    <row r="17" spans="2:28" x14ac:dyDescent="0.3">
      <c r="B17" s="98"/>
      <c r="C17" s="98"/>
      <c r="D17" s="98"/>
      <c r="E17" s="98"/>
      <c r="F17" s="98"/>
      <c r="G17" s="98"/>
      <c r="H17" s="98"/>
      <c r="I17" s="98"/>
      <c r="J17" s="98"/>
      <c r="K17" s="98"/>
      <c r="L17" s="98"/>
      <c r="M17" s="98"/>
      <c r="N17" s="98"/>
      <c r="O17" s="98"/>
      <c r="P17" s="98"/>
      <c r="Q17" s="98"/>
      <c r="R17" s="98"/>
      <c r="S17" s="98"/>
      <c r="T17" s="98"/>
      <c r="U17" s="98"/>
      <c r="V17" s="3"/>
      <c r="W17" s="3"/>
    </row>
    <row r="18" spans="2:28" x14ac:dyDescent="0.3">
      <c r="B18" s="98"/>
      <c r="C18" s="98"/>
      <c r="D18" s="98"/>
      <c r="E18" s="98"/>
      <c r="F18" s="98"/>
      <c r="G18" s="98"/>
      <c r="H18" s="98"/>
      <c r="I18" s="98"/>
      <c r="J18" s="98"/>
      <c r="K18" s="98"/>
      <c r="L18" s="98"/>
      <c r="M18" s="98"/>
      <c r="N18" s="98"/>
      <c r="O18" s="98"/>
      <c r="P18" s="98"/>
      <c r="Q18" s="98"/>
      <c r="R18" s="98"/>
      <c r="S18" s="98"/>
      <c r="T18" s="98"/>
      <c r="U18" s="98"/>
      <c r="V18" s="3"/>
      <c r="W18" s="3"/>
    </row>
    <row r="19" spans="2:28" ht="15" thickBot="1" x14ac:dyDescent="0.35">
      <c r="B19" s="98"/>
      <c r="C19" s="98"/>
      <c r="D19" s="98"/>
      <c r="E19" s="98"/>
      <c r="F19" s="98"/>
      <c r="G19" s="98"/>
      <c r="H19" s="98"/>
      <c r="I19" s="98"/>
      <c r="J19" s="98"/>
      <c r="K19" s="98"/>
      <c r="L19" s="98"/>
      <c r="M19" s="98"/>
      <c r="N19" s="98"/>
      <c r="O19" s="98"/>
      <c r="P19" s="98"/>
      <c r="Q19" s="98"/>
      <c r="R19" s="98"/>
      <c r="S19" s="98"/>
      <c r="T19" s="98"/>
      <c r="U19" s="98"/>
      <c r="V19" s="3"/>
      <c r="W19" s="3"/>
    </row>
    <row r="20" spans="2:28" ht="24" thickBot="1" x14ac:dyDescent="0.5">
      <c r="B20" s="188" t="s">
        <v>155</v>
      </c>
      <c r="C20" s="189"/>
      <c r="D20" s="189"/>
      <c r="E20" s="189"/>
      <c r="F20" s="189"/>
      <c r="G20" s="189"/>
      <c r="H20" s="189"/>
      <c r="I20" s="189"/>
      <c r="J20" s="189"/>
      <c r="K20" s="189"/>
      <c r="L20" s="189"/>
      <c r="M20" s="189"/>
      <c r="N20" s="189"/>
      <c r="O20" s="189"/>
      <c r="P20" s="189"/>
      <c r="Q20" s="189"/>
      <c r="R20" s="189"/>
      <c r="S20" s="189"/>
      <c r="T20" s="189"/>
      <c r="U20" s="190"/>
      <c r="V20" s="3"/>
      <c r="W20" s="3"/>
    </row>
    <row r="21" spans="2:28" s="8" customFormat="1" ht="18.600000000000001" thickBot="1" x14ac:dyDescent="0.4">
      <c r="B21" s="99" t="s">
        <v>1</v>
      </c>
      <c r="C21" s="100" t="s">
        <v>12</v>
      </c>
      <c r="D21" s="100" t="s">
        <v>3</v>
      </c>
      <c r="E21" s="100" t="s">
        <v>151</v>
      </c>
      <c r="F21" s="101" t="s">
        <v>35</v>
      </c>
      <c r="G21" s="102">
        <v>2015</v>
      </c>
      <c r="H21" s="102">
        <v>2016</v>
      </c>
      <c r="I21" s="102">
        <v>2017</v>
      </c>
      <c r="J21" s="102">
        <v>2018</v>
      </c>
      <c r="K21" s="102">
        <v>2019</v>
      </c>
      <c r="L21" s="102">
        <v>2020</v>
      </c>
      <c r="M21" s="102">
        <v>2021</v>
      </c>
      <c r="N21" s="102">
        <v>2022</v>
      </c>
      <c r="O21" s="102">
        <v>2023</v>
      </c>
      <c r="P21" s="102">
        <v>2024</v>
      </c>
      <c r="Q21" s="102">
        <v>2025</v>
      </c>
      <c r="R21" s="102">
        <v>2026</v>
      </c>
      <c r="S21" s="102">
        <v>2027</v>
      </c>
      <c r="T21" s="102">
        <v>2028</v>
      </c>
      <c r="U21" s="103">
        <v>2029</v>
      </c>
      <c r="V21" s="23"/>
      <c r="W21" s="23"/>
      <c r="Y21"/>
      <c r="AA21" s="14"/>
      <c r="AB21" s="14"/>
    </row>
    <row r="22" spans="2:28" s="8" customFormat="1" ht="18" x14ac:dyDescent="0.35">
      <c r="B22" s="84" t="s">
        <v>36</v>
      </c>
      <c r="C22" s="85"/>
      <c r="D22" s="85"/>
      <c r="E22" s="85"/>
      <c r="F22" s="85"/>
      <c r="G22" s="181" t="s">
        <v>152</v>
      </c>
      <c r="H22" s="181"/>
      <c r="I22" s="181"/>
      <c r="J22" s="181"/>
      <c r="K22" s="181"/>
      <c r="L22" s="181"/>
      <c r="M22" s="181"/>
      <c r="N22" s="181"/>
      <c r="O22" s="181"/>
      <c r="P22" s="181"/>
      <c r="Q22" s="181"/>
      <c r="R22" s="181"/>
      <c r="S22" s="181"/>
      <c r="T22" s="181"/>
      <c r="U22" s="182"/>
      <c r="V22" s="23"/>
      <c r="W22" s="23"/>
      <c r="AA22" s="14"/>
      <c r="AB22" s="14"/>
    </row>
    <row r="23" spans="2:28" ht="14.4" customHeight="1" x14ac:dyDescent="0.3">
      <c r="B23" s="86" t="str">
        <f>B9</f>
        <v>Local</v>
      </c>
      <c r="C23" s="87" t="str">
        <f t="shared" ref="C23:D23" si="6">C9</f>
        <v>State Financing</v>
      </c>
      <c r="D23" s="87" t="str">
        <f t="shared" si="6"/>
        <v>PACE Financing</v>
      </c>
      <c r="E23" s="87" t="s">
        <v>116</v>
      </c>
      <c r="F23" s="88" t="s">
        <v>0</v>
      </c>
      <c r="G23" s="87">
        <f>'Program Analysis'!$C$20*Conservative!C$66</f>
        <v>240.95125240098182</v>
      </c>
      <c r="H23" s="87">
        <f>'Program Analysis'!$C$20*Conservative!D$66</f>
        <v>481.90250480196363</v>
      </c>
      <c r="I23" s="87">
        <f>'Program Analysis'!$C$20*Conservative!E$66</f>
        <v>722.85375720294542</v>
      </c>
      <c r="J23" s="87">
        <f>'Program Analysis'!$C$20*Conservative!F$66</f>
        <v>953.44410575068491</v>
      </c>
      <c r="K23" s="87">
        <f>'Program Analysis'!$C$20*Conservative!G$66</f>
        <v>1184.0344542984246</v>
      </c>
      <c r="L23" s="87">
        <f>'Program Analysis'!$C$20*Conservative!H$66</f>
        <v>1414.6248028461644</v>
      </c>
      <c r="M23" s="87">
        <f>'Program Analysis'!$C$20*Conservative!I$66</f>
        <v>1640.0346994672825</v>
      </c>
      <c r="N23" s="87">
        <f>'Program Analysis'!$C$20*Conservative!J$66</f>
        <v>1865.4445960884013</v>
      </c>
      <c r="O23" s="87">
        <f>'Program Analysis'!$C$20*Conservative!K$66</f>
        <v>2081.2164426134805</v>
      </c>
      <c r="P23" s="87">
        <f>'Program Analysis'!$C$20*Conservative!L$66</f>
        <v>2294.3980631752493</v>
      </c>
      <c r="Q23" s="87">
        <f>'Program Analysis'!$C$20*Conservative!M$66</f>
        <v>2497.941633640979</v>
      </c>
      <c r="R23" s="87">
        <f>'Program Analysis'!$C$20*Conservative!N$66</f>
        <v>2701.4852041067084</v>
      </c>
      <c r="S23" s="87">
        <f>'Program Analysis'!$C$20*Conservative!O$66</f>
        <v>2903.733661590782</v>
      </c>
      <c r="T23" s="87">
        <f>'Program Analysis'!$C$20*Conservative!P$66</f>
        <v>3105.9821190748562</v>
      </c>
      <c r="U23" s="89">
        <f>'Program Analysis'!$C$20*Conservative!Q$66</f>
        <v>3308.2305765589299</v>
      </c>
      <c r="V23" s="25"/>
      <c r="W23" s="3"/>
      <c r="AA23" s="5"/>
      <c r="AB23" s="5"/>
    </row>
    <row r="24" spans="2:28" x14ac:dyDescent="0.3">
      <c r="B24" s="86" t="str">
        <f>B23</f>
        <v>Local</v>
      </c>
      <c r="C24" s="87" t="str">
        <f t="shared" ref="C24:D25" si="7">C23</f>
        <v>State Financing</v>
      </c>
      <c r="D24" s="87" t="str">
        <f t="shared" si="7"/>
        <v>PACE Financing</v>
      </c>
      <c r="E24" s="87" t="s">
        <v>114</v>
      </c>
      <c r="F24" s="88" t="str">
        <f t="shared" ref="F24:F25" si="8">F23</f>
        <v>GWh</v>
      </c>
      <c r="G24" s="87">
        <f>'Program Analysis'!$C$20*Reference!C$66</f>
        <v>481.90250480196363</v>
      </c>
      <c r="H24" s="87">
        <f>'Program Analysis'!$C$20*Reference!D$66</f>
        <v>963.80500960392726</v>
      </c>
      <c r="I24" s="87">
        <f>'Program Analysis'!$C$20*Reference!E$66</f>
        <v>1445.7075144058908</v>
      </c>
      <c r="J24" s="87">
        <f>'Program Analysis'!$C$20*Reference!F$66</f>
        <v>1906.8882115013698</v>
      </c>
      <c r="K24" s="87">
        <f>'Program Analysis'!$C$20*Reference!G$66</f>
        <v>2368.0689085968493</v>
      </c>
      <c r="L24" s="87">
        <f>'Program Analysis'!$C$20*Reference!H$66</f>
        <v>2829.2496056923287</v>
      </c>
      <c r="M24" s="87">
        <f>'Program Analysis'!$C$20*Reference!I$66</f>
        <v>3280.069398934565</v>
      </c>
      <c r="N24" s="87">
        <f>'Program Analysis'!$C$20*Reference!J$66</f>
        <v>3730.8891921768027</v>
      </c>
      <c r="O24" s="87">
        <f>'Program Analysis'!$C$20*Reference!K$66</f>
        <v>4162.4328852269609</v>
      </c>
      <c r="P24" s="87">
        <f>'Program Analysis'!$C$20*Reference!L$66</f>
        <v>4588.7961263504985</v>
      </c>
      <c r="Q24" s="87">
        <f>'Program Analysis'!$C$20*Reference!M$66</f>
        <v>4995.8832672819581</v>
      </c>
      <c r="R24" s="87">
        <f>'Program Analysis'!$C$20*Reference!N$66</f>
        <v>5402.9704082134167</v>
      </c>
      <c r="S24" s="87">
        <f>'Program Analysis'!$C$20*Reference!O$66</f>
        <v>5807.4673231815641</v>
      </c>
      <c r="T24" s="87">
        <f>'Program Analysis'!$C$20*Reference!P$66</f>
        <v>6211.9642381497124</v>
      </c>
      <c r="U24" s="89">
        <f>'Program Analysis'!$C$20*Reference!Q$66</f>
        <v>6616.4611531178598</v>
      </c>
      <c r="V24" s="3"/>
      <c r="W24" s="3"/>
    </row>
    <row r="25" spans="2:28" x14ac:dyDescent="0.3">
      <c r="B25" s="86" t="str">
        <f t="shared" ref="B25" si="9">B24</f>
        <v>Local</v>
      </c>
      <c r="C25" s="87" t="str">
        <f t="shared" si="7"/>
        <v>State Financing</v>
      </c>
      <c r="D25" s="87" t="str">
        <f t="shared" si="7"/>
        <v>PACE Financing</v>
      </c>
      <c r="E25" s="87" t="s">
        <v>153</v>
      </c>
      <c r="F25" s="88" t="str">
        <f t="shared" si="8"/>
        <v>GWh</v>
      </c>
      <c r="G25" s="87">
        <f>'Program Analysis'!$C$20*Aggressive!C$66</f>
        <v>481.90250480196363</v>
      </c>
      <c r="H25" s="87">
        <f>'Program Analysis'!$C$20*Aggressive!D$66</f>
        <v>963.80500960392726</v>
      </c>
      <c r="I25" s="87">
        <f>'Program Analysis'!$C$20*Aggressive!E$66</f>
        <v>1445.7075144058908</v>
      </c>
      <c r="J25" s="87">
        <f>'Program Analysis'!$C$20*Aggressive!F$66</f>
        <v>1990.0715781396652</v>
      </c>
      <c r="K25" s="87">
        <f>'Program Analysis'!$C$20*Aggressive!G$66</f>
        <v>2617.6190085117692</v>
      </c>
      <c r="L25" s="87">
        <f>'Program Analysis'!$C$20*Aggressive!H$66</f>
        <v>3328.3498055221689</v>
      </c>
      <c r="M25" s="87">
        <f>'Program Analysis'!$C$20*Aggressive!I$66</f>
        <v>4108.3261805522097</v>
      </c>
      <c r="N25" s="87">
        <f>'Program Analysis'!$C$20*Aggressive!J$66</f>
        <v>4967.9090374550969</v>
      </c>
      <c r="O25" s="87">
        <f>'Program Analysis'!$C$20*Aggressive!K$66</f>
        <v>5887.8222760387898</v>
      </c>
      <c r="P25" s="87">
        <f>'Program Analysis'!$C$20*Aggressive!L$66</f>
        <v>6880.373102185984</v>
      </c>
      <c r="Q25" s="87">
        <f>'Program Analysis'!$C$20*Aggressive!M$66</f>
        <v>7931.4658676312592</v>
      </c>
      <c r="R25" s="87">
        <f>'Program Analysis'!$C$20*Aggressive!N$66</f>
        <v>9057.0493379011259</v>
      </c>
      <c r="S25" s="87">
        <f>'Program Analysis'!$C$20*Aggressive!O$66</f>
        <v>10253.639065840947</v>
      </c>
      <c r="T25" s="87">
        <f>'Program Analysis'!$C$20*Aggressive!P$66</f>
        <v>11520.497942748467</v>
      </c>
      <c r="U25" s="89">
        <f>'Program Analysis'!$C$20*Aggressive!Q$66</f>
        <v>12857.625968623714</v>
      </c>
      <c r="V25" s="3"/>
      <c r="W25" s="3"/>
    </row>
    <row r="26" spans="2:28" x14ac:dyDescent="0.3">
      <c r="B26" s="86"/>
      <c r="C26" s="87"/>
      <c r="D26" s="87"/>
      <c r="E26" s="87"/>
      <c r="F26" s="88"/>
      <c r="G26" s="87"/>
      <c r="H26" s="87"/>
      <c r="I26" s="87"/>
      <c r="J26" s="87"/>
      <c r="K26" s="87"/>
      <c r="L26" s="87"/>
      <c r="M26" s="87"/>
      <c r="N26" s="87"/>
      <c r="O26" s="87"/>
      <c r="P26" s="87"/>
      <c r="Q26" s="87"/>
      <c r="R26" s="87"/>
      <c r="S26" s="87"/>
      <c r="T26" s="87"/>
      <c r="U26" s="89"/>
      <c r="V26" s="3"/>
      <c r="W26" s="3"/>
    </row>
    <row r="27" spans="2:28" s="8" customFormat="1" ht="18" x14ac:dyDescent="0.35">
      <c r="B27" s="90" t="s">
        <v>37</v>
      </c>
      <c r="C27" s="91"/>
      <c r="D27" s="91"/>
      <c r="E27" s="91"/>
      <c r="F27" s="92"/>
      <c r="G27" s="183" t="s">
        <v>154</v>
      </c>
      <c r="H27" s="183"/>
      <c r="I27" s="183"/>
      <c r="J27" s="183"/>
      <c r="K27" s="183"/>
      <c r="L27" s="183"/>
      <c r="M27" s="183"/>
      <c r="N27" s="183"/>
      <c r="O27" s="183"/>
      <c r="P27" s="183"/>
      <c r="Q27" s="183"/>
      <c r="R27" s="183"/>
      <c r="S27" s="183"/>
      <c r="T27" s="183"/>
      <c r="U27" s="184"/>
      <c r="V27" s="23"/>
      <c r="W27" s="23"/>
      <c r="AA27" s="14"/>
      <c r="AB27" s="14"/>
    </row>
    <row r="28" spans="2:28" ht="14.4" customHeight="1" x14ac:dyDescent="0.3">
      <c r="B28" s="86" t="str">
        <f>B23</f>
        <v>Local</v>
      </c>
      <c r="C28" s="87" t="str">
        <f t="shared" ref="C28:E28" si="10">C23</f>
        <v>State Financing</v>
      </c>
      <c r="D28" s="87" t="str">
        <f t="shared" si="10"/>
        <v>PACE Financing</v>
      </c>
      <c r="E28" s="87" t="str">
        <f t="shared" si="10"/>
        <v>Conservative</v>
      </c>
      <c r="F28" s="88" t="s">
        <v>4</v>
      </c>
      <c r="G28" s="87">
        <f>'Program Analysis'!$C$20*Conservative!C$91</f>
        <v>0.36870177679894167</v>
      </c>
      <c r="H28" s="87">
        <f>'Program Analysis'!$C$20*Conservative!D$91</f>
        <v>0.73740355359788334</v>
      </c>
      <c r="I28" s="87">
        <f>'Program Analysis'!$C$20*Conservative!E$91</f>
        <v>1.1061053303968251</v>
      </c>
      <c r="J28" s="87">
        <f>'Program Analysis'!$C$20*Conservative!F$91</f>
        <v>1.4589529307934124</v>
      </c>
      <c r="K28" s="87">
        <f>'Program Analysis'!$C$20*Conservative!G$91</f>
        <v>1.8118005311899994</v>
      </c>
      <c r="L28" s="87">
        <f>'Program Analysis'!$C$20*Conservative!H$91</f>
        <v>2.1646481315865862</v>
      </c>
      <c r="M28" s="87">
        <f>'Program Analysis'!$C$20*Conservative!I$91</f>
        <v>2.5095686437819968</v>
      </c>
      <c r="N28" s="87">
        <f>'Program Analysis'!$C$20*Conservative!J$91</f>
        <v>2.8544891559774066</v>
      </c>
      <c r="O28" s="87">
        <f>'Program Analysis'!$C$20*Conservative!K$91</f>
        <v>3.1846615971008587</v>
      </c>
      <c r="P28" s="87">
        <f>'Program Analysis'!$C$20*Conservative!L$91</f>
        <v>3.5108704941237225</v>
      </c>
      <c r="Q28" s="87">
        <f>'Program Analysis'!$C$20*Conservative!M$91</f>
        <v>3.8223313200746283</v>
      </c>
      <c r="R28" s="87">
        <f>'Program Analysis'!$C$20*Conservative!N$91</f>
        <v>4.1337921460255345</v>
      </c>
      <c r="S28" s="87">
        <f>'Program Analysis'!$C$20*Conservative!O$91</f>
        <v>4.4432711999261461</v>
      </c>
      <c r="T28" s="87">
        <f>'Program Analysis'!$C$20*Conservative!P$91</f>
        <v>4.7527502538267568</v>
      </c>
      <c r="U28" s="89">
        <f>'Program Analysis'!$C$20*Conservative!Q$91</f>
        <v>5.0622293077273692</v>
      </c>
      <c r="V28" s="25"/>
      <c r="W28" s="3"/>
      <c r="AA28" s="5"/>
      <c r="AB28" s="5"/>
    </row>
    <row r="29" spans="2:28" x14ac:dyDescent="0.3">
      <c r="B29" s="86" t="str">
        <f t="shared" ref="B29:E30" si="11">B24</f>
        <v>Local</v>
      </c>
      <c r="C29" s="87" t="str">
        <f t="shared" si="11"/>
        <v>State Financing</v>
      </c>
      <c r="D29" s="87" t="str">
        <f t="shared" si="11"/>
        <v>PACE Financing</v>
      </c>
      <c r="E29" s="87" t="str">
        <f t="shared" si="11"/>
        <v>Reference</v>
      </c>
      <c r="F29" s="88" t="str">
        <f t="shared" ref="F29:F30" si="12">F28</f>
        <v>MM Therms</v>
      </c>
      <c r="G29" s="87">
        <f>'Program Analysis'!$C$20*Reference!C$91</f>
        <v>0.73740355359788334</v>
      </c>
      <c r="H29" s="87">
        <f>'Program Analysis'!$C$20*Reference!D$91</f>
        <v>1.4748071071957667</v>
      </c>
      <c r="I29" s="87">
        <f>'Program Analysis'!$C$20*Reference!E$91</f>
        <v>2.2122106607936503</v>
      </c>
      <c r="J29" s="87">
        <f>'Program Analysis'!$C$20*Reference!F$91</f>
        <v>2.9179058615868247</v>
      </c>
      <c r="K29" s="87">
        <f>'Program Analysis'!$C$20*Reference!G$91</f>
        <v>3.6236010623799988</v>
      </c>
      <c r="L29" s="87">
        <f>'Program Analysis'!$C$20*Reference!H$91</f>
        <v>4.3292962631731724</v>
      </c>
      <c r="M29" s="87">
        <f>'Program Analysis'!$C$20*Reference!I$91</f>
        <v>5.0191372875639937</v>
      </c>
      <c r="N29" s="87">
        <f>'Program Analysis'!$C$20*Reference!J$91</f>
        <v>5.7089783119548132</v>
      </c>
      <c r="O29" s="87">
        <f>'Program Analysis'!$C$20*Reference!K$91</f>
        <v>6.3693231942017174</v>
      </c>
      <c r="P29" s="87">
        <f>'Program Analysis'!$C$20*Reference!L$91</f>
        <v>7.0217409882474451</v>
      </c>
      <c r="Q29" s="87">
        <f>'Program Analysis'!$C$20*Reference!M$91</f>
        <v>7.6446626401492566</v>
      </c>
      <c r="R29" s="87">
        <f>'Program Analysis'!$C$20*Reference!N$91</f>
        <v>8.2675842920510689</v>
      </c>
      <c r="S29" s="87">
        <f>'Program Analysis'!$C$20*Reference!O$91</f>
        <v>8.8865423998522921</v>
      </c>
      <c r="T29" s="87">
        <f>'Program Analysis'!$C$20*Reference!P$91</f>
        <v>9.5055005076535135</v>
      </c>
      <c r="U29" s="89">
        <f>'Program Analysis'!$C$20*Reference!Q$91</f>
        <v>10.124458615454738</v>
      </c>
      <c r="V29" s="3"/>
      <c r="W29" s="3"/>
    </row>
    <row r="30" spans="2:28" ht="15" thickBot="1" x14ac:dyDescent="0.35">
      <c r="B30" s="104" t="str">
        <f t="shared" si="11"/>
        <v>Local</v>
      </c>
      <c r="C30" s="95" t="str">
        <f t="shared" si="11"/>
        <v>State Financing</v>
      </c>
      <c r="D30" s="95" t="str">
        <f t="shared" si="11"/>
        <v>PACE Financing</v>
      </c>
      <c r="E30" s="95" t="str">
        <f t="shared" si="11"/>
        <v>Aggressive</v>
      </c>
      <c r="F30" s="96" t="str">
        <f t="shared" si="12"/>
        <v>MM Therms</v>
      </c>
      <c r="G30" s="95">
        <f>'Program Analysis'!$C$20*Aggressive!C$91</f>
        <v>0.73740355359788334</v>
      </c>
      <c r="H30" s="95">
        <f>'Program Analysis'!$C$20*Aggressive!D$91</f>
        <v>1.4748071071957667</v>
      </c>
      <c r="I30" s="95">
        <f>'Program Analysis'!$C$20*Aggressive!E$91</f>
        <v>2.2122106607936503</v>
      </c>
      <c r="J30" s="95">
        <f>'Program Analysis'!$C$20*Aggressive!F$91</f>
        <v>3.0451924175770695</v>
      </c>
      <c r="K30" s="95">
        <f>'Program Analysis'!$C$20*Aggressive!G$91</f>
        <v>4.0054607303507872</v>
      </c>
      <c r="L30" s="95">
        <f>'Program Analysis'!$C$20*Aggressive!H$91</f>
        <v>5.0930155991147483</v>
      </c>
      <c r="M30" s="95">
        <f>'Program Analysis'!$C$20*Aggressive!I$91</f>
        <v>6.2865295255590761</v>
      </c>
      <c r="N30" s="95">
        <f>'Program Analysis'!$C$20*Aggressive!J$91</f>
        <v>7.6018566860860632</v>
      </c>
      <c r="O30" s="95">
        <f>'Program Analysis'!$C$20*Aggressive!K$91</f>
        <v>9.0095009385518541</v>
      </c>
      <c r="P30" s="95">
        <f>'Program Analysis'!$C$20*Aggressive!L$91</f>
        <v>10.52829467594534</v>
      </c>
      <c r="Q30" s="95">
        <f>'Program Analysis'!$C$20*Aggressive!M$91</f>
        <v>12.136668844323834</v>
      </c>
      <c r="R30" s="95">
        <f>'Program Analysis'!$C$20*Aggressive!N$91</f>
        <v>13.859028123591592</v>
      </c>
      <c r="S30" s="95">
        <f>'Program Analysis'!$C$20*Aggressive!O$91</f>
        <v>15.69004063917118</v>
      </c>
      <c r="T30" s="95">
        <f>'Program Analysis'!$C$20*Aggressive!P$91</f>
        <v>17.628578472923522</v>
      </c>
      <c r="U30" s="97">
        <f>'Program Analysis'!$C$20*Aggressive!Q$91</f>
        <v>19.674641624848679</v>
      </c>
      <c r="V30" s="3"/>
      <c r="W30" s="3"/>
    </row>
    <row r="31" spans="2:28" x14ac:dyDescent="0.3">
      <c r="B31" s="98"/>
      <c r="C31" s="98"/>
      <c r="D31" s="98"/>
      <c r="E31" s="98"/>
      <c r="F31" s="98"/>
      <c r="G31" s="98"/>
      <c r="H31" s="98"/>
      <c r="I31" s="98"/>
      <c r="J31" s="98"/>
      <c r="K31" s="98"/>
      <c r="L31" s="98"/>
      <c r="M31" s="98"/>
      <c r="N31" s="98"/>
      <c r="O31" s="98"/>
      <c r="P31" s="98"/>
      <c r="Q31" s="98"/>
      <c r="R31" s="98"/>
      <c r="S31" s="98"/>
      <c r="T31" s="98"/>
      <c r="U31" s="98"/>
      <c r="V31" s="3"/>
      <c r="W31" s="3"/>
    </row>
    <row r="32" spans="2:28" x14ac:dyDescent="0.3">
      <c r="B32" s="98"/>
      <c r="C32" s="98"/>
      <c r="D32" s="98"/>
      <c r="E32" s="98"/>
      <c r="F32" s="98"/>
      <c r="G32" s="98"/>
      <c r="H32" s="98"/>
      <c r="I32" s="98"/>
      <c r="J32" s="98"/>
      <c r="K32" s="98"/>
      <c r="L32" s="98"/>
      <c r="M32" s="98"/>
      <c r="N32" s="98"/>
      <c r="O32" s="98"/>
      <c r="P32" s="98"/>
      <c r="Q32" s="98"/>
      <c r="R32" s="98"/>
      <c r="S32" s="98"/>
      <c r="T32" s="98"/>
      <c r="U32" s="98"/>
      <c r="V32" s="3"/>
      <c r="W32" s="3"/>
    </row>
    <row r="33" spans="2:28" ht="15" thickBot="1" x14ac:dyDescent="0.35">
      <c r="B33" s="98"/>
      <c r="C33" s="98"/>
      <c r="D33" s="98"/>
      <c r="E33" s="98"/>
      <c r="F33" s="98"/>
      <c r="G33" s="98"/>
      <c r="H33" s="98"/>
      <c r="I33" s="98"/>
      <c r="J33" s="98"/>
      <c r="K33" s="98"/>
      <c r="L33" s="98"/>
      <c r="M33" s="98"/>
      <c r="N33" s="98"/>
      <c r="O33" s="98"/>
      <c r="P33" s="98"/>
      <c r="Q33" s="98"/>
      <c r="R33" s="98"/>
      <c r="S33" s="98"/>
      <c r="T33" s="98"/>
      <c r="U33" s="98"/>
      <c r="V33" s="3"/>
      <c r="W33" s="3"/>
    </row>
    <row r="34" spans="2:28" ht="24" thickBot="1" x14ac:dyDescent="0.5">
      <c r="B34" s="178" t="s">
        <v>156</v>
      </c>
      <c r="C34" s="179"/>
      <c r="D34" s="179"/>
      <c r="E34" s="179"/>
      <c r="F34" s="179"/>
      <c r="G34" s="179"/>
      <c r="H34" s="179"/>
      <c r="I34" s="179"/>
      <c r="J34" s="179"/>
      <c r="K34" s="179"/>
      <c r="L34" s="179"/>
      <c r="M34" s="179"/>
      <c r="N34" s="179"/>
      <c r="O34" s="179"/>
      <c r="P34" s="179"/>
      <c r="Q34" s="179"/>
      <c r="R34" s="179"/>
      <c r="S34" s="179"/>
      <c r="T34" s="179"/>
      <c r="U34" s="180"/>
      <c r="V34" s="3"/>
      <c r="W34" s="3"/>
    </row>
    <row r="35" spans="2:28" s="8" customFormat="1" ht="18.600000000000001" thickBot="1" x14ac:dyDescent="0.4">
      <c r="B35" s="105" t="s">
        <v>1</v>
      </c>
      <c r="C35" s="106" t="s">
        <v>12</v>
      </c>
      <c r="D35" s="106" t="s">
        <v>3</v>
      </c>
      <c r="E35" s="106" t="s">
        <v>151</v>
      </c>
      <c r="F35" s="107" t="s">
        <v>35</v>
      </c>
      <c r="G35" s="108">
        <v>2015</v>
      </c>
      <c r="H35" s="108">
        <v>2016</v>
      </c>
      <c r="I35" s="108">
        <v>2017</v>
      </c>
      <c r="J35" s="108">
        <v>2018</v>
      </c>
      <c r="K35" s="108">
        <v>2019</v>
      </c>
      <c r="L35" s="108">
        <v>2020</v>
      </c>
      <c r="M35" s="108">
        <v>2021</v>
      </c>
      <c r="N35" s="108">
        <v>2022</v>
      </c>
      <c r="O35" s="108">
        <v>2023</v>
      </c>
      <c r="P35" s="108">
        <v>2024</v>
      </c>
      <c r="Q35" s="108">
        <v>2025</v>
      </c>
      <c r="R35" s="108">
        <v>2026</v>
      </c>
      <c r="S35" s="108">
        <v>2027</v>
      </c>
      <c r="T35" s="108">
        <v>2028</v>
      </c>
      <c r="U35" s="109">
        <v>2029</v>
      </c>
      <c r="V35" s="23"/>
      <c r="W35" s="23"/>
      <c r="Y35"/>
      <c r="AA35" s="14"/>
      <c r="AB35" s="14"/>
    </row>
    <row r="36" spans="2:28" s="8" customFormat="1" ht="18" x14ac:dyDescent="0.35">
      <c r="B36" s="84" t="s">
        <v>36</v>
      </c>
      <c r="C36" s="85"/>
      <c r="D36" s="85"/>
      <c r="E36" s="85"/>
      <c r="F36" s="85"/>
      <c r="G36" s="181" t="s">
        <v>152</v>
      </c>
      <c r="H36" s="181"/>
      <c r="I36" s="181"/>
      <c r="J36" s="181"/>
      <c r="K36" s="181"/>
      <c r="L36" s="181"/>
      <c r="M36" s="181"/>
      <c r="N36" s="181"/>
      <c r="O36" s="181"/>
      <c r="P36" s="181"/>
      <c r="Q36" s="181"/>
      <c r="R36" s="181"/>
      <c r="S36" s="181"/>
      <c r="T36" s="181"/>
      <c r="U36" s="182"/>
      <c r="V36" s="23"/>
      <c r="W36" s="23"/>
      <c r="AA36" s="14"/>
      <c r="AB36" s="14"/>
    </row>
    <row r="37" spans="2:28" ht="14.4" customHeight="1" x14ac:dyDescent="0.3">
      <c r="B37" s="86" t="str">
        <f>B23</f>
        <v>Local</v>
      </c>
      <c r="C37" s="87" t="str">
        <f t="shared" ref="C37:D37" si="13">C23</f>
        <v>State Financing</v>
      </c>
      <c r="D37" s="87" t="str">
        <f t="shared" si="13"/>
        <v>PACE Financing</v>
      </c>
      <c r="E37" s="87" t="s">
        <v>116</v>
      </c>
      <c r="F37" s="88" t="s">
        <v>0</v>
      </c>
      <c r="G37" s="87">
        <f>SUM(G9,G23)</f>
        <v>265.69759724216374</v>
      </c>
      <c r="H37" s="87">
        <f t="shared" ref="H37:U38" si="14">SUM(H9,H23)</f>
        <v>531.39519448432748</v>
      </c>
      <c r="I37" s="87">
        <f t="shared" si="14"/>
        <v>797.09279172649121</v>
      </c>
      <c r="J37" s="87">
        <f t="shared" si="14"/>
        <v>1051.3653922872418</v>
      </c>
      <c r="K37" s="87">
        <f t="shared" si="14"/>
        <v>1305.6379928479926</v>
      </c>
      <c r="L37" s="87">
        <f t="shared" si="14"/>
        <v>1559.9105934087434</v>
      </c>
      <c r="M37" s="87">
        <f t="shared" si="14"/>
        <v>1808.4706956287873</v>
      </c>
      <c r="N37" s="87">
        <f t="shared" si="14"/>
        <v>2057.0307978488318</v>
      </c>
      <c r="O37" s="87">
        <f t="shared" si="14"/>
        <v>2294.9629961791893</v>
      </c>
      <c r="P37" s="87">
        <f t="shared" si="14"/>
        <v>2530.038945339194</v>
      </c>
      <c r="Q37" s="87">
        <f t="shared" si="14"/>
        <v>2754.4869906095118</v>
      </c>
      <c r="R37" s="87">
        <f t="shared" si="14"/>
        <v>2978.9350358798297</v>
      </c>
      <c r="S37" s="87">
        <f t="shared" si="14"/>
        <v>3201.9549565649704</v>
      </c>
      <c r="T37" s="87">
        <f t="shared" si="14"/>
        <v>3424.9748772501116</v>
      </c>
      <c r="U37" s="89">
        <f t="shared" si="14"/>
        <v>3647.9947979352523</v>
      </c>
      <c r="V37" s="25"/>
      <c r="W37" s="3"/>
      <c r="AA37" s="5"/>
      <c r="AB37" s="5"/>
    </row>
    <row r="38" spans="2:28" x14ac:dyDescent="0.3">
      <c r="B38" s="86" t="str">
        <f>B37</f>
        <v>Local</v>
      </c>
      <c r="C38" s="87" t="str">
        <f t="shared" ref="C38:D39" si="15">C37</f>
        <v>State Financing</v>
      </c>
      <c r="D38" s="87" t="str">
        <f t="shared" si="15"/>
        <v>PACE Financing</v>
      </c>
      <c r="E38" s="87" t="s">
        <v>114</v>
      </c>
      <c r="F38" s="88" t="str">
        <f t="shared" ref="F38:F39" si="16">F37</f>
        <v>GWh</v>
      </c>
      <c r="G38" s="87">
        <f>SUM(G10,G24)</f>
        <v>531.39519448432748</v>
      </c>
      <c r="H38" s="87">
        <f t="shared" si="14"/>
        <v>1062.790388968655</v>
      </c>
      <c r="I38" s="87">
        <f t="shared" si="14"/>
        <v>1594.1855834529824</v>
      </c>
      <c r="J38" s="87">
        <f t="shared" si="14"/>
        <v>2102.7307845744836</v>
      </c>
      <c r="K38" s="87">
        <f t="shared" si="14"/>
        <v>2611.2759856959851</v>
      </c>
      <c r="L38" s="87">
        <f t="shared" si="14"/>
        <v>3119.8211868174867</v>
      </c>
      <c r="M38" s="87">
        <f t="shared" si="14"/>
        <v>3616.9413912575747</v>
      </c>
      <c r="N38" s="87">
        <f t="shared" si="14"/>
        <v>4114.0615956976635</v>
      </c>
      <c r="O38" s="87">
        <f t="shared" si="14"/>
        <v>4589.9259923583786</v>
      </c>
      <c r="P38" s="87">
        <f t="shared" si="14"/>
        <v>5060.077890678388</v>
      </c>
      <c r="Q38" s="87">
        <f t="shared" si="14"/>
        <v>5508.9739812190237</v>
      </c>
      <c r="R38" s="87">
        <f t="shared" si="14"/>
        <v>5957.8700717596594</v>
      </c>
      <c r="S38" s="87">
        <f t="shared" si="14"/>
        <v>6403.9099131299408</v>
      </c>
      <c r="T38" s="87">
        <f t="shared" si="14"/>
        <v>6849.9497545002232</v>
      </c>
      <c r="U38" s="89">
        <f t="shared" si="14"/>
        <v>7295.9895958705047</v>
      </c>
      <c r="V38" s="87"/>
      <c r="W38" s="3"/>
    </row>
    <row r="39" spans="2:28" x14ac:dyDescent="0.3">
      <c r="B39" s="86" t="str">
        <f t="shared" ref="B39" si="17">B38</f>
        <v>Local</v>
      </c>
      <c r="C39" s="87" t="str">
        <f t="shared" si="15"/>
        <v>State Financing</v>
      </c>
      <c r="D39" s="87" t="str">
        <f t="shared" si="15"/>
        <v>PACE Financing</v>
      </c>
      <c r="E39" s="87" t="s">
        <v>153</v>
      </c>
      <c r="F39" s="88" t="str">
        <f t="shared" si="16"/>
        <v>GWh</v>
      </c>
      <c r="G39" s="87">
        <f t="shared" ref="G39:U39" si="18">SUM(G11,G25)</f>
        <v>531.39519448432748</v>
      </c>
      <c r="H39" s="87">
        <f t="shared" si="18"/>
        <v>1062.790388968655</v>
      </c>
      <c r="I39" s="87">
        <f t="shared" si="18"/>
        <v>1594.1855834529824</v>
      </c>
      <c r="J39" s="87">
        <f t="shared" si="18"/>
        <v>2194.4573077864416</v>
      </c>
      <c r="K39" s="87">
        <f t="shared" si="18"/>
        <v>2886.4555553318969</v>
      </c>
      <c r="L39" s="87">
        <f t="shared" si="18"/>
        <v>3670.1803260893107</v>
      </c>
      <c r="M39" s="87">
        <f t="shared" si="18"/>
        <v>4530.262382879193</v>
      </c>
      <c r="N39" s="87">
        <f t="shared" si="18"/>
        <v>5478.1267223829182</v>
      </c>
      <c r="O39" s="87">
        <f t="shared" si="18"/>
        <v>6492.5175368211521</v>
      </c>
      <c r="P39" s="87">
        <f t="shared" si="18"/>
        <v>7587.0060153834638</v>
      </c>
      <c r="Q39" s="87">
        <f t="shared" si="18"/>
        <v>8746.0488486312261</v>
      </c>
      <c r="R39" s="87">
        <f t="shared" si="18"/>
        <v>9987.2327834152966</v>
      </c>
      <c r="S39" s="87">
        <f t="shared" si="18"/>
        <v>11306.715510440828</v>
      </c>
      <c r="T39" s="87">
        <f t="shared" si="18"/>
        <v>12703.68421794966</v>
      </c>
      <c r="U39" s="89">
        <f t="shared" si="18"/>
        <v>14178.138905941825</v>
      </c>
      <c r="V39" s="3"/>
      <c r="W39" s="3"/>
    </row>
    <row r="40" spans="2:28" x14ac:dyDescent="0.3">
      <c r="B40" s="86"/>
      <c r="C40" s="87"/>
      <c r="D40" s="87"/>
      <c r="E40" s="87"/>
      <c r="F40" s="88"/>
      <c r="G40" s="87"/>
      <c r="H40" s="87"/>
      <c r="I40" s="87"/>
      <c r="J40" s="87"/>
      <c r="K40" s="87"/>
      <c r="L40" s="87"/>
      <c r="M40" s="87"/>
      <c r="N40" s="87"/>
      <c r="O40" s="87"/>
      <c r="P40" s="87"/>
      <c r="Q40" s="87"/>
      <c r="R40" s="87"/>
      <c r="S40" s="87"/>
      <c r="T40" s="87"/>
      <c r="U40" s="89"/>
      <c r="V40" s="3"/>
      <c r="W40" s="3"/>
    </row>
    <row r="41" spans="2:28" s="8" customFormat="1" ht="18" x14ac:dyDescent="0.35">
      <c r="B41" s="90" t="s">
        <v>37</v>
      </c>
      <c r="C41" s="91"/>
      <c r="D41" s="91"/>
      <c r="E41" s="91"/>
      <c r="F41" s="92"/>
      <c r="G41" s="183" t="s">
        <v>154</v>
      </c>
      <c r="H41" s="183"/>
      <c r="I41" s="183"/>
      <c r="J41" s="183"/>
      <c r="K41" s="183"/>
      <c r="L41" s="183"/>
      <c r="M41" s="183"/>
      <c r="N41" s="183"/>
      <c r="O41" s="183"/>
      <c r="P41" s="183"/>
      <c r="Q41" s="183"/>
      <c r="R41" s="183"/>
      <c r="S41" s="183"/>
      <c r="T41" s="183"/>
      <c r="U41" s="184"/>
      <c r="V41" s="23"/>
      <c r="W41" s="23"/>
      <c r="AA41" s="14"/>
      <c r="AB41" s="14"/>
    </row>
    <row r="42" spans="2:28" ht="14.4" customHeight="1" x14ac:dyDescent="0.3">
      <c r="B42" s="86" t="str">
        <f>B37</f>
        <v>Local</v>
      </c>
      <c r="C42" s="87" t="str">
        <f t="shared" ref="C42:E42" si="19">C37</f>
        <v>State Financing</v>
      </c>
      <c r="D42" s="87" t="str">
        <f t="shared" si="19"/>
        <v>PACE Financing</v>
      </c>
      <c r="E42" s="87" t="str">
        <f t="shared" si="19"/>
        <v>Conservative</v>
      </c>
      <c r="F42" s="88" t="s">
        <v>4</v>
      </c>
      <c r="G42" s="87">
        <f>SUM(G14,G28)</f>
        <v>0.40656844576748163</v>
      </c>
      <c r="H42" s="87">
        <f t="shared" ref="H42:U42" si="20">SUM(H14,H28)</f>
        <v>0.81313689153496327</v>
      </c>
      <c r="I42" s="87">
        <f t="shared" si="20"/>
        <v>1.2197053373024449</v>
      </c>
      <c r="J42" s="87">
        <f t="shared" si="20"/>
        <v>1.6087913399019249</v>
      </c>
      <c r="K42" s="87">
        <f t="shared" si="20"/>
        <v>1.9978773425014047</v>
      </c>
      <c r="L42" s="87">
        <f t="shared" si="20"/>
        <v>2.3869633451008845</v>
      </c>
      <c r="M42" s="87">
        <f t="shared" si="20"/>
        <v>2.7673081261163639</v>
      </c>
      <c r="N42" s="87">
        <f t="shared" si="20"/>
        <v>3.1476529071318429</v>
      </c>
      <c r="O42" s="87">
        <f t="shared" si="20"/>
        <v>3.5117349503166224</v>
      </c>
      <c r="P42" s="87">
        <f t="shared" si="20"/>
        <v>3.8714463827094021</v>
      </c>
      <c r="Q42" s="87">
        <f t="shared" si="20"/>
        <v>4.2148950772714819</v>
      </c>
      <c r="R42" s="87">
        <f t="shared" si="20"/>
        <v>4.5583437718335622</v>
      </c>
      <c r="S42" s="87">
        <f t="shared" si="20"/>
        <v>4.8996071609996417</v>
      </c>
      <c r="T42" s="87">
        <f t="shared" si="20"/>
        <v>5.2408705501657211</v>
      </c>
      <c r="U42" s="89">
        <f t="shared" si="20"/>
        <v>5.5821339393318015</v>
      </c>
      <c r="V42" s="25"/>
      <c r="W42" s="3"/>
      <c r="AA42" s="5"/>
      <c r="AB42" s="5"/>
    </row>
    <row r="43" spans="2:28" x14ac:dyDescent="0.3">
      <c r="B43" s="86" t="str">
        <f t="shared" ref="B43:E44" si="21">B38</f>
        <v>Local</v>
      </c>
      <c r="C43" s="87" t="str">
        <f t="shared" si="21"/>
        <v>State Financing</v>
      </c>
      <c r="D43" s="87" t="str">
        <f t="shared" si="21"/>
        <v>PACE Financing</v>
      </c>
      <c r="E43" s="87" t="str">
        <f t="shared" si="21"/>
        <v>Reference</v>
      </c>
      <c r="F43" s="88" t="str">
        <f t="shared" ref="F43:F44" si="22">F42</f>
        <v>MM Therms</v>
      </c>
      <c r="G43" s="87">
        <f t="shared" ref="G43:U44" si="23">SUM(G15,G29)</f>
        <v>0.81313689153496327</v>
      </c>
      <c r="H43" s="87">
        <f t="shared" si="23"/>
        <v>1.6262737830699265</v>
      </c>
      <c r="I43" s="87">
        <f t="shared" si="23"/>
        <v>2.4394106746048898</v>
      </c>
      <c r="J43" s="87">
        <f t="shared" si="23"/>
        <v>3.2175826798038498</v>
      </c>
      <c r="K43" s="87">
        <f t="shared" si="23"/>
        <v>3.9957546850028094</v>
      </c>
      <c r="L43" s="87">
        <f t="shared" si="23"/>
        <v>4.773926690201769</v>
      </c>
      <c r="M43" s="87">
        <f t="shared" si="23"/>
        <v>5.5346162522327278</v>
      </c>
      <c r="N43" s="87">
        <f t="shared" si="23"/>
        <v>6.2953058142636857</v>
      </c>
      <c r="O43" s="87">
        <f t="shared" si="23"/>
        <v>7.0234699006332448</v>
      </c>
      <c r="P43" s="87">
        <f t="shared" si="23"/>
        <v>7.7428927654188042</v>
      </c>
      <c r="Q43" s="87">
        <f t="shared" si="23"/>
        <v>8.4297901545429639</v>
      </c>
      <c r="R43" s="87">
        <f t="shared" si="23"/>
        <v>9.1166875436671244</v>
      </c>
      <c r="S43" s="87">
        <f t="shared" si="23"/>
        <v>9.7992143219992833</v>
      </c>
      <c r="T43" s="87">
        <f t="shared" si="23"/>
        <v>10.481741100331442</v>
      </c>
      <c r="U43" s="89">
        <f t="shared" si="23"/>
        <v>11.164267878663603</v>
      </c>
      <c r="V43" s="3"/>
      <c r="W43" s="3"/>
    </row>
    <row r="44" spans="2:28" ht="15" thickBot="1" x14ac:dyDescent="0.35">
      <c r="B44" s="104" t="str">
        <f t="shared" si="21"/>
        <v>Local</v>
      </c>
      <c r="C44" s="95" t="str">
        <f t="shared" si="21"/>
        <v>State Financing</v>
      </c>
      <c r="D44" s="95" t="str">
        <f t="shared" si="21"/>
        <v>PACE Financing</v>
      </c>
      <c r="E44" s="95" t="str">
        <f t="shared" si="21"/>
        <v>Aggressive</v>
      </c>
      <c r="F44" s="96" t="str">
        <f t="shared" si="22"/>
        <v>MM Therms</v>
      </c>
      <c r="G44" s="95">
        <f t="shared" si="23"/>
        <v>0.81313689153496327</v>
      </c>
      <c r="H44" s="95">
        <f t="shared" si="23"/>
        <v>1.6262737830699265</v>
      </c>
      <c r="I44" s="95">
        <f t="shared" si="23"/>
        <v>2.4394106746048898</v>
      </c>
      <c r="J44" s="95">
        <f t="shared" si="23"/>
        <v>3.3579419091120117</v>
      </c>
      <c r="K44" s="95">
        <f t="shared" si="23"/>
        <v>4.4168323729273542</v>
      </c>
      <c r="L44" s="95">
        <f t="shared" si="23"/>
        <v>5.6160820660508577</v>
      </c>
      <c r="M44" s="95">
        <f t="shared" si="23"/>
        <v>6.9321730984543324</v>
      </c>
      <c r="N44" s="95">
        <f t="shared" si="23"/>
        <v>8.3825879133057128</v>
      </c>
      <c r="O44" s="95">
        <f t="shared" si="23"/>
        <v>9.934801034943666</v>
      </c>
      <c r="P44" s="95">
        <f t="shared" si="23"/>
        <v>11.609578994015401</v>
      </c>
      <c r="Q44" s="95">
        <f t="shared" si="23"/>
        <v>13.383137536443579</v>
      </c>
      <c r="R44" s="95">
        <f t="shared" si="23"/>
        <v>15.282387768717216</v>
      </c>
      <c r="S44" s="95">
        <f t="shared" si="23"/>
        <v>17.3014502183293</v>
      </c>
      <c r="T44" s="95">
        <f t="shared" si="23"/>
        <v>19.439081126899453</v>
      </c>
      <c r="U44" s="97">
        <f t="shared" si="23"/>
        <v>21.695280494427731</v>
      </c>
      <c r="V44" s="3"/>
      <c r="W44" s="3"/>
    </row>
    <row r="45" spans="2:28" x14ac:dyDescent="0.3">
      <c r="B45" s="3"/>
      <c r="C45" s="3"/>
      <c r="D45" s="3"/>
      <c r="E45" s="3"/>
      <c r="F45" s="3"/>
      <c r="G45" s="3"/>
      <c r="H45" s="3"/>
      <c r="I45" s="3"/>
      <c r="J45" s="3"/>
      <c r="K45" s="3"/>
      <c r="L45" s="3"/>
      <c r="M45" s="3"/>
      <c r="N45" s="3"/>
      <c r="O45" s="3"/>
      <c r="P45" s="3"/>
      <c r="Q45" s="3"/>
      <c r="R45" s="3"/>
      <c r="S45" s="3"/>
      <c r="T45" s="3"/>
      <c r="U45" s="3"/>
      <c r="V45" s="3"/>
      <c r="W45" s="3"/>
    </row>
    <row r="46" spans="2:28" x14ac:dyDescent="0.3">
      <c r="B46" s="3"/>
      <c r="C46" s="3"/>
      <c r="D46" s="3"/>
      <c r="E46" s="3"/>
      <c r="F46" s="3"/>
      <c r="G46" s="3"/>
      <c r="H46" s="3"/>
      <c r="I46" s="3"/>
      <c r="J46" s="3"/>
      <c r="K46" s="3"/>
      <c r="L46" s="3"/>
      <c r="M46" s="3"/>
      <c r="N46" s="3"/>
      <c r="O46" s="3"/>
      <c r="P46" s="3"/>
      <c r="Q46" s="3"/>
      <c r="R46" s="3"/>
      <c r="S46" s="3"/>
      <c r="T46" s="3"/>
      <c r="U46" s="3"/>
      <c r="V46" s="3"/>
      <c r="W46" s="3"/>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92"/>
  <sheetViews>
    <sheetView zoomScale="70" zoomScaleNormal="70" workbookViewId="0">
      <selection activeCell="T62" sqref="T62"/>
    </sheetView>
  </sheetViews>
  <sheetFormatPr defaultRowHeight="14.4" x14ac:dyDescent="0.3"/>
  <cols>
    <col min="2" max="2" width="29.6640625" customWidth="1"/>
    <col min="3" max="3" width="16.6640625" bestFit="1" customWidth="1"/>
    <col min="16" max="17" width="11.6640625" customWidth="1"/>
  </cols>
  <sheetData>
    <row r="1" spans="1:29" ht="23.4" x14ac:dyDescent="0.45">
      <c r="B1" s="79" t="s">
        <v>26</v>
      </c>
      <c r="C1" s="79" t="str">
        <f>'Program Analysis'!C3</f>
        <v>PACE Financing</v>
      </c>
      <c r="D1" s="3"/>
    </row>
    <row r="2" spans="1:29" ht="23.4" x14ac:dyDescent="0.45">
      <c r="B2" s="79" t="s">
        <v>149</v>
      </c>
      <c r="C2" s="79" t="s">
        <v>114</v>
      </c>
      <c r="D2" s="3"/>
    </row>
    <row r="4" spans="1:29" ht="15" thickBot="1" x14ac:dyDescent="0.35"/>
    <row r="5" spans="1:29" ht="18" x14ac:dyDescent="0.35">
      <c r="A5" s="1"/>
      <c r="B5" s="165" t="s">
        <v>247</v>
      </c>
      <c r="C5" s="163"/>
      <c r="D5" s="163"/>
      <c r="E5" s="164"/>
      <c r="F5" s="164"/>
      <c r="G5" s="164"/>
      <c r="H5" s="164"/>
      <c r="I5" s="164"/>
      <c r="J5" s="164"/>
      <c r="K5" s="164"/>
      <c r="L5" s="164"/>
      <c r="M5" s="164"/>
      <c r="N5" s="164"/>
      <c r="O5" s="164"/>
      <c r="P5" s="164"/>
      <c r="Q5" s="164"/>
      <c r="R5" s="166"/>
      <c r="S5" s="3"/>
      <c r="T5" s="110"/>
      <c r="U5" t="s">
        <v>157</v>
      </c>
      <c r="V5" s="3"/>
      <c r="W5" s="3"/>
      <c r="X5" s="3"/>
      <c r="Y5" s="3"/>
      <c r="Z5" s="3"/>
    </row>
    <row r="6" spans="1:29" x14ac:dyDescent="0.3">
      <c r="B6" s="20" t="s">
        <v>158</v>
      </c>
      <c r="C6" s="118" t="s">
        <v>250</v>
      </c>
      <c r="D6" s="18"/>
      <c r="E6" s="12"/>
      <c r="F6" s="12"/>
      <c r="G6" s="12"/>
      <c r="H6" s="3"/>
      <c r="I6" s="3"/>
      <c r="J6" s="3"/>
      <c r="K6" s="3"/>
      <c r="L6" s="3"/>
      <c r="M6" s="3"/>
      <c r="N6" s="3"/>
      <c r="O6" s="3"/>
      <c r="P6" s="3"/>
      <c r="Q6" s="3"/>
      <c r="R6" s="19"/>
      <c r="S6" s="3"/>
      <c r="T6" s="112"/>
      <c r="U6" t="s">
        <v>159</v>
      </c>
      <c r="V6" s="3"/>
      <c r="W6" s="3"/>
      <c r="X6" s="3"/>
      <c r="Y6" s="3"/>
      <c r="Z6" s="3"/>
    </row>
    <row r="7" spans="1:29" x14ac:dyDescent="0.3">
      <c r="B7" s="30"/>
      <c r="C7" s="12"/>
      <c r="D7" s="18"/>
      <c r="E7" s="12"/>
      <c r="F7" s="12"/>
      <c r="G7" s="12"/>
      <c r="H7" s="3"/>
      <c r="I7" s="3"/>
      <c r="J7" s="3"/>
      <c r="K7" s="3"/>
      <c r="L7" s="3"/>
      <c r="M7" s="3"/>
      <c r="N7" s="3"/>
      <c r="O7" s="3"/>
      <c r="P7" s="3"/>
      <c r="Q7" s="3"/>
      <c r="R7" s="19"/>
      <c r="S7" s="3"/>
      <c r="T7" s="113"/>
      <c r="U7" t="s">
        <v>160</v>
      </c>
      <c r="V7" s="3"/>
      <c r="W7" s="3"/>
      <c r="X7" s="3"/>
      <c r="Y7" s="3"/>
      <c r="Z7" s="3"/>
    </row>
    <row r="8" spans="1:29" s="8" customFormat="1" ht="18" x14ac:dyDescent="0.35">
      <c r="B8" s="114"/>
      <c r="C8" s="21">
        <v>2015</v>
      </c>
      <c r="D8" s="21">
        <v>2016</v>
      </c>
      <c r="E8" s="21">
        <v>2017</v>
      </c>
      <c r="F8" s="21">
        <v>2018</v>
      </c>
      <c r="G8" s="21">
        <v>2019</v>
      </c>
      <c r="H8" s="21">
        <v>2020</v>
      </c>
      <c r="I8" s="21">
        <v>2021</v>
      </c>
      <c r="J8" s="21">
        <v>2022</v>
      </c>
      <c r="K8" s="21">
        <v>2023</v>
      </c>
      <c r="L8" s="21">
        <v>2024</v>
      </c>
      <c r="M8" s="21">
        <v>2025</v>
      </c>
      <c r="N8" s="21">
        <v>2026</v>
      </c>
      <c r="O8" s="22">
        <v>2027</v>
      </c>
      <c r="P8" s="22">
        <v>2028</v>
      </c>
      <c r="Q8" s="22">
        <v>2029</v>
      </c>
      <c r="R8" s="24"/>
      <c r="S8" s="23"/>
      <c r="T8" s="23"/>
      <c r="U8" s="23"/>
      <c r="V8" s="23"/>
      <c r="W8" s="23"/>
      <c r="X8" s="23"/>
      <c r="Y8" s="23"/>
      <c r="Z8" s="23"/>
      <c r="AB8" s="14"/>
      <c r="AC8" s="14"/>
    </row>
    <row r="9" spans="1:29" ht="14.4" customHeight="1" x14ac:dyDescent="0.3">
      <c r="B9" s="115" t="s">
        <v>0</v>
      </c>
      <c r="C9" s="10">
        <f>'RES PACE Data'!B69</f>
        <v>544.55156017823367</v>
      </c>
      <c r="D9" s="10">
        <f>'RES PACE Data'!C69</f>
        <v>544.55156017823367</v>
      </c>
      <c r="E9" s="10">
        <f>'RES PACE Data'!D69</f>
        <v>544.55156017823367</v>
      </c>
      <c r="F9" s="10">
        <f>'RES PACE Data'!E69</f>
        <v>544.55156017823367</v>
      </c>
      <c r="G9" s="10">
        <f>'RES PACE Data'!F69</f>
        <v>544.55156017823367</v>
      </c>
      <c r="H9" s="10">
        <f>'RES PACE Data'!G69</f>
        <v>544.55156017823367</v>
      </c>
      <c r="I9" s="10">
        <f>'RES PACE Data'!H69</f>
        <v>544.55156017823367</v>
      </c>
      <c r="J9" s="10">
        <f>'RES PACE Data'!I69</f>
        <v>544.55156017823367</v>
      </c>
      <c r="K9" s="10">
        <f>'RES PACE Data'!J69</f>
        <v>544.55156017823367</v>
      </c>
      <c r="L9" s="10">
        <f>'RES PACE Data'!K69</f>
        <v>544.55156017823367</v>
      </c>
      <c r="M9" s="10">
        <f>'RES PACE Data'!L69</f>
        <v>544.55156017823367</v>
      </c>
      <c r="N9" s="10">
        <f>'RES PACE Data'!M69</f>
        <v>544.55156017823367</v>
      </c>
      <c r="O9" s="10">
        <f>'RES PACE Data'!N69</f>
        <v>544.55156017823367</v>
      </c>
      <c r="P9" s="10">
        <f>'RES PACE Data'!O69</f>
        <v>544.55156017823367</v>
      </c>
      <c r="Q9" s="10">
        <f>'RES PACE Data'!P69</f>
        <v>544.55156017823367</v>
      </c>
      <c r="R9" s="19"/>
      <c r="S9" s="3"/>
      <c r="T9" s="3"/>
      <c r="U9" s="3"/>
      <c r="V9" s="3"/>
      <c r="W9" s="29"/>
      <c r="X9" s="3"/>
      <c r="Y9" s="3"/>
      <c r="Z9" s="3"/>
      <c r="AB9" s="5"/>
      <c r="AC9" s="5"/>
    </row>
    <row r="10" spans="1:29" ht="15" thickBot="1" x14ac:dyDescent="0.35">
      <c r="B10" s="116" t="s">
        <v>4</v>
      </c>
      <c r="C10" s="117">
        <f>'RES PACE Data'!B70</f>
        <v>0.83326866241900643</v>
      </c>
      <c r="D10" s="117">
        <f>'RES PACE Data'!C70</f>
        <v>0.83326866241900643</v>
      </c>
      <c r="E10" s="117">
        <f>'RES PACE Data'!D70</f>
        <v>0.83326866241900643</v>
      </c>
      <c r="F10" s="117">
        <f>'RES PACE Data'!E70</f>
        <v>0.83326866241900643</v>
      </c>
      <c r="G10" s="117">
        <f>'RES PACE Data'!F70</f>
        <v>0.83326866241900643</v>
      </c>
      <c r="H10" s="117">
        <f>'RES PACE Data'!G70</f>
        <v>0.83326866241900643</v>
      </c>
      <c r="I10" s="117">
        <f>'RES PACE Data'!H70</f>
        <v>0.83326866241900643</v>
      </c>
      <c r="J10" s="117">
        <f>'RES PACE Data'!I70</f>
        <v>0.83326866241900643</v>
      </c>
      <c r="K10" s="117">
        <f>'RES PACE Data'!J70</f>
        <v>0.83326866241900643</v>
      </c>
      <c r="L10" s="117">
        <f>'RES PACE Data'!K70</f>
        <v>0.83326866241900643</v>
      </c>
      <c r="M10" s="117">
        <f>'RES PACE Data'!L70</f>
        <v>0.83326866241900643</v>
      </c>
      <c r="N10" s="117">
        <f>'RES PACE Data'!M70</f>
        <v>0.83326866241900643</v>
      </c>
      <c r="O10" s="117">
        <f>'RES PACE Data'!N70</f>
        <v>0.83326866241900643</v>
      </c>
      <c r="P10" s="117">
        <f>'RES PACE Data'!O70</f>
        <v>0.83326866241900643</v>
      </c>
      <c r="Q10" s="117">
        <f>'RES PACE Data'!P70</f>
        <v>0.83326866241900643</v>
      </c>
      <c r="R10" s="28"/>
      <c r="S10" s="3"/>
      <c r="T10" s="3"/>
      <c r="U10" s="3"/>
      <c r="V10" s="3"/>
      <c r="W10" s="29"/>
      <c r="X10" s="3"/>
      <c r="Y10" s="3"/>
      <c r="Z10" s="3"/>
    </row>
    <row r="11" spans="1:29" x14ac:dyDescent="0.3">
      <c r="B11" s="7"/>
      <c r="C11" s="7"/>
      <c r="D11" s="7"/>
      <c r="E11" s="7"/>
      <c r="F11" s="31"/>
      <c r="G11" s="31"/>
      <c r="H11" s="32"/>
      <c r="I11" s="32"/>
      <c r="J11" s="32"/>
      <c r="K11" s="32"/>
      <c r="L11" s="32"/>
      <c r="M11" s="32"/>
      <c r="N11" s="32"/>
      <c r="O11" s="32"/>
      <c r="P11" s="32"/>
      <c r="Q11" s="32"/>
      <c r="R11" s="32"/>
      <c r="S11" s="32"/>
      <c r="T11" s="32"/>
      <c r="U11" s="32"/>
      <c r="V11" s="32"/>
      <c r="W11" s="29"/>
      <c r="X11" s="3"/>
      <c r="Y11" s="3"/>
      <c r="Z11" s="3"/>
    </row>
    <row r="12" spans="1:29" ht="15" thickBot="1" x14ac:dyDescent="0.35">
      <c r="B12" s="3"/>
      <c r="C12" s="3"/>
      <c r="D12" s="3"/>
      <c r="E12" s="3"/>
      <c r="F12" s="3"/>
      <c r="G12" s="3"/>
      <c r="H12" s="3"/>
      <c r="I12" s="3"/>
      <c r="J12" s="3"/>
      <c r="K12" s="3"/>
      <c r="L12" s="3"/>
      <c r="M12" s="3"/>
      <c r="N12" s="3"/>
      <c r="O12" s="3"/>
      <c r="P12" s="3"/>
      <c r="Q12" s="3"/>
      <c r="R12" s="3"/>
      <c r="S12" s="3"/>
      <c r="T12" s="3"/>
      <c r="U12" s="3"/>
      <c r="V12" s="3"/>
      <c r="W12" s="3"/>
      <c r="X12" s="3"/>
      <c r="Y12" s="3"/>
      <c r="Z12" s="3"/>
    </row>
    <row r="13" spans="1:29" ht="18" x14ac:dyDescent="0.35">
      <c r="A13" s="1"/>
      <c r="B13" s="167" t="s">
        <v>248</v>
      </c>
      <c r="C13" s="168"/>
      <c r="D13" s="168"/>
      <c r="E13" s="169"/>
      <c r="F13" s="169"/>
      <c r="G13" s="169"/>
      <c r="H13" s="169"/>
      <c r="I13" s="169"/>
      <c r="J13" s="169"/>
      <c r="K13" s="169"/>
      <c r="L13" s="169"/>
      <c r="M13" s="169"/>
      <c r="N13" s="169"/>
      <c r="O13" s="169"/>
      <c r="P13" s="169"/>
      <c r="Q13" s="169"/>
      <c r="R13" s="170"/>
      <c r="S13" s="3"/>
      <c r="T13" s="3"/>
      <c r="U13" s="3"/>
      <c r="V13" s="3"/>
      <c r="W13" s="3"/>
      <c r="X13" s="3"/>
      <c r="Y13" s="3"/>
      <c r="Z13" s="3"/>
    </row>
    <row r="14" spans="1:29" x14ac:dyDescent="0.3">
      <c r="B14" s="20" t="s">
        <v>161</v>
      </c>
      <c r="C14" s="118" t="s">
        <v>249</v>
      </c>
      <c r="D14" s="119"/>
      <c r="E14" s="3"/>
      <c r="F14" s="3"/>
      <c r="G14" s="3"/>
      <c r="H14" s="3"/>
      <c r="I14" s="3"/>
      <c r="J14" s="3"/>
      <c r="K14" s="3"/>
      <c r="L14" s="3"/>
      <c r="M14" s="3"/>
      <c r="N14" s="3"/>
      <c r="O14" s="3"/>
      <c r="P14" s="3"/>
      <c r="Q14" s="3"/>
      <c r="R14" s="19"/>
      <c r="S14" s="3"/>
      <c r="T14" s="3"/>
      <c r="U14" s="3"/>
      <c r="V14" s="3"/>
      <c r="W14" s="3"/>
      <c r="X14" s="3"/>
      <c r="Y14" s="3"/>
      <c r="Z14" s="3"/>
    </row>
    <row r="15" spans="1:29" x14ac:dyDescent="0.3">
      <c r="B15" s="20"/>
      <c r="C15" s="111"/>
      <c r="D15" s="119"/>
      <c r="E15" s="3"/>
      <c r="F15" s="3"/>
      <c r="G15" s="3"/>
      <c r="H15" s="3"/>
      <c r="I15" s="3"/>
      <c r="J15" s="3"/>
      <c r="K15" s="3"/>
      <c r="L15" s="3"/>
      <c r="M15" s="3"/>
      <c r="N15" s="3"/>
      <c r="O15" s="3"/>
      <c r="P15" s="3"/>
      <c r="Q15" s="3"/>
      <c r="R15" s="19"/>
      <c r="S15" s="3"/>
      <c r="T15" s="3"/>
      <c r="U15" s="3"/>
      <c r="V15" s="3"/>
      <c r="W15" s="3"/>
      <c r="X15" s="3"/>
      <c r="Y15" s="3"/>
      <c r="Z15" s="3"/>
    </row>
    <row r="16" spans="1:29" s="8" customFormat="1" ht="18" x14ac:dyDescent="0.35">
      <c r="B16" s="114"/>
      <c r="C16" s="21">
        <v>2015</v>
      </c>
      <c r="D16" s="21">
        <v>2016</v>
      </c>
      <c r="E16" s="21">
        <v>2017</v>
      </c>
      <c r="F16" s="21">
        <v>2018</v>
      </c>
      <c r="G16" s="21">
        <v>2019</v>
      </c>
      <c r="H16" s="21">
        <v>2020</v>
      </c>
      <c r="I16" s="21">
        <v>2021</v>
      </c>
      <c r="J16" s="21">
        <v>2022</v>
      </c>
      <c r="K16" s="21">
        <v>2023</v>
      </c>
      <c r="L16" s="21">
        <v>2024</v>
      </c>
      <c r="M16" s="21">
        <v>2025</v>
      </c>
      <c r="N16" s="21">
        <v>2026</v>
      </c>
      <c r="O16" s="22">
        <v>2027</v>
      </c>
      <c r="P16" s="22">
        <v>2028</v>
      </c>
      <c r="Q16" s="22">
        <v>2029</v>
      </c>
      <c r="R16" s="24"/>
      <c r="S16" s="23"/>
      <c r="T16" s="23"/>
      <c r="U16" s="23"/>
      <c r="V16" s="23"/>
      <c r="W16" s="23"/>
      <c r="X16" s="23"/>
      <c r="Y16" s="23"/>
      <c r="Z16" s="23"/>
      <c r="AB16" s="14"/>
      <c r="AC16" s="14"/>
    </row>
    <row r="17" spans="1:29" ht="14.4" customHeight="1" x14ac:dyDescent="0.3">
      <c r="B17" s="115" t="s">
        <v>0</v>
      </c>
      <c r="C17" s="10">
        <f>'NR PACE Data'!F5</f>
        <v>8.9851007429408565</v>
      </c>
      <c r="D17" s="10">
        <f>'NR PACE Data'!G5</f>
        <v>8.9851007429408565</v>
      </c>
      <c r="E17" s="10">
        <f>'NR PACE Data'!H5</f>
        <v>8.9851007429408565</v>
      </c>
      <c r="F17" s="10">
        <f>'NR PACE Data'!I5</f>
        <v>8.9851007429408565</v>
      </c>
      <c r="G17" s="10">
        <f>'NR PACE Data'!J5</f>
        <v>8.9851007429408565</v>
      </c>
      <c r="H17" s="10">
        <f>'NR PACE Data'!K5</f>
        <v>8.9851007429408565</v>
      </c>
      <c r="I17" s="10">
        <f>'NR PACE Data'!L5</f>
        <v>8.9851007429408565</v>
      </c>
      <c r="J17" s="10">
        <f>'NR PACE Data'!M5</f>
        <v>8.9851007429408565</v>
      </c>
      <c r="K17" s="10">
        <f>'NR PACE Data'!N5</f>
        <v>8.9851007429408565</v>
      </c>
      <c r="L17" s="10">
        <f>'NR PACE Data'!O5</f>
        <v>8.9851007429408565</v>
      </c>
      <c r="M17" s="10">
        <f>'NR PACE Data'!P5</f>
        <v>8.9851007429408565</v>
      </c>
      <c r="N17" s="10">
        <f>'NR PACE Data'!Q5</f>
        <v>8.9851007429408565</v>
      </c>
      <c r="O17" s="10">
        <f>'NR PACE Data'!R5</f>
        <v>8.9851007429408565</v>
      </c>
      <c r="P17" s="10">
        <f>'NR PACE Data'!S5</f>
        <v>8.9851007429408565</v>
      </c>
      <c r="Q17" s="10">
        <f>'NR PACE Data'!T5</f>
        <v>8.9851007429408565</v>
      </c>
      <c r="R17" s="19"/>
      <c r="S17" s="3"/>
      <c r="T17" s="3"/>
      <c r="U17" s="3"/>
      <c r="V17" s="3"/>
      <c r="W17" s="25"/>
      <c r="X17" s="3"/>
      <c r="Y17" s="3"/>
      <c r="Z17" s="3"/>
      <c r="AB17" s="5"/>
      <c r="AC17" s="5"/>
    </row>
    <row r="18" spans="1:29" ht="14.4" customHeight="1" thickBot="1" x14ac:dyDescent="0.35">
      <c r="B18" s="116" t="s">
        <v>4</v>
      </c>
      <c r="C18" s="117">
        <f>'NR PACE Data'!F6</f>
        <v>1.3748932929913606E-2</v>
      </c>
      <c r="D18" s="117">
        <f>'NR PACE Data'!G6</f>
        <v>1.3748932929913606E-2</v>
      </c>
      <c r="E18" s="117">
        <f>'NR PACE Data'!H6</f>
        <v>1.3748932929913606E-2</v>
      </c>
      <c r="F18" s="117">
        <f>'NR PACE Data'!I6</f>
        <v>1.3748932929913606E-2</v>
      </c>
      <c r="G18" s="117">
        <f>'NR PACE Data'!J6</f>
        <v>1.3748932929913606E-2</v>
      </c>
      <c r="H18" s="117">
        <f>'NR PACE Data'!K6</f>
        <v>1.3748932929913606E-2</v>
      </c>
      <c r="I18" s="117">
        <f>'NR PACE Data'!L6</f>
        <v>1.3748932929913606E-2</v>
      </c>
      <c r="J18" s="117">
        <f>'NR PACE Data'!M6</f>
        <v>1.3748932929913606E-2</v>
      </c>
      <c r="K18" s="117">
        <f>'NR PACE Data'!N6</f>
        <v>1.3748932929913606E-2</v>
      </c>
      <c r="L18" s="117">
        <f>'NR PACE Data'!O6</f>
        <v>1.3748932929913606E-2</v>
      </c>
      <c r="M18" s="117">
        <f>'NR PACE Data'!P6</f>
        <v>1.3748932929913606E-2</v>
      </c>
      <c r="N18" s="117">
        <f>'NR PACE Data'!Q6</f>
        <v>1.3748932929913606E-2</v>
      </c>
      <c r="O18" s="117">
        <f>'NR PACE Data'!R6</f>
        <v>1.3748932929913606E-2</v>
      </c>
      <c r="P18" s="117">
        <f>'NR PACE Data'!S6</f>
        <v>1.3748932929913606E-2</v>
      </c>
      <c r="Q18" s="117">
        <f>'NR PACE Data'!T6</f>
        <v>1.3748932929913606E-2</v>
      </c>
      <c r="R18" s="28"/>
      <c r="S18" s="3"/>
      <c r="T18" s="3"/>
      <c r="U18" s="3"/>
      <c r="V18" s="3"/>
      <c r="W18" s="25"/>
      <c r="X18" s="3"/>
      <c r="Y18" s="3"/>
      <c r="Z18" s="3"/>
      <c r="AB18" s="5"/>
      <c r="AC18" s="5"/>
    </row>
    <row r="19" spans="1:29" x14ac:dyDescent="0.3">
      <c r="B19" s="3"/>
      <c r="C19" s="3"/>
      <c r="D19" s="3"/>
      <c r="E19" s="3"/>
      <c r="F19" s="3"/>
      <c r="G19" s="3"/>
      <c r="H19" s="3"/>
      <c r="I19" s="3"/>
      <c r="J19" s="3"/>
      <c r="K19" s="3"/>
      <c r="L19" s="3"/>
      <c r="M19" s="3"/>
      <c r="N19" s="3"/>
      <c r="O19" s="3"/>
      <c r="P19" s="3"/>
      <c r="Q19" s="3"/>
      <c r="R19" s="3"/>
      <c r="S19" s="3"/>
      <c r="T19" s="3"/>
      <c r="U19" s="3"/>
      <c r="V19" s="3"/>
      <c r="W19" s="3"/>
      <c r="X19" s="3"/>
      <c r="Y19" s="3"/>
      <c r="Z19" s="3"/>
    </row>
    <row r="20" spans="1:29" ht="15" thickBot="1" x14ac:dyDescent="0.35">
      <c r="B20" s="3"/>
      <c r="C20" s="3"/>
      <c r="D20" s="3"/>
      <c r="E20" s="3"/>
      <c r="F20" s="3"/>
      <c r="G20" s="3"/>
      <c r="H20" s="3"/>
      <c r="I20" s="3"/>
      <c r="J20" s="3"/>
      <c r="K20" s="3"/>
      <c r="L20" s="3"/>
      <c r="M20" s="3"/>
      <c r="N20" s="3"/>
      <c r="O20" s="3"/>
      <c r="P20" s="3"/>
      <c r="Q20" s="3"/>
      <c r="R20" s="3"/>
      <c r="S20" s="3"/>
      <c r="T20" s="3"/>
      <c r="U20" s="3"/>
      <c r="V20" s="3"/>
      <c r="W20" s="3"/>
      <c r="X20" s="3"/>
      <c r="Y20" s="3"/>
      <c r="Z20" s="3"/>
    </row>
    <row r="21" spans="1:29" ht="18" x14ac:dyDescent="0.35">
      <c r="A21" s="1"/>
      <c r="B21" s="33" t="s">
        <v>162</v>
      </c>
      <c r="C21" s="16"/>
      <c r="D21" s="16"/>
      <c r="E21" s="16"/>
      <c r="F21" s="16"/>
      <c r="G21" s="16"/>
      <c r="H21" s="16"/>
      <c r="I21" s="16"/>
      <c r="J21" s="16"/>
      <c r="K21" s="16"/>
      <c r="L21" s="16"/>
      <c r="M21" s="16"/>
      <c r="N21" s="16"/>
      <c r="O21" s="16"/>
      <c r="P21" s="16"/>
      <c r="Q21" s="16"/>
      <c r="R21" s="17"/>
      <c r="S21" s="3"/>
      <c r="T21" s="3"/>
      <c r="U21" s="3"/>
      <c r="V21" s="3"/>
      <c r="W21" s="3"/>
      <c r="X21" s="3"/>
      <c r="Y21" s="3"/>
      <c r="Z21" s="3"/>
    </row>
    <row r="22" spans="1:29" x14ac:dyDescent="0.3">
      <c r="B22" s="20" t="s">
        <v>161</v>
      </c>
      <c r="C22" s="118">
        <v>0.04</v>
      </c>
      <c r="D22" s="119" t="s">
        <v>163</v>
      </c>
      <c r="E22" s="3"/>
      <c r="F22" s="3"/>
      <c r="G22" s="3"/>
      <c r="H22" s="3"/>
      <c r="I22" s="3"/>
      <c r="J22" s="3"/>
      <c r="K22" s="3"/>
      <c r="L22" s="3"/>
      <c r="M22" s="3"/>
      <c r="N22" s="3"/>
      <c r="O22" s="3"/>
      <c r="P22" s="3"/>
      <c r="Q22" s="3"/>
      <c r="R22" s="19"/>
      <c r="S22" s="3"/>
      <c r="T22" s="3"/>
      <c r="U22" s="3"/>
      <c r="V22" s="3"/>
      <c r="W22" s="3"/>
      <c r="X22" s="3"/>
      <c r="Y22" s="3"/>
      <c r="Z22" s="3"/>
    </row>
    <row r="23" spans="1:29" x14ac:dyDescent="0.3">
      <c r="B23" s="20"/>
      <c r="C23" s="111"/>
      <c r="D23" s="3"/>
      <c r="E23" s="3"/>
      <c r="F23" s="3"/>
      <c r="G23" s="3"/>
      <c r="H23" s="3"/>
      <c r="I23" s="3"/>
      <c r="J23" s="3"/>
      <c r="K23" s="3"/>
      <c r="L23" s="3"/>
      <c r="M23" s="3"/>
      <c r="N23" s="3"/>
      <c r="O23" s="3"/>
      <c r="P23" s="3"/>
      <c r="Q23" s="3"/>
      <c r="R23" s="19"/>
      <c r="S23" s="3"/>
      <c r="T23" s="3"/>
      <c r="U23" s="3"/>
      <c r="V23" s="3"/>
      <c r="W23" s="3"/>
      <c r="X23" s="3"/>
      <c r="Y23" s="3"/>
      <c r="Z23" s="3"/>
    </row>
    <row r="24" spans="1:29" s="8" customFormat="1" ht="18" x14ac:dyDescent="0.35">
      <c r="B24" s="114"/>
      <c r="C24" s="21">
        <v>2015</v>
      </c>
      <c r="D24" s="21">
        <v>2016</v>
      </c>
      <c r="E24" s="21">
        <v>2017</v>
      </c>
      <c r="F24" s="21">
        <v>2018</v>
      </c>
      <c r="G24" s="21">
        <v>2019</v>
      </c>
      <c r="H24" s="21">
        <v>2020</v>
      </c>
      <c r="I24" s="21">
        <v>2021</v>
      </c>
      <c r="J24" s="21">
        <v>2022</v>
      </c>
      <c r="K24" s="21">
        <v>2023</v>
      </c>
      <c r="L24" s="21">
        <v>2024</v>
      </c>
      <c r="M24" s="21">
        <v>2025</v>
      </c>
      <c r="N24" s="21">
        <v>2026</v>
      </c>
      <c r="O24" s="22">
        <v>2027</v>
      </c>
      <c r="P24" s="22">
        <v>2028</v>
      </c>
      <c r="Q24" s="22">
        <v>2029</v>
      </c>
      <c r="R24" s="24"/>
      <c r="S24" s="23"/>
      <c r="T24" s="23"/>
      <c r="U24" s="23"/>
      <c r="V24" s="23"/>
      <c r="W24" s="23"/>
      <c r="X24" s="23"/>
      <c r="Y24" s="23"/>
      <c r="Z24" s="23"/>
      <c r="AB24" s="14"/>
      <c r="AC24" s="14"/>
    </row>
    <row r="25" spans="1:29" ht="14.4" customHeight="1" x14ac:dyDescent="0.3">
      <c r="B25" s="115" t="s">
        <v>0</v>
      </c>
      <c r="C25" s="10">
        <f>SUM(C9,C17)*(1-$C$22)</f>
        <v>531.39519448432748</v>
      </c>
      <c r="D25" s="10">
        <f t="shared" ref="D25:Q25" si="0">SUM(D9,D17)*(1-$C$22)</f>
        <v>531.39519448432748</v>
      </c>
      <c r="E25" s="10">
        <f t="shared" si="0"/>
        <v>531.39519448432748</v>
      </c>
      <c r="F25" s="10">
        <f t="shared" si="0"/>
        <v>531.39519448432748</v>
      </c>
      <c r="G25" s="10">
        <f t="shared" si="0"/>
        <v>531.39519448432748</v>
      </c>
      <c r="H25" s="10">
        <f t="shared" si="0"/>
        <v>531.39519448432748</v>
      </c>
      <c r="I25" s="10">
        <f t="shared" si="0"/>
        <v>531.39519448432748</v>
      </c>
      <c r="J25" s="10">
        <f t="shared" si="0"/>
        <v>531.39519448432748</v>
      </c>
      <c r="K25" s="10">
        <f t="shared" si="0"/>
        <v>531.39519448432748</v>
      </c>
      <c r="L25" s="10">
        <f t="shared" si="0"/>
        <v>531.39519448432748</v>
      </c>
      <c r="M25" s="10">
        <f t="shared" si="0"/>
        <v>531.39519448432748</v>
      </c>
      <c r="N25" s="10">
        <f t="shared" si="0"/>
        <v>531.39519448432748</v>
      </c>
      <c r="O25" s="10">
        <f t="shared" si="0"/>
        <v>531.39519448432748</v>
      </c>
      <c r="P25" s="10">
        <f t="shared" si="0"/>
        <v>531.39519448432748</v>
      </c>
      <c r="Q25" s="10">
        <f t="shared" si="0"/>
        <v>531.39519448432748</v>
      </c>
      <c r="R25" s="19"/>
      <c r="S25" s="3"/>
      <c r="T25" s="3"/>
      <c r="U25" s="3"/>
      <c r="V25" s="3"/>
      <c r="W25" s="25"/>
      <c r="X25" s="3"/>
      <c r="Y25" s="3"/>
      <c r="Z25" s="3"/>
      <c r="AB25" s="5"/>
      <c r="AC25" s="5"/>
    </row>
    <row r="26" spans="1:29" ht="14.4" customHeight="1" thickBot="1" x14ac:dyDescent="0.35">
      <c r="B26" s="116" t="s">
        <v>4</v>
      </c>
      <c r="C26" s="117">
        <f t="shared" ref="C26:Q26" si="1">SUM(C10,C18)*(1-$C$22)</f>
        <v>0.81313689153496327</v>
      </c>
      <c r="D26" s="117">
        <f t="shared" si="1"/>
        <v>0.81313689153496327</v>
      </c>
      <c r="E26" s="117">
        <f t="shared" si="1"/>
        <v>0.81313689153496327</v>
      </c>
      <c r="F26" s="117">
        <f t="shared" si="1"/>
        <v>0.81313689153496327</v>
      </c>
      <c r="G26" s="117">
        <f t="shared" si="1"/>
        <v>0.81313689153496327</v>
      </c>
      <c r="H26" s="117">
        <f t="shared" si="1"/>
        <v>0.81313689153496327</v>
      </c>
      <c r="I26" s="117">
        <f t="shared" si="1"/>
        <v>0.81313689153496327</v>
      </c>
      <c r="J26" s="117">
        <f t="shared" si="1"/>
        <v>0.81313689153496327</v>
      </c>
      <c r="K26" s="117">
        <f t="shared" si="1"/>
        <v>0.81313689153496327</v>
      </c>
      <c r="L26" s="117">
        <f t="shared" si="1"/>
        <v>0.81313689153496327</v>
      </c>
      <c r="M26" s="117">
        <f t="shared" si="1"/>
        <v>0.81313689153496327</v>
      </c>
      <c r="N26" s="117">
        <f t="shared" si="1"/>
        <v>0.81313689153496327</v>
      </c>
      <c r="O26" s="117">
        <f t="shared" si="1"/>
        <v>0.81313689153496327</v>
      </c>
      <c r="P26" s="117">
        <f t="shared" si="1"/>
        <v>0.81313689153496327</v>
      </c>
      <c r="Q26" s="117">
        <f t="shared" si="1"/>
        <v>0.81313689153496327</v>
      </c>
      <c r="R26" s="28"/>
      <c r="S26" s="3"/>
      <c r="T26" s="3"/>
      <c r="U26" s="3"/>
      <c r="V26" s="3"/>
      <c r="W26" s="25"/>
      <c r="X26" s="3"/>
      <c r="Y26" s="3"/>
      <c r="Z26" s="3"/>
      <c r="AB26" s="5"/>
      <c r="AC26" s="5"/>
    </row>
    <row r="27" spans="1:29" x14ac:dyDescent="0.3">
      <c r="B27" s="3"/>
      <c r="C27" s="3"/>
      <c r="D27" s="3"/>
      <c r="E27" s="3"/>
      <c r="F27" s="3"/>
      <c r="G27" s="3"/>
      <c r="H27" s="3"/>
      <c r="I27" s="3"/>
      <c r="J27" s="3"/>
      <c r="K27" s="3"/>
      <c r="L27" s="3"/>
      <c r="M27" s="3"/>
      <c r="N27" s="3"/>
      <c r="O27" s="3"/>
      <c r="P27" s="3"/>
      <c r="Q27" s="3"/>
      <c r="R27" s="3"/>
      <c r="S27" s="3"/>
      <c r="T27" s="3"/>
      <c r="U27" s="3"/>
      <c r="V27" s="3"/>
      <c r="W27" s="3"/>
      <c r="X27" s="3"/>
      <c r="Y27" s="3"/>
      <c r="Z27" s="3"/>
    </row>
    <row r="28" spans="1:29" ht="15" thickBot="1" x14ac:dyDescent="0.35">
      <c r="B28" s="3"/>
      <c r="C28" s="3"/>
      <c r="D28" s="3"/>
      <c r="E28" s="3"/>
      <c r="F28" s="3"/>
      <c r="G28" s="3"/>
      <c r="H28" s="3"/>
      <c r="I28" s="3"/>
      <c r="J28" s="3"/>
      <c r="K28" s="3"/>
      <c r="L28" s="3"/>
      <c r="M28" s="3"/>
      <c r="N28" s="3"/>
      <c r="O28" s="3"/>
      <c r="P28" s="3"/>
      <c r="Q28" s="3"/>
      <c r="R28" s="3"/>
      <c r="S28" s="3"/>
      <c r="T28" s="3"/>
      <c r="U28" s="3"/>
      <c r="V28" s="3"/>
      <c r="W28" s="3"/>
      <c r="X28" s="3"/>
      <c r="Y28" s="3"/>
      <c r="Z28" s="3"/>
    </row>
    <row r="29" spans="1:29" ht="18" x14ac:dyDescent="0.35">
      <c r="A29" s="1"/>
      <c r="B29" s="33" t="s">
        <v>164</v>
      </c>
      <c r="C29" s="16"/>
      <c r="D29" s="16"/>
      <c r="E29" s="16"/>
      <c r="F29" s="16"/>
      <c r="G29" s="16"/>
      <c r="H29" s="16"/>
      <c r="I29" s="16"/>
      <c r="J29" s="16"/>
      <c r="K29" s="16"/>
      <c r="L29" s="16"/>
      <c r="M29" s="16"/>
      <c r="N29" s="16"/>
      <c r="O29" s="16"/>
      <c r="P29" s="16"/>
      <c r="Q29" s="16"/>
      <c r="R29" s="17"/>
      <c r="S29" s="3"/>
      <c r="T29" s="3"/>
      <c r="U29" s="3"/>
      <c r="V29" s="3"/>
      <c r="W29" s="3"/>
      <c r="X29" s="3"/>
      <c r="Y29" s="3"/>
      <c r="Z29" s="3"/>
    </row>
    <row r="30" spans="1:29" x14ac:dyDescent="0.3">
      <c r="B30" s="20"/>
      <c r="C30" s="3"/>
      <c r="D30" s="3"/>
      <c r="E30" s="3"/>
      <c r="F30" s="3"/>
      <c r="G30" s="3"/>
      <c r="H30" s="3"/>
      <c r="I30" s="3"/>
      <c r="J30" s="3"/>
      <c r="K30" s="3"/>
      <c r="L30" s="3"/>
      <c r="M30" s="3"/>
      <c r="N30" s="3"/>
      <c r="O30" s="3"/>
      <c r="P30" s="3"/>
      <c r="Q30" s="3"/>
      <c r="R30" s="19"/>
    </row>
    <row r="31" spans="1:29" x14ac:dyDescent="0.3">
      <c r="B31" s="120" t="s">
        <v>28</v>
      </c>
      <c r="C31" s="41" t="s">
        <v>165</v>
      </c>
      <c r="D31" s="41" t="s">
        <v>166</v>
      </c>
      <c r="E31" s="3"/>
      <c r="F31" s="3"/>
      <c r="G31" s="3"/>
      <c r="H31" s="3"/>
      <c r="I31" s="3"/>
      <c r="J31" s="3"/>
      <c r="K31" s="3"/>
      <c r="L31" s="3"/>
      <c r="M31" s="3"/>
      <c r="N31" s="3"/>
      <c r="O31" s="3"/>
      <c r="P31" s="3"/>
      <c r="Q31" s="3"/>
      <c r="R31" s="19"/>
    </row>
    <row r="32" spans="1:29" x14ac:dyDescent="0.3">
      <c r="B32" s="120" t="s">
        <v>167</v>
      </c>
      <c r="C32" s="121">
        <v>0.215</v>
      </c>
      <c r="D32" s="122">
        <v>15</v>
      </c>
      <c r="E32" s="3"/>
      <c r="F32" s="191" t="s">
        <v>168</v>
      </c>
      <c r="G32" s="191"/>
      <c r="H32" s="191"/>
      <c r="I32" s="191"/>
      <c r="J32" s="191"/>
      <c r="K32" s="191"/>
      <c r="L32" s="191"/>
      <c r="M32" s="191"/>
      <c r="N32" s="191"/>
      <c r="O32" s="191"/>
      <c r="P32" s="3"/>
      <c r="Q32" s="3"/>
      <c r="R32" s="19"/>
    </row>
    <row r="33" spans="2:18" x14ac:dyDescent="0.3">
      <c r="B33" s="120" t="s">
        <v>169</v>
      </c>
      <c r="C33" s="121">
        <v>3.2000000000000001E-2</v>
      </c>
      <c r="D33" s="122">
        <v>8</v>
      </c>
      <c r="E33" s="3"/>
      <c r="F33" s="191"/>
      <c r="G33" s="191"/>
      <c r="H33" s="191"/>
      <c r="I33" s="191"/>
      <c r="J33" s="191"/>
      <c r="K33" s="191"/>
      <c r="L33" s="191"/>
      <c r="M33" s="191"/>
      <c r="N33" s="191"/>
      <c r="O33" s="191"/>
      <c r="P33" s="3"/>
      <c r="Q33" s="3"/>
      <c r="R33" s="19"/>
    </row>
    <row r="34" spans="2:18" x14ac:dyDescent="0.3">
      <c r="B34" s="120" t="s">
        <v>170</v>
      </c>
      <c r="C34" s="121">
        <v>8.5999999999999993E-2</v>
      </c>
      <c r="D34" s="122">
        <v>3</v>
      </c>
      <c r="E34" s="3"/>
      <c r="F34" s="191"/>
      <c r="G34" s="191"/>
      <c r="H34" s="191"/>
      <c r="I34" s="191"/>
      <c r="J34" s="191"/>
      <c r="K34" s="191"/>
      <c r="L34" s="191"/>
      <c r="M34" s="191"/>
      <c r="N34" s="191"/>
      <c r="O34" s="191"/>
      <c r="P34" s="3"/>
      <c r="Q34" s="3"/>
      <c r="R34" s="19"/>
    </row>
    <row r="35" spans="2:18" x14ac:dyDescent="0.3">
      <c r="B35" s="120" t="s">
        <v>171</v>
      </c>
      <c r="C35" s="121">
        <v>0.53900000000000003</v>
      </c>
      <c r="D35" s="122">
        <v>15</v>
      </c>
      <c r="E35" s="3"/>
      <c r="F35" s="191"/>
      <c r="G35" s="191"/>
      <c r="H35" s="191"/>
      <c r="I35" s="191"/>
      <c r="J35" s="191"/>
      <c r="K35" s="191"/>
      <c r="L35" s="191"/>
      <c r="M35" s="191"/>
      <c r="N35" s="191"/>
      <c r="O35" s="191"/>
      <c r="P35" s="3"/>
      <c r="Q35" s="3"/>
      <c r="R35" s="19"/>
    </row>
    <row r="36" spans="2:18" x14ac:dyDescent="0.3">
      <c r="B36" s="120" t="s">
        <v>172</v>
      </c>
      <c r="C36" s="121">
        <v>4.8000000000000001E-2</v>
      </c>
      <c r="D36" s="122">
        <v>8</v>
      </c>
      <c r="E36" s="3"/>
      <c r="F36" s="191"/>
      <c r="G36" s="191"/>
      <c r="H36" s="191"/>
      <c r="I36" s="191"/>
      <c r="J36" s="191"/>
      <c r="K36" s="191"/>
      <c r="L36" s="191"/>
      <c r="M36" s="191"/>
      <c r="N36" s="191"/>
      <c r="O36" s="191"/>
      <c r="P36" s="3"/>
      <c r="Q36" s="3"/>
      <c r="R36" s="19"/>
    </row>
    <row r="37" spans="2:18" x14ac:dyDescent="0.3">
      <c r="B37" s="120" t="s">
        <v>173</v>
      </c>
      <c r="C37" s="121">
        <v>0.08</v>
      </c>
      <c r="D37" s="122">
        <v>10</v>
      </c>
      <c r="E37" s="3"/>
      <c r="F37" s="191"/>
      <c r="G37" s="191"/>
      <c r="H37" s="191"/>
      <c r="I37" s="191"/>
      <c r="J37" s="191"/>
      <c r="K37" s="191"/>
      <c r="L37" s="191"/>
      <c r="M37" s="191"/>
      <c r="N37" s="191"/>
      <c r="O37" s="191"/>
      <c r="P37" s="3"/>
      <c r="Q37" s="3"/>
      <c r="R37" s="19"/>
    </row>
    <row r="38" spans="2:18" x14ac:dyDescent="0.3">
      <c r="B38" s="120" t="s">
        <v>136</v>
      </c>
      <c r="C38" s="41"/>
      <c r="D38" s="41"/>
      <c r="E38" s="3"/>
      <c r="F38" s="191"/>
      <c r="G38" s="191"/>
      <c r="H38" s="191"/>
      <c r="I38" s="191"/>
      <c r="J38" s="191"/>
      <c r="K38" s="191"/>
      <c r="L38" s="191"/>
      <c r="M38" s="191"/>
      <c r="N38" s="191"/>
      <c r="O38" s="191"/>
      <c r="P38" s="3"/>
      <c r="Q38" s="3"/>
      <c r="R38" s="19"/>
    </row>
    <row r="39" spans="2:18" ht="15" thickBot="1" x14ac:dyDescent="0.35">
      <c r="B39" s="26"/>
      <c r="C39" s="27"/>
      <c r="D39" s="27"/>
      <c r="E39" s="27"/>
      <c r="F39" s="27"/>
      <c r="G39" s="27"/>
      <c r="H39" s="27"/>
      <c r="I39" s="27"/>
      <c r="J39" s="27"/>
      <c r="K39" s="27"/>
      <c r="L39" s="27"/>
      <c r="M39" s="27"/>
      <c r="N39" s="27"/>
      <c r="O39" s="27"/>
      <c r="P39" s="27"/>
      <c r="Q39" s="27"/>
      <c r="R39" s="28"/>
    </row>
    <row r="40" spans="2:18" x14ac:dyDescent="0.3">
      <c r="B40" s="3"/>
      <c r="C40" s="3"/>
      <c r="D40" s="3"/>
      <c r="E40" s="3"/>
      <c r="F40" s="3"/>
      <c r="G40" s="3"/>
      <c r="H40" s="3"/>
      <c r="I40" s="3"/>
      <c r="J40" s="3"/>
      <c r="K40" s="3"/>
      <c r="L40" s="3"/>
      <c r="M40" s="3"/>
      <c r="N40" s="3"/>
      <c r="O40" s="3"/>
      <c r="P40" s="3"/>
      <c r="Q40" s="3"/>
      <c r="R40" s="3"/>
    </row>
    <row r="41" spans="2:18" ht="15" thickBot="1" x14ac:dyDescent="0.35">
      <c r="B41" s="3"/>
      <c r="C41" s="3"/>
      <c r="D41" s="3"/>
      <c r="E41" s="3"/>
      <c r="F41" s="3"/>
      <c r="G41" s="3"/>
      <c r="H41" s="3"/>
      <c r="I41" s="3"/>
      <c r="J41" s="3"/>
      <c r="K41" s="3"/>
      <c r="L41" s="3"/>
      <c r="M41" s="3"/>
      <c r="N41" s="3"/>
      <c r="O41" s="3"/>
      <c r="P41" s="3"/>
      <c r="Q41" s="3"/>
      <c r="R41" s="3"/>
    </row>
    <row r="42" spans="2:18" ht="18" x14ac:dyDescent="0.35">
      <c r="B42" s="33" t="s">
        <v>174</v>
      </c>
      <c r="C42" s="16"/>
      <c r="D42" s="16"/>
      <c r="E42" s="16"/>
      <c r="F42" s="16"/>
      <c r="G42" s="16"/>
      <c r="H42" s="16"/>
      <c r="I42" s="16"/>
      <c r="J42" s="16"/>
      <c r="K42" s="16"/>
      <c r="L42" s="16"/>
      <c r="M42" s="16"/>
      <c r="N42" s="16"/>
      <c r="O42" s="16"/>
      <c r="P42" s="16"/>
      <c r="Q42" s="16"/>
      <c r="R42" s="17"/>
    </row>
    <row r="43" spans="2:18" ht="18" x14ac:dyDescent="0.35">
      <c r="B43" s="123"/>
      <c r="C43" s="3" t="s">
        <v>175</v>
      </c>
      <c r="D43" s="3"/>
      <c r="E43" s="3"/>
      <c r="F43" s="3"/>
      <c r="G43" s="3"/>
      <c r="H43" s="3"/>
      <c r="I43" s="3"/>
      <c r="J43" s="3"/>
      <c r="K43" s="3"/>
      <c r="L43" s="3"/>
      <c r="M43" s="3"/>
      <c r="N43" s="3"/>
      <c r="O43" s="3"/>
      <c r="P43" s="3"/>
      <c r="Q43" s="3"/>
      <c r="R43" s="19"/>
    </row>
    <row r="44" spans="2:18" x14ac:dyDescent="0.3">
      <c r="B44" s="20"/>
      <c r="C44" s="41">
        <f t="shared" ref="C44:Q44" si="2">C48</f>
        <v>2015</v>
      </c>
      <c r="D44" s="41">
        <f t="shared" si="2"/>
        <v>2016</v>
      </c>
      <c r="E44" s="41">
        <f t="shared" si="2"/>
        <v>2017</v>
      </c>
      <c r="F44" s="41">
        <f t="shared" si="2"/>
        <v>2018</v>
      </c>
      <c r="G44" s="41">
        <f t="shared" si="2"/>
        <v>2019</v>
      </c>
      <c r="H44" s="41">
        <f t="shared" si="2"/>
        <v>2020</v>
      </c>
      <c r="I44" s="41">
        <f t="shared" si="2"/>
        <v>2021</v>
      </c>
      <c r="J44" s="41">
        <f t="shared" si="2"/>
        <v>2022</v>
      </c>
      <c r="K44" s="41">
        <f t="shared" si="2"/>
        <v>2023</v>
      </c>
      <c r="L44" s="41">
        <f t="shared" si="2"/>
        <v>2024</v>
      </c>
      <c r="M44" s="41">
        <f t="shared" si="2"/>
        <v>2025</v>
      </c>
      <c r="N44" s="41">
        <f t="shared" si="2"/>
        <v>2026</v>
      </c>
      <c r="O44" s="41">
        <f t="shared" si="2"/>
        <v>2027</v>
      </c>
      <c r="P44" s="41">
        <f t="shared" si="2"/>
        <v>2028</v>
      </c>
      <c r="Q44" s="41">
        <f t="shared" si="2"/>
        <v>2029</v>
      </c>
      <c r="R44" s="19"/>
    </row>
    <row r="45" spans="2:18" x14ac:dyDescent="0.3">
      <c r="B45" s="20"/>
      <c r="C45" s="124">
        <f>C25</f>
        <v>531.39519448432748</v>
      </c>
      <c r="D45" s="124">
        <f t="shared" ref="D45:Q45" si="3">D25</f>
        <v>531.39519448432748</v>
      </c>
      <c r="E45" s="124">
        <f t="shared" si="3"/>
        <v>531.39519448432748</v>
      </c>
      <c r="F45" s="124">
        <f t="shared" si="3"/>
        <v>531.39519448432748</v>
      </c>
      <c r="G45" s="124">
        <f t="shared" si="3"/>
        <v>531.39519448432748</v>
      </c>
      <c r="H45" s="124">
        <f t="shared" si="3"/>
        <v>531.39519448432748</v>
      </c>
      <c r="I45" s="124">
        <f t="shared" si="3"/>
        <v>531.39519448432748</v>
      </c>
      <c r="J45" s="124">
        <f t="shared" si="3"/>
        <v>531.39519448432748</v>
      </c>
      <c r="K45" s="124">
        <f t="shared" si="3"/>
        <v>531.39519448432748</v>
      </c>
      <c r="L45" s="124">
        <f t="shared" si="3"/>
        <v>531.39519448432748</v>
      </c>
      <c r="M45" s="124">
        <f t="shared" si="3"/>
        <v>531.39519448432748</v>
      </c>
      <c r="N45" s="124">
        <f t="shared" si="3"/>
        <v>531.39519448432748</v>
      </c>
      <c r="O45" s="124">
        <f t="shared" si="3"/>
        <v>531.39519448432748</v>
      </c>
      <c r="P45" s="124">
        <f t="shared" si="3"/>
        <v>531.39519448432748</v>
      </c>
      <c r="Q45" s="124">
        <f t="shared" si="3"/>
        <v>531.39519448432748</v>
      </c>
      <c r="R45" s="19"/>
    </row>
    <row r="46" spans="2:18" x14ac:dyDescent="0.3">
      <c r="B46" s="20"/>
      <c r="C46" s="3"/>
      <c r="D46" s="3"/>
      <c r="E46" s="3"/>
      <c r="F46" s="3"/>
      <c r="G46" s="3"/>
      <c r="H46" s="3"/>
      <c r="I46" s="3"/>
      <c r="J46" s="3"/>
      <c r="K46" s="3"/>
      <c r="L46" s="3"/>
      <c r="M46" s="3"/>
      <c r="N46" s="3"/>
      <c r="O46" s="3"/>
      <c r="P46" s="3"/>
      <c r="Q46" s="3"/>
      <c r="R46" s="19"/>
    </row>
    <row r="47" spans="2:18" x14ac:dyDescent="0.3">
      <c r="B47" s="20"/>
      <c r="C47" s="3"/>
      <c r="D47" s="3"/>
      <c r="E47" s="3"/>
      <c r="F47" s="3"/>
      <c r="G47" s="3"/>
      <c r="H47" s="3"/>
      <c r="I47" s="3"/>
      <c r="J47" s="3"/>
      <c r="K47" s="3"/>
      <c r="L47" s="3"/>
      <c r="M47" s="3"/>
      <c r="N47" s="3"/>
      <c r="O47" s="3"/>
      <c r="P47" s="3"/>
      <c r="Q47" s="3"/>
      <c r="R47" s="19"/>
    </row>
    <row r="48" spans="2:18" x14ac:dyDescent="0.3">
      <c r="B48" s="120" t="s">
        <v>99</v>
      </c>
      <c r="C48" s="41">
        <v>2015</v>
      </c>
      <c r="D48" s="41">
        <f t="shared" ref="D48:Q48" si="4">C48+1</f>
        <v>2016</v>
      </c>
      <c r="E48" s="41">
        <f t="shared" si="4"/>
        <v>2017</v>
      </c>
      <c r="F48" s="41">
        <f t="shared" si="4"/>
        <v>2018</v>
      </c>
      <c r="G48" s="41">
        <f t="shared" si="4"/>
        <v>2019</v>
      </c>
      <c r="H48" s="41">
        <f t="shared" si="4"/>
        <v>2020</v>
      </c>
      <c r="I48" s="41">
        <f t="shared" si="4"/>
        <v>2021</v>
      </c>
      <c r="J48" s="41">
        <f t="shared" si="4"/>
        <v>2022</v>
      </c>
      <c r="K48" s="41">
        <f t="shared" si="4"/>
        <v>2023</v>
      </c>
      <c r="L48" s="41">
        <f t="shared" si="4"/>
        <v>2024</v>
      </c>
      <c r="M48" s="41">
        <f t="shared" si="4"/>
        <v>2025</v>
      </c>
      <c r="N48" s="41">
        <f t="shared" si="4"/>
        <v>2026</v>
      </c>
      <c r="O48" s="41">
        <f t="shared" si="4"/>
        <v>2027</v>
      </c>
      <c r="P48" s="41">
        <f t="shared" si="4"/>
        <v>2028</v>
      </c>
      <c r="Q48" s="41">
        <f t="shared" si="4"/>
        <v>2029</v>
      </c>
      <c r="R48" s="19"/>
    </row>
    <row r="49" spans="2:18" x14ac:dyDescent="0.3">
      <c r="B49" s="120">
        <v>2015</v>
      </c>
      <c r="C49" s="125">
        <f t="shared" ref="C49:Q58" si="5">HLOOKUP($B49,$C$44:$Q$45,2,FALSE)*$C$32*(1-IF(ROUNDDOWN((C$44-$B49)/$D$32,0)&lt;1,0,IF(ROUNDDOWN((C$44-$B49)/$D$32,0)&lt;2,0.5,IF(ROUNDDOWN((C$44-$B49)/$D$32,0)&lt;3,0.75,IF(ROUNDDOWN((C$44-$B49)/$D$32,0)&lt;4,0.875,0.9375)))))+HLOOKUP($B49,$C$44:$Q$45,2,FALSE)*$C$33*(1-IF(ROUNDDOWN((C$44-$B49)/$D$33,0)&lt;1,0,IF(ROUNDDOWN((C$44-$B49)/$D$33,0)&lt;2,0.5,IF(ROUNDDOWN((C$44-$B49)/$D$33,0)&lt;3,0.75,IF(ROUNDDOWN((C$44-$B49)/$D$33,0)&lt;4,0.875,0.9375)))))+HLOOKUP($B49,$C$44:$Q$45,2,FALSE)*$C$34*(1-IF(ROUNDDOWN((C$44-$B49)/$D$34,0)&lt;1,0,IF(ROUNDDOWN((C$44-$B49)/$D$34,0)&lt;2,0.5,IF(ROUNDDOWN((C$44-$B49)/$D$34,0)&lt;3,0.75,IF(ROUNDDOWN((C$44-$B49)/$D$34,0)&lt;4,0.875,0.9375)))))+HLOOKUP($B49,$C$44:$Q$45,2,FALSE)*$C$35*(1-IF(ROUNDDOWN((C$44-$B49)/$D$35,0)&lt;1,0,IF(ROUNDDOWN((C$44-$B49)/$D$35,0)&lt;2,0.5,IF(ROUNDDOWN((C$44-$B49)/$D$35,0)&lt;3,0.75,IF(ROUNDDOWN((C$44-$B49)/$D$35,0)&lt;4,0.875,0.9375)))))+HLOOKUP($B49,$C$44:$Q$45,2,FALSE)*$C$36*(1-IF(ROUNDDOWN((C$44-$B49)/$D$36,0)&lt;1,0,IF(ROUNDDOWN((C$44-$B49)/$D$36,0)&lt;2,0.5,IF(ROUNDDOWN((C$44-$B49)/$D$36,0)&lt;3,0.75,IF(ROUNDDOWN((C$44-$B49)/$D$36,0)&lt;4,0.875,0.9375)))))+HLOOKUP($B49,$C$44:$Q$45,2,FALSE)*$C$37*(1-IF(ROUNDDOWN((C$44-$B49)/$D$37,0)&lt;1,0,IF(ROUNDDOWN((C$44-$B49)/$D$37,0)&lt;2,0.5,IF(ROUNDDOWN((C$44-$B49)/$D$37,0)&lt;3,0.75,IF(ROUNDDOWN((C$44-$B49)/$D$37,0)&lt;4,0.875,0.9375)))))</f>
        <v>531.39519448432748</v>
      </c>
      <c r="D49" s="125">
        <f t="shared" si="5"/>
        <v>531.39519448432748</v>
      </c>
      <c r="E49" s="125">
        <f t="shared" si="5"/>
        <v>531.39519448432748</v>
      </c>
      <c r="F49" s="125">
        <f t="shared" si="5"/>
        <v>508.54520112150141</v>
      </c>
      <c r="G49" s="125">
        <f t="shared" si="5"/>
        <v>508.54520112150141</v>
      </c>
      <c r="H49" s="125">
        <f t="shared" si="5"/>
        <v>508.54520112150141</v>
      </c>
      <c r="I49" s="125">
        <f t="shared" si="5"/>
        <v>497.12020444008834</v>
      </c>
      <c r="J49" s="125">
        <f t="shared" si="5"/>
        <v>497.12020444008834</v>
      </c>
      <c r="K49" s="125">
        <f t="shared" si="5"/>
        <v>475.86439666071527</v>
      </c>
      <c r="L49" s="125">
        <f t="shared" si="5"/>
        <v>470.1518983200088</v>
      </c>
      <c r="M49" s="125">
        <f t="shared" si="5"/>
        <v>448.89609054063567</v>
      </c>
      <c r="N49" s="125">
        <f t="shared" si="5"/>
        <v>448.89609054063567</v>
      </c>
      <c r="O49" s="125">
        <f t="shared" si="5"/>
        <v>446.03984137028237</v>
      </c>
      <c r="P49" s="125">
        <f t="shared" si="5"/>
        <v>446.03984137028237</v>
      </c>
      <c r="Q49" s="125">
        <f t="shared" si="5"/>
        <v>446.03984137028237</v>
      </c>
      <c r="R49" s="19"/>
    </row>
    <row r="50" spans="2:18" x14ac:dyDescent="0.3">
      <c r="B50" s="120">
        <f t="shared" ref="B50:B64" si="6">B49+1</f>
        <v>2016</v>
      </c>
      <c r="C50" s="125"/>
      <c r="D50" s="125">
        <f t="shared" si="5"/>
        <v>531.39519448432748</v>
      </c>
      <c r="E50" s="125">
        <f t="shared" si="5"/>
        <v>531.39519448432748</v>
      </c>
      <c r="F50" s="125">
        <f t="shared" si="5"/>
        <v>531.39519448432748</v>
      </c>
      <c r="G50" s="125">
        <f t="shared" si="5"/>
        <v>508.54520112150141</v>
      </c>
      <c r="H50" s="125">
        <f t="shared" si="5"/>
        <v>508.54520112150141</v>
      </c>
      <c r="I50" s="125">
        <f t="shared" si="5"/>
        <v>508.54520112150141</v>
      </c>
      <c r="J50" s="125">
        <f t="shared" si="5"/>
        <v>497.12020444008834</v>
      </c>
      <c r="K50" s="125">
        <f t="shared" si="5"/>
        <v>497.12020444008834</v>
      </c>
      <c r="L50" s="125">
        <f t="shared" si="5"/>
        <v>475.86439666071527</v>
      </c>
      <c r="M50" s="125">
        <f t="shared" si="5"/>
        <v>470.1518983200088</v>
      </c>
      <c r="N50" s="125">
        <f t="shared" si="5"/>
        <v>448.89609054063567</v>
      </c>
      <c r="O50" s="125">
        <f t="shared" si="5"/>
        <v>448.89609054063567</v>
      </c>
      <c r="P50" s="125">
        <f t="shared" si="5"/>
        <v>446.03984137028237</v>
      </c>
      <c r="Q50" s="125">
        <f t="shared" si="5"/>
        <v>446.03984137028237</v>
      </c>
      <c r="R50" s="19"/>
    </row>
    <row r="51" spans="2:18" x14ac:dyDescent="0.3">
      <c r="B51" s="120">
        <f t="shared" si="6"/>
        <v>2017</v>
      </c>
      <c r="C51" s="125"/>
      <c r="D51" s="125"/>
      <c r="E51" s="125">
        <f t="shared" si="5"/>
        <v>531.39519448432748</v>
      </c>
      <c r="F51" s="125">
        <f t="shared" si="5"/>
        <v>531.39519448432748</v>
      </c>
      <c r="G51" s="125">
        <f t="shared" si="5"/>
        <v>531.39519448432748</v>
      </c>
      <c r="H51" s="125">
        <f t="shared" si="5"/>
        <v>508.54520112150141</v>
      </c>
      <c r="I51" s="125">
        <f t="shared" si="5"/>
        <v>508.54520112150141</v>
      </c>
      <c r="J51" s="125">
        <f t="shared" si="5"/>
        <v>508.54520112150141</v>
      </c>
      <c r="K51" s="125">
        <f t="shared" si="5"/>
        <v>497.12020444008834</v>
      </c>
      <c r="L51" s="125">
        <f t="shared" si="5"/>
        <v>497.12020444008834</v>
      </c>
      <c r="M51" s="125">
        <f t="shared" si="5"/>
        <v>475.86439666071527</v>
      </c>
      <c r="N51" s="125">
        <f t="shared" si="5"/>
        <v>470.1518983200088</v>
      </c>
      <c r="O51" s="125">
        <f t="shared" si="5"/>
        <v>448.89609054063567</v>
      </c>
      <c r="P51" s="125">
        <f t="shared" si="5"/>
        <v>448.89609054063567</v>
      </c>
      <c r="Q51" s="125">
        <f t="shared" si="5"/>
        <v>446.03984137028237</v>
      </c>
      <c r="R51" s="19"/>
    </row>
    <row r="52" spans="2:18" x14ac:dyDescent="0.3">
      <c r="B52" s="120">
        <f t="shared" si="6"/>
        <v>2018</v>
      </c>
      <c r="C52" s="125"/>
      <c r="D52" s="125"/>
      <c r="E52" s="125"/>
      <c r="F52" s="125">
        <f t="shared" si="5"/>
        <v>531.39519448432748</v>
      </c>
      <c r="G52" s="125">
        <f t="shared" si="5"/>
        <v>531.39519448432748</v>
      </c>
      <c r="H52" s="125">
        <f t="shared" si="5"/>
        <v>531.39519448432748</v>
      </c>
      <c r="I52" s="125">
        <f t="shared" si="5"/>
        <v>508.54520112150141</v>
      </c>
      <c r="J52" s="125">
        <f t="shared" si="5"/>
        <v>508.54520112150141</v>
      </c>
      <c r="K52" s="125">
        <f t="shared" si="5"/>
        <v>508.54520112150141</v>
      </c>
      <c r="L52" s="125">
        <f t="shared" si="5"/>
        <v>497.12020444008834</v>
      </c>
      <c r="M52" s="125">
        <f t="shared" si="5"/>
        <v>497.12020444008834</v>
      </c>
      <c r="N52" s="125">
        <f t="shared" si="5"/>
        <v>475.86439666071527</v>
      </c>
      <c r="O52" s="125">
        <f t="shared" si="5"/>
        <v>470.1518983200088</v>
      </c>
      <c r="P52" s="125">
        <f t="shared" si="5"/>
        <v>448.89609054063567</v>
      </c>
      <c r="Q52" s="125">
        <f t="shared" si="5"/>
        <v>448.89609054063567</v>
      </c>
      <c r="R52" s="19"/>
    </row>
    <row r="53" spans="2:18" x14ac:dyDescent="0.3">
      <c r="B53" s="120">
        <f t="shared" si="6"/>
        <v>2019</v>
      </c>
      <c r="C53" s="125"/>
      <c r="D53" s="125"/>
      <c r="E53" s="125"/>
      <c r="F53" s="125"/>
      <c r="G53" s="125">
        <f t="shared" si="5"/>
        <v>531.39519448432748</v>
      </c>
      <c r="H53" s="125">
        <f t="shared" si="5"/>
        <v>531.39519448432748</v>
      </c>
      <c r="I53" s="125">
        <f t="shared" si="5"/>
        <v>531.39519448432748</v>
      </c>
      <c r="J53" s="125">
        <f t="shared" si="5"/>
        <v>508.54520112150141</v>
      </c>
      <c r="K53" s="125">
        <f t="shared" si="5"/>
        <v>508.54520112150141</v>
      </c>
      <c r="L53" s="125">
        <f t="shared" si="5"/>
        <v>508.54520112150141</v>
      </c>
      <c r="M53" s="125">
        <f t="shared" si="5"/>
        <v>497.12020444008834</v>
      </c>
      <c r="N53" s="125">
        <f t="shared" si="5"/>
        <v>497.12020444008834</v>
      </c>
      <c r="O53" s="125">
        <f t="shared" si="5"/>
        <v>475.86439666071527</v>
      </c>
      <c r="P53" s="125">
        <f t="shared" si="5"/>
        <v>470.1518983200088</v>
      </c>
      <c r="Q53" s="125">
        <f t="shared" si="5"/>
        <v>448.89609054063567</v>
      </c>
      <c r="R53" s="19"/>
    </row>
    <row r="54" spans="2:18" x14ac:dyDescent="0.3">
      <c r="B54" s="120">
        <f t="shared" si="6"/>
        <v>2020</v>
      </c>
      <c r="C54" s="125"/>
      <c r="D54" s="125"/>
      <c r="E54" s="125"/>
      <c r="F54" s="125"/>
      <c r="G54" s="125"/>
      <c r="H54" s="125">
        <f t="shared" si="5"/>
        <v>531.39519448432748</v>
      </c>
      <c r="I54" s="125">
        <f t="shared" si="5"/>
        <v>531.39519448432748</v>
      </c>
      <c r="J54" s="125">
        <f t="shared" si="5"/>
        <v>531.39519448432748</v>
      </c>
      <c r="K54" s="125">
        <f t="shared" si="5"/>
        <v>508.54520112150141</v>
      </c>
      <c r="L54" s="125">
        <f t="shared" si="5"/>
        <v>508.54520112150141</v>
      </c>
      <c r="M54" s="125">
        <f t="shared" si="5"/>
        <v>508.54520112150141</v>
      </c>
      <c r="N54" s="125">
        <f t="shared" si="5"/>
        <v>497.12020444008834</v>
      </c>
      <c r="O54" s="125">
        <f t="shared" si="5"/>
        <v>497.12020444008834</v>
      </c>
      <c r="P54" s="125">
        <f t="shared" si="5"/>
        <v>475.86439666071527</v>
      </c>
      <c r="Q54" s="125">
        <f t="shared" si="5"/>
        <v>470.1518983200088</v>
      </c>
      <c r="R54" s="19"/>
    </row>
    <row r="55" spans="2:18" x14ac:dyDescent="0.3">
      <c r="B55" s="120">
        <f t="shared" si="6"/>
        <v>2021</v>
      </c>
      <c r="C55" s="125"/>
      <c r="D55" s="125"/>
      <c r="E55" s="125"/>
      <c r="F55" s="125"/>
      <c r="G55" s="125"/>
      <c r="H55" s="125"/>
      <c r="I55" s="125">
        <f t="shared" si="5"/>
        <v>531.39519448432748</v>
      </c>
      <c r="J55" s="125">
        <f t="shared" si="5"/>
        <v>531.39519448432748</v>
      </c>
      <c r="K55" s="125">
        <f t="shared" si="5"/>
        <v>531.39519448432748</v>
      </c>
      <c r="L55" s="125">
        <f t="shared" si="5"/>
        <v>508.54520112150141</v>
      </c>
      <c r="M55" s="125">
        <f t="shared" si="5"/>
        <v>508.54520112150141</v>
      </c>
      <c r="N55" s="125">
        <f t="shared" si="5"/>
        <v>508.54520112150141</v>
      </c>
      <c r="O55" s="125">
        <f t="shared" si="5"/>
        <v>497.12020444008834</v>
      </c>
      <c r="P55" s="125">
        <f t="shared" si="5"/>
        <v>497.12020444008834</v>
      </c>
      <c r="Q55" s="125">
        <f t="shared" si="5"/>
        <v>475.86439666071527</v>
      </c>
      <c r="R55" s="19"/>
    </row>
    <row r="56" spans="2:18" x14ac:dyDescent="0.3">
      <c r="B56" s="120">
        <f t="shared" si="6"/>
        <v>2022</v>
      </c>
      <c r="C56" s="125"/>
      <c r="D56" s="125"/>
      <c r="E56" s="125"/>
      <c r="F56" s="125"/>
      <c r="G56" s="125"/>
      <c r="H56" s="125"/>
      <c r="I56" s="125"/>
      <c r="J56" s="125">
        <f t="shared" si="5"/>
        <v>531.39519448432748</v>
      </c>
      <c r="K56" s="125">
        <f t="shared" si="5"/>
        <v>531.39519448432748</v>
      </c>
      <c r="L56" s="125">
        <f t="shared" si="5"/>
        <v>531.39519448432748</v>
      </c>
      <c r="M56" s="125">
        <f t="shared" si="5"/>
        <v>508.54520112150141</v>
      </c>
      <c r="N56" s="125">
        <f t="shared" si="5"/>
        <v>508.54520112150141</v>
      </c>
      <c r="O56" s="125">
        <f t="shared" si="5"/>
        <v>508.54520112150141</v>
      </c>
      <c r="P56" s="125">
        <f t="shared" si="5"/>
        <v>497.12020444008834</v>
      </c>
      <c r="Q56" s="125">
        <f t="shared" si="5"/>
        <v>497.12020444008834</v>
      </c>
      <c r="R56" s="19"/>
    </row>
    <row r="57" spans="2:18" x14ac:dyDescent="0.3">
      <c r="B57" s="120">
        <f t="shared" si="6"/>
        <v>2023</v>
      </c>
      <c r="C57" s="125"/>
      <c r="D57" s="125"/>
      <c r="E57" s="125"/>
      <c r="F57" s="125"/>
      <c r="G57" s="125"/>
      <c r="H57" s="125"/>
      <c r="I57" s="125"/>
      <c r="J57" s="125"/>
      <c r="K57" s="125">
        <f t="shared" si="5"/>
        <v>531.39519448432748</v>
      </c>
      <c r="L57" s="125">
        <f t="shared" si="5"/>
        <v>531.39519448432748</v>
      </c>
      <c r="M57" s="125">
        <f t="shared" si="5"/>
        <v>531.39519448432748</v>
      </c>
      <c r="N57" s="125">
        <f t="shared" si="5"/>
        <v>508.54520112150141</v>
      </c>
      <c r="O57" s="125">
        <f t="shared" si="5"/>
        <v>508.54520112150141</v>
      </c>
      <c r="P57" s="125">
        <f t="shared" si="5"/>
        <v>508.54520112150141</v>
      </c>
      <c r="Q57" s="125">
        <f t="shared" si="5"/>
        <v>497.12020444008834</v>
      </c>
      <c r="R57" s="19"/>
    </row>
    <row r="58" spans="2:18" x14ac:dyDescent="0.3">
      <c r="B58" s="120">
        <f t="shared" si="6"/>
        <v>2024</v>
      </c>
      <c r="C58" s="125"/>
      <c r="D58" s="125"/>
      <c r="E58" s="125"/>
      <c r="F58" s="125"/>
      <c r="G58" s="125"/>
      <c r="H58" s="125"/>
      <c r="I58" s="125"/>
      <c r="J58" s="125"/>
      <c r="K58" s="125"/>
      <c r="L58" s="125">
        <f t="shared" si="5"/>
        <v>531.39519448432748</v>
      </c>
      <c r="M58" s="125">
        <f t="shared" si="5"/>
        <v>531.39519448432748</v>
      </c>
      <c r="N58" s="125">
        <f t="shared" si="5"/>
        <v>531.39519448432748</v>
      </c>
      <c r="O58" s="125">
        <f t="shared" si="5"/>
        <v>508.54520112150141</v>
      </c>
      <c r="P58" s="125">
        <f t="shared" si="5"/>
        <v>508.54520112150141</v>
      </c>
      <c r="Q58" s="125">
        <f t="shared" si="5"/>
        <v>508.54520112150141</v>
      </c>
      <c r="R58" s="19"/>
    </row>
    <row r="59" spans="2:18" x14ac:dyDescent="0.3">
      <c r="B59" s="120">
        <f t="shared" si="6"/>
        <v>2025</v>
      </c>
      <c r="C59" s="125"/>
      <c r="D59" s="125"/>
      <c r="E59" s="125"/>
      <c r="F59" s="125"/>
      <c r="G59" s="125"/>
      <c r="H59" s="125"/>
      <c r="I59" s="125"/>
      <c r="J59" s="125"/>
      <c r="K59" s="125"/>
      <c r="L59" s="125"/>
      <c r="M59" s="125">
        <f>HLOOKUP($B59,$C$44:$Q$45,2,FALSE)*$C$32*(1-IF(ROUNDDOWN((M$44-$B59)/$D$32,0)&lt;1,0,IF(ROUNDDOWN((M$44-$B59)/$D$32,0)&lt;2,0.5,IF(ROUNDDOWN((M$44-$B59)/$D$32,0)&lt;3,0.75,IF(ROUNDDOWN((M$44-$B59)/$D$32,0)&lt;4,0.875,0.9375)))))+HLOOKUP($B59,$C$44:$Q$45,2,FALSE)*$C$33*(1-IF(ROUNDDOWN((M$44-$B59)/$D$33,0)&lt;1,0,IF(ROUNDDOWN((M$44-$B59)/$D$33,0)&lt;2,0.5,IF(ROUNDDOWN((M$44-$B59)/$D$33,0)&lt;3,0.75,IF(ROUNDDOWN((M$44-$B59)/$D$33,0)&lt;4,0.875,0.9375)))))+HLOOKUP($B59,$C$44:$Q$45,2,FALSE)*$C$34*(1-IF(ROUNDDOWN((M$44-$B59)/$D$34,0)&lt;1,0,IF(ROUNDDOWN((M$44-$B59)/$D$34,0)&lt;2,0.5,IF(ROUNDDOWN((M$44-$B59)/$D$34,0)&lt;3,0.75,IF(ROUNDDOWN((M$44-$B59)/$D$34,0)&lt;4,0.875,0.9375)))))+HLOOKUP($B59,$C$44:$Q$45,2,FALSE)*$C$35*(1-IF(ROUNDDOWN((M$44-$B59)/$D$35,0)&lt;1,0,IF(ROUNDDOWN((M$44-$B59)/$D$35,0)&lt;2,0.5,IF(ROUNDDOWN((M$44-$B59)/$D$35,0)&lt;3,0.75,IF(ROUNDDOWN((M$44-$B59)/$D$35,0)&lt;4,0.875,0.9375)))))+HLOOKUP($B59,$C$44:$Q$45,2,FALSE)*$C$36*(1-IF(ROUNDDOWN((M$44-$B59)/$D$36,0)&lt;1,0,IF(ROUNDDOWN((M$44-$B59)/$D$36,0)&lt;2,0.5,IF(ROUNDDOWN((M$44-$B59)/$D$36,0)&lt;3,0.75,IF(ROUNDDOWN((M$44-$B59)/$D$36,0)&lt;4,0.875,0.9375)))))+HLOOKUP($B59,$C$44:$Q$45,2,FALSE)*$C$37*(1-IF(ROUNDDOWN((M$44-$B59)/$D$37,0)&lt;1,0,IF(ROUNDDOWN((M$44-$B59)/$D$37,0)&lt;2,0.5,IF(ROUNDDOWN((M$44-$B59)/$D$37,0)&lt;3,0.75,IF(ROUNDDOWN((M$44-$B59)/$D$37,0)&lt;4,0.875,0.9375)))))</f>
        <v>531.39519448432748</v>
      </c>
      <c r="N59" s="125">
        <f>HLOOKUP($B59,$C$44:$Q$45,2,FALSE)*$C$32*(1-IF(ROUNDDOWN((N$44-$B59)/$D$32,0)&lt;1,0,IF(ROUNDDOWN((N$44-$B59)/$D$32,0)&lt;2,0.5,IF(ROUNDDOWN((N$44-$B59)/$D$32,0)&lt;3,0.75,IF(ROUNDDOWN((N$44-$B59)/$D$32,0)&lt;4,0.875,0.9375)))))+HLOOKUP($B59,$C$44:$Q$45,2,FALSE)*$C$33*(1-IF(ROUNDDOWN((N$44-$B59)/$D$33,0)&lt;1,0,IF(ROUNDDOWN((N$44-$B59)/$D$33,0)&lt;2,0.5,IF(ROUNDDOWN((N$44-$B59)/$D$33,0)&lt;3,0.75,IF(ROUNDDOWN((N$44-$B59)/$D$33,0)&lt;4,0.875,0.9375)))))+HLOOKUP($B59,$C$44:$Q$45,2,FALSE)*$C$34*(1-IF(ROUNDDOWN((N$44-$B59)/$D$34,0)&lt;1,0,IF(ROUNDDOWN((N$44-$B59)/$D$34,0)&lt;2,0.5,IF(ROUNDDOWN((N$44-$B59)/$D$34,0)&lt;3,0.75,IF(ROUNDDOWN((N$44-$B59)/$D$34,0)&lt;4,0.875,0.9375)))))+HLOOKUP($B59,$C$44:$Q$45,2,FALSE)*$C$35*(1-IF(ROUNDDOWN((N$44-$B59)/$D$35,0)&lt;1,0,IF(ROUNDDOWN((N$44-$B59)/$D$35,0)&lt;2,0.5,IF(ROUNDDOWN((N$44-$B59)/$D$35,0)&lt;3,0.75,IF(ROUNDDOWN((N$44-$B59)/$D$35,0)&lt;4,0.875,0.9375)))))+HLOOKUP($B59,$C$44:$Q$45,2,FALSE)*$C$36*(1-IF(ROUNDDOWN((N$44-$B59)/$D$36,0)&lt;1,0,IF(ROUNDDOWN((N$44-$B59)/$D$36,0)&lt;2,0.5,IF(ROUNDDOWN((N$44-$B59)/$D$36,0)&lt;3,0.75,IF(ROUNDDOWN((N$44-$B59)/$D$36,0)&lt;4,0.875,0.9375)))))+HLOOKUP($B59,$C$44:$Q$45,2,FALSE)*$C$37*(1-IF(ROUNDDOWN((N$44-$B59)/$D$37,0)&lt;1,0,IF(ROUNDDOWN((N$44-$B59)/$D$37,0)&lt;2,0.5,IF(ROUNDDOWN((N$44-$B59)/$D$37,0)&lt;3,0.75,IF(ROUNDDOWN((N$44-$B59)/$D$37,0)&lt;4,0.875,0.9375)))))</f>
        <v>531.39519448432748</v>
      </c>
      <c r="O59" s="125">
        <f>HLOOKUP($B59,$C$44:$Q$45,2,FALSE)*$C$32*(1-IF(ROUNDDOWN((O$44-$B59)/$D$32,0)&lt;1,0,IF(ROUNDDOWN((O$44-$B59)/$D$32,0)&lt;2,0.5,IF(ROUNDDOWN((O$44-$B59)/$D$32,0)&lt;3,0.75,IF(ROUNDDOWN((O$44-$B59)/$D$32,0)&lt;4,0.875,0.9375)))))+HLOOKUP($B59,$C$44:$Q$45,2,FALSE)*$C$33*(1-IF(ROUNDDOWN((O$44-$B59)/$D$33,0)&lt;1,0,IF(ROUNDDOWN((O$44-$B59)/$D$33,0)&lt;2,0.5,IF(ROUNDDOWN((O$44-$B59)/$D$33,0)&lt;3,0.75,IF(ROUNDDOWN((O$44-$B59)/$D$33,0)&lt;4,0.875,0.9375)))))+HLOOKUP($B59,$C$44:$Q$45,2,FALSE)*$C$34*(1-IF(ROUNDDOWN((O$44-$B59)/$D$34,0)&lt;1,0,IF(ROUNDDOWN((O$44-$B59)/$D$34,0)&lt;2,0.5,IF(ROUNDDOWN((O$44-$B59)/$D$34,0)&lt;3,0.75,IF(ROUNDDOWN((O$44-$B59)/$D$34,0)&lt;4,0.875,0.9375)))))+HLOOKUP($B59,$C$44:$Q$45,2,FALSE)*$C$35*(1-IF(ROUNDDOWN((O$44-$B59)/$D$35,0)&lt;1,0,IF(ROUNDDOWN((O$44-$B59)/$D$35,0)&lt;2,0.5,IF(ROUNDDOWN((O$44-$B59)/$D$35,0)&lt;3,0.75,IF(ROUNDDOWN((O$44-$B59)/$D$35,0)&lt;4,0.875,0.9375)))))+HLOOKUP($B59,$C$44:$Q$45,2,FALSE)*$C$36*(1-IF(ROUNDDOWN((O$44-$B59)/$D$36,0)&lt;1,0,IF(ROUNDDOWN((O$44-$B59)/$D$36,0)&lt;2,0.5,IF(ROUNDDOWN((O$44-$B59)/$D$36,0)&lt;3,0.75,IF(ROUNDDOWN((O$44-$B59)/$D$36,0)&lt;4,0.875,0.9375)))))+HLOOKUP($B59,$C$44:$Q$45,2,FALSE)*$C$37*(1-IF(ROUNDDOWN((O$44-$B59)/$D$37,0)&lt;1,0,IF(ROUNDDOWN((O$44-$B59)/$D$37,0)&lt;2,0.5,IF(ROUNDDOWN((O$44-$B59)/$D$37,0)&lt;3,0.75,IF(ROUNDDOWN((O$44-$B59)/$D$37,0)&lt;4,0.875,0.9375)))))</f>
        <v>531.39519448432748</v>
      </c>
      <c r="P59" s="125">
        <f>HLOOKUP($B59,$C$44:$Q$45,2,FALSE)*$C$32*(1-IF(ROUNDDOWN((P$44-$B59)/$D$32,0)&lt;1,0,IF(ROUNDDOWN((P$44-$B59)/$D$32,0)&lt;2,0.5,IF(ROUNDDOWN((P$44-$B59)/$D$32,0)&lt;3,0.75,IF(ROUNDDOWN((P$44-$B59)/$D$32,0)&lt;4,0.875,0.9375)))))+HLOOKUP($B59,$C$44:$Q$45,2,FALSE)*$C$33*(1-IF(ROUNDDOWN((P$44-$B59)/$D$33,0)&lt;1,0,IF(ROUNDDOWN((P$44-$B59)/$D$33,0)&lt;2,0.5,IF(ROUNDDOWN((P$44-$B59)/$D$33,0)&lt;3,0.75,IF(ROUNDDOWN((P$44-$B59)/$D$33,0)&lt;4,0.875,0.9375)))))+HLOOKUP($B59,$C$44:$Q$45,2,FALSE)*$C$34*(1-IF(ROUNDDOWN((P$44-$B59)/$D$34,0)&lt;1,0,IF(ROUNDDOWN((P$44-$B59)/$D$34,0)&lt;2,0.5,IF(ROUNDDOWN((P$44-$B59)/$D$34,0)&lt;3,0.75,IF(ROUNDDOWN((P$44-$B59)/$D$34,0)&lt;4,0.875,0.9375)))))+HLOOKUP($B59,$C$44:$Q$45,2,FALSE)*$C$35*(1-IF(ROUNDDOWN((P$44-$B59)/$D$35,0)&lt;1,0,IF(ROUNDDOWN((P$44-$B59)/$D$35,0)&lt;2,0.5,IF(ROUNDDOWN((P$44-$B59)/$D$35,0)&lt;3,0.75,IF(ROUNDDOWN((P$44-$B59)/$D$35,0)&lt;4,0.875,0.9375)))))+HLOOKUP($B59,$C$44:$Q$45,2,FALSE)*$C$36*(1-IF(ROUNDDOWN((P$44-$B59)/$D$36,0)&lt;1,0,IF(ROUNDDOWN((P$44-$B59)/$D$36,0)&lt;2,0.5,IF(ROUNDDOWN((P$44-$B59)/$D$36,0)&lt;3,0.75,IF(ROUNDDOWN((P$44-$B59)/$D$36,0)&lt;4,0.875,0.9375)))))+HLOOKUP($B59,$C$44:$Q$45,2,FALSE)*$C$37*(1-IF(ROUNDDOWN((P$44-$B59)/$D$37,0)&lt;1,0,IF(ROUNDDOWN((P$44-$B59)/$D$37,0)&lt;2,0.5,IF(ROUNDDOWN((P$44-$B59)/$D$37,0)&lt;3,0.75,IF(ROUNDDOWN((P$44-$B59)/$D$37,0)&lt;4,0.875,0.9375)))))</f>
        <v>508.54520112150141</v>
      </c>
      <c r="Q59" s="125">
        <f>HLOOKUP($B59,$C$44:$Q$45,2,FALSE)*$C$32*(1-IF(ROUNDDOWN((Q$44-$B59)/$D$32,0)&lt;1,0,IF(ROUNDDOWN((Q$44-$B59)/$D$32,0)&lt;2,0.5,IF(ROUNDDOWN((Q$44-$B59)/$D$32,0)&lt;3,0.75,IF(ROUNDDOWN((Q$44-$B59)/$D$32,0)&lt;4,0.875,0.9375)))))+HLOOKUP($B59,$C$44:$Q$45,2,FALSE)*$C$33*(1-IF(ROUNDDOWN((Q$44-$B59)/$D$33,0)&lt;1,0,IF(ROUNDDOWN((Q$44-$B59)/$D$33,0)&lt;2,0.5,IF(ROUNDDOWN((Q$44-$B59)/$D$33,0)&lt;3,0.75,IF(ROUNDDOWN((Q$44-$B59)/$D$33,0)&lt;4,0.875,0.9375)))))+HLOOKUP($B59,$C$44:$Q$45,2,FALSE)*$C$34*(1-IF(ROUNDDOWN((Q$44-$B59)/$D$34,0)&lt;1,0,IF(ROUNDDOWN((Q$44-$B59)/$D$34,0)&lt;2,0.5,IF(ROUNDDOWN((Q$44-$B59)/$D$34,0)&lt;3,0.75,IF(ROUNDDOWN((Q$44-$B59)/$D$34,0)&lt;4,0.875,0.9375)))))+HLOOKUP($B59,$C$44:$Q$45,2,FALSE)*$C$35*(1-IF(ROUNDDOWN((Q$44-$B59)/$D$35,0)&lt;1,0,IF(ROUNDDOWN((Q$44-$B59)/$D$35,0)&lt;2,0.5,IF(ROUNDDOWN((Q$44-$B59)/$D$35,0)&lt;3,0.75,IF(ROUNDDOWN((Q$44-$B59)/$D$35,0)&lt;4,0.875,0.9375)))))+HLOOKUP($B59,$C$44:$Q$45,2,FALSE)*$C$36*(1-IF(ROUNDDOWN((Q$44-$B59)/$D$36,0)&lt;1,0,IF(ROUNDDOWN((Q$44-$B59)/$D$36,0)&lt;2,0.5,IF(ROUNDDOWN((Q$44-$B59)/$D$36,0)&lt;3,0.75,IF(ROUNDDOWN((Q$44-$B59)/$D$36,0)&lt;4,0.875,0.9375)))))+HLOOKUP($B59,$C$44:$Q$45,2,FALSE)*$C$37*(1-IF(ROUNDDOWN((Q$44-$B59)/$D$37,0)&lt;1,0,IF(ROUNDDOWN((Q$44-$B59)/$D$37,0)&lt;2,0.5,IF(ROUNDDOWN((Q$44-$B59)/$D$37,0)&lt;3,0.75,IF(ROUNDDOWN((Q$44-$B59)/$D$37,0)&lt;4,0.875,0.9375)))))</f>
        <v>508.54520112150141</v>
      </c>
      <c r="R59" s="19"/>
    </row>
    <row r="60" spans="2:18" x14ac:dyDescent="0.3">
      <c r="B60" s="120">
        <f t="shared" si="6"/>
        <v>2026</v>
      </c>
      <c r="C60" s="125"/>
      <c r="D60" s="125"/>
      <c r="E60" s="125"/>
      <c r="F60" s="125"/>
      <c r="G60" s="125"/>
      <c r="H60" s="125"/>
      <c r="I60" s="125"/>
      <c r="J60" s="125"/>
      <c r="K60" s="125"/>
      <c r="L60" s="125"/>
      <c r="M60" s="125"/>
      <c r="N60" s="125">
        <f>HLOOKUP($B60,$C$44:$Q$45,2,FALSE)*$C$32*(1-IF(ROUNDDOWN((N$44-$B60)/$D$32,0)&lt;1,0,IF(ROUNDDOWN((N$44-$B60)/$D$32,0)&lt;2,0.5,IF(ROUNDDOWN((N$44-$B60)/$D$32,0)&lt;3,0.75,IF(ROUNDDOWN((N$44-$B60)/$D$32,0)&lt;4,0.875,0.9375)))))+HLOOKUP($B60,$C$44:$Q$45,2,FALSE)*$C$33*(1-IF(ROUNDDOWN((N$44-$B60)/$D$33,0)&lt;1,0,IF(ROUNDDOWN((N$44-$B60)/$D$33,0)&lt;2,0.5,IF(ROUNDDOWN((N$44-$B60)/$D$33,0)&lt;3,0.75,IF(ROUNDDOWN((N$44-$B60)/$D$33,0)&lt;4,0.875,0.9375)))))+HLOOKUP($B60,$C$44:$Q$45,2,FALSE)*$C$34*(1-IF(ROUNDDOWN((N$44-$B60)/$D$34,0)&lt;1,0,IF(ROUNDDOWN((N$44-$B60)/$D$34,0)&lt;2,0.5,IF(ROUNDDOWN((N$44-$B60)/$D$34,0)&lt;3,0.75,IF(ROUNDDOWN((N$44-$B60)/$D$34,0)&lt;4,0.875,0.9375)))))+HLOOKUP($B60,$C$44:$Q$45,2,FALSE)*$C$35*(1-IF(ROUNDDOWN((N$44-$B60)/$D$35,0)&lt;1,0,IF(ROUNDDOWN((N$44-$B60)/$D$35,0)&lt;2,0.5,IF(ROUNDDOWN((N$44-$B60)/$D$35,0)&lt;3,0.75,IF(ROUNDDOWN((N$44-$B60)/$D$35,0)&lt;4,0.875,0.9375)))))+HLOOKUP($B60,$C$44:$Q$45,2,FALSE)*$C$36*(1-IF(ROUNDDOWN((N$44-$B60)/$D$36,0)&lt;1,0,IF(ROUNDDOWN((N$44-$B60)/$D$36,0)&lt;2,0.5,IF(ROUNDDOWN((N$44-$B60)/$D$36,0)&lt;3,0.75,IF(ROUNDDOWN((N$44-$B60)/$D$36,0)&lt;4,0.875,0.9375)))))+HLOOKUP($B60,$C$44:$Q$45,2,FALSE)*$C$37*(1-IF(ROUNDDOWN((N$44-$B60)/$D$37,0)&lt;1,0,IF(ROUNDDOWN((N$44-$B60)/$D$37,0)&lt;2,0.5,IF(ROUNDDOWN((N$44-$B60)/$D$37,0)&lt;3,0.75,IF(ROUNDDOWN((N$44-$B60)/$D$37,0)&lt;4,0.875,0.9375)))))</f>
        <v>531.39519448432748</v>
      </c>
      <c r="O60" s="125">
        <f>HLOOKUP($B60,$C$44:$Q$45,2,FALSE)*$C$32*(1-IF(ROUNDDOWN((O$44-$B60)/$D$32,0)&lt;1,0,IF(ROUNDDOWN((O$44-$B60)/$D$32,0)&lt;2,0.5,IF(ROUNDDOWN((O$44-$B60)/$D$32,0)&lt;3,0.75,IF(ROUNDDOWN((O$44-$B60)/$D$32,0)&lt;4,0.875,0.9375)))))+HLOOKUP($B60,$C$44:$Q$45,2,FALSE)*$C$33*(1-IF(ROUNDDOWN((O$44-$B60)/$D$33,0)&lt;1,0,IF(ROUNDDOWN((O$44-$B60)/$D$33,0)&lt;2,0.5,IF(ROUNDDOWN((O$44-$B60)/$D$33,0)&lt;3,0.75,IF(ROUNDDOWN((O$44-$B60)/$D$33,0)&lt;4,0.875,0.9375)))))+HLOOKUP($B60,$C$44:$Q$45,2,FALSE)*$C$34*(1-IF(ROUNDDOWN((O$44-$B60)/$D$34,0)&lt;1,0,IF(ROUNDDOWN((O$44-$B60)/$D$34,0)&lt;2,0.5,IF(ROUNDDOWN((O$44-$B60)/$D$34,0)&lt;3,0.75,IF(ROUNDDOWN((O$44-$B60)/$D$34,0)&lt;4,0.875,0.9375)))))+HLOOKUP($B60,$C$44:$Q$45,2,FALSE)*$C$35*(1-IF(ROUNDDOWN((O$44-$B60)/$D$35,0)&lt;1,0,IF(ROUNDDOWN((O$44-$B60)/$D$35,0)&lt;2,0.5,IF(ROUNDDOWN((O$44-$B60)/$D$35,0)&lt;3,0.75,IF(ROUNDDOWN((O$44-$B60)/$D$35,0)&lt;4,0.875,0.9375)))))+HLOOKUP($B60,$C$44:$Q$45,2,FALSE)*$C$36*(1-IF(ROUNDDOWN((O$44-$B60)/$D$36,0)&lt;1,0,IF(ROUNDDOWN((O$44-$B60)/$D$36,0)&lt;2,0.5,IF(ROUNDDOWN((O$44-$B60)/$D$36,0)&lt;3,0.75,IF(ROUNDDOWN((O$44-$B60)/$D$36,0)&lt;4,0.875,0.9375)))))+HLOOKUP($B60,$C$44:$Q$45,2,FALSE)*$C$37*(1-IF(ROUNDDOWN((O$44-$B60)/$D$37,0)&lt;1,0,IF(ROUNDDOWN((O$44-$B60)/$D$37,0)&lt;2,0.5,IF(ROUNDDOWN((O$44-$B60)/$D$37,0)&lt;3,0.75,IF(ROUNDDOWN((O$44-$B60)/$D$37,0)&lt;4,0.875,0.9375)))))</f>
        <v>531.39519448432748</v>
      </c>
      <c r="P60" s="125">
        <f>HLOOKUP($B60,$C$44:$Q$45,2,FALSE)*$C$32*(1-IF(ROUNDDOWN((P$44-$B60)/$D$32,0)&lt;1,0,IF(ROUNDDOWN((P$44-$B60)/$D$32,0)&lt;2,0.5,IF(ROUNDDOWN((P$44-$B60)/$D$32,0)&lt;3,0.75,IF(ROUNDDOWN((P$44-$B60)/$D$32,0)&lt;4,0.875,0.9375)))))+HLOOKUP($B60,$C$44:$Q$45,2,FALSE)*$C$33*(1-IF(ROUNDDOWN((P$44-$B60)/$D$33,0)&lt;1,0,IF(ROUNDDOWN((P$44-$B60)/$D$33,0)&lt;2,0.5,IF(ROUNDDOWN((P$44-$B60)/$D$33,0)&lt;3,0.75,IF(ROUNDDOWN((P$44-$B60)/$D$33,0)&lt;4,0.875,0.9375)))))+HLOOKUP($B60,$C$44:$Q$45,2,FALSE)*$C$34*(1-IF(ROUNDDOWN((P$44-$B60)/$D$34,0)&lt;1,0,IF(ROUNDDOWN((P$44-$B60)/$D$34,0)&lt;2,0.5,IF(ROUNDDOWN((P$44-$B60)/$D$34,0)&lt;3,0.75,IF(ROUNDDOWN((P$44-$B60)/$D$34,0)&lt;4,0.875,0.9375)))))+HLOOKUP($B60,$C$44:$Q$45,2,FALSE)*$C$35*(1-IF(ROUNDDOWN((P$44-$B60)/$D$35,0)&lt;1,0,IF(ROUNDDOWN((P$44-$B60)/$D$35,0)&lt;2,0.5,IF(ROUNDDOWN((P$44-$B60)/$D$35,0)&lt;3,0.75,IF(ROUNDDOWN((P$44-$B60)/$D$35,0)&lt;4,0.875,0.9375)))))+HLOOKUP($B60,$C$44:$Q$45,2,FALSE)*$C$36*(1-IF(ROUNDDOWN((P$44-$B60)/$D$36,0)&lt;1,0,IF(ROUNDDOWN((P$44-$B60)/$D$36,0)&lt;2,0.5,IF(ROUNDDOWN((P$44-$B60)/$D$36,0)&lt;3,0.75,IF(ROUNDDOWN((P$44-$B60)/$D$36,0)&lt;4,0.875,0.9375)))))+HLOOKUP($B60,$C$44:$Q$45,2,FALSE)*$C$37*(1-IF(ROUNDDOWN((P$44-$B60)/$D$37,0)&lt;1,0,IF(ROUNDDOWN((P$44-$B60)/$D$37,0)&lt;2,0.5,IF(ROUNDDOWN((P$44-$B60)/$D$37,0)&lt;3,0.75,IF(ROUNDDOWN((P$44-$B60)/$D$37,0)&lt;4,0.875,0.9375)))))</f>
        <v>531.39519448432748</v>
      </c>
      <c r="Q60" s="125">
        <f>HLOOKUP($B60,$C$44:$Q$45,2,FALSE)*$C$32*(1-IF(ROUNDDOWN((Q$44-$B60)/$D$32,0)&lt;1,0,IF(ROUNDDOWN((Q$44-$B60)/$D$32,0)&lt;2,0.5,IF(ROUNDDOWN((Q$44-$B60)/$D$32,0)&lt;3,0.75,IF(ROUNDDOWN((Q$44-$B60)/$D$32,0)&lt;4,0.875,0.9375)))))+HLOOKUP($B60,$C$44:$Q$45,2,FALSE)*$C$33*(1-IF(ROUNDDOWN((Q$44-$B60)/$D$33,0)&lt;1,0,IF(ROUNDDOWN((Q$44-$B60)/$D$33,0)&lt;2,0.5,IF(ROUNDDOWN((Q$44-$B60)/$D$33,0)&lt;3,0.75,IF(ROUNDDOWN((Q$44-$B60)/$D$33,0)&lt;4,0.875,0.9375)))))+HLOOKUP($B60,$C$44:$Q$45,2,FALSE)*$C$34*(1-IF(ROUNDDOWN((Q$44-$B60)/$D$34,0)&lt;1,0,IF(ROUNDDOWN((Q$44-$B60)/$D$34,0)&lt;2,0.5,IF(ROUNDDOWN((Q$44-$B60)/$D$34,0)&lt;3,0.75,IF(ROUNDDOWN((Q$44-$B60)/$D$34,0)&lt;4,0.875,0.9375)))))+HLOOKUP($B60,$C$44:$Q$45,2,FALSE)*$C$35*(1-IF(ROUNDDOWN((Q$44-$B60)/$D$35,0)&lt;1,0,IF(ROUNDDOWN((Q$44-$B60)/$D$35,0)&lt;2,0.5,IF(ROUNDDOWN((Q$44-$B60)/$D$35,0)&lt;3,0.75,IF(ROUNDDOWN((Q$44-$B60)/$D$35,0)&lt;4,0.875,0.9375)))))+HLOOKUP($B60,$C$44:$Q$45,2,FALSE)*$C$36*(1-IF(ROUNDDOWN((Q$44-$B60)/$D$36,0)&lt;1,0,IF(ROUNDDOWN((Q$44-$B60)/$D$36,0)&lt;2,0.5,IF(ROUNDDOWN((Q$44-$B60)/$D$36,0)&lt;3,0.75,IF(ROUNDDOWN((Q$44-$B60)/$D$36,0)&lt;4,0.875,0.9375)))))+HLOOKUP($B60,$C$44:$Q$45,2,FALSE)*$C$37*(1-IF(ROUNDDOWN((Q$44-$B60)/$D$37,0)&lt;1,0,IF(ROUNDDOWN((Q$44-$B60)/$D$37,0)&lt;2,0.5,IF(ROUNDDOWN((Q$44-$B60)/$D$37,0)&lt;3,0.75,IF(ROUNDDOWN((Q$44-$B60)/$D$37,0)&lt;4,0.875,0.9375)))))</f>
        <v>508.54520112150141</v>
      </c>
      <c r="R60" s="19"/>
    </row>
    <row r="61" spans="2:18" x14ac:dyDescent="0.3">
      <c r="B61" s="120">
        <f t="shared" si="6"/>
        <v>2027</v>
      </c>
      <c r="C61" s="125"/>
      <c r="D61" s="125"/>
      <c r="E61" s="125"/>
      <c r="F61" s="125"/>
      <c r="G61" s="125"/>
      <c r="H61" s="125"/>
      <c r="I61" s="125"/>
      <c r="J61" s="125"/>
      <c r="K61" s="125"/>
      <c r="L61" s="125"/>
      <c r="M61" s="125"/>
      <c r="N61" s="125"/>
      <c r="O61" s="125">
        <f>HLOOKUP($B61,$C$44:$Q$45,2,FALSE)*$C$32*(1-IF(ROUNDDOWN((O$44-$B61)/$D$32,0)&lt;1,0,IF(ROUNDDOWN((O$44-$B61)/$D$32,0)&lt;2,0.5,IF(ROUNDDOWN((O$44-$B61)/$D$32,0)&lt;3,0.75,IF(ROUNDDOWN((O$44-$B61)/$D$32,0)&lt;4,0.875,0.9375)))))+HLOOKUP($B61,$C$44:$Q$45,2,FALSE)*$C$33*(1-IF(ROUNDDOWN((O$44-$B61)/$D$33,0)&lt;1,0,IF(ROUNDDOWN((O$44-$B61)/$D$33,0)&lt;2,0.5,IF(ROUNDDOWN((O$44-$B61)/$D$33,0)&lt;3,0.75,IF(ROUNDDOWN((O$44-$B61)/$D$33,0)&lt;4,0.875,0.9375)))))+HLOOKUP($B61,$C$44:$Q$45,2,FALSE)*$C$34*(1-IF(ROUNDDOWN((O$44-$B61)/$D$34,0)&lt;1,0,IF(ROUNDDOWN((O$44-$B61)/$D$34,0)&lt;2,0.5,IF(ROUNDDOWN((O$44-$B61)/$D$34,0)&lt;3,0.75,IF(ROUNDDOWN((O$44-$B61)/$D$34,0)&lt;4,0.875,0.9375)))))+HLOOKUP($B61,$C$44:$Q$45,2,FALSE)*$C$35*(1-IF(ROUNDDOWN((O$44-$B61)/$D$35,0)&lt;1,0,IF(ROUNDDOWN((O$44-$B61)/$D$35,0)&lt;2,0.5,IF(ROUNDDOWN((O$44-$B61)/$D$35,0)&lt;3,0.75,IF(ROUNDDOWN((O$44-$B61)/$D$35,0)&lt;4,0.875,0.9375)))))+HLOOKUP($B61,$C$44:$Q$45,2,FALSE)*$C$36*(1-IF(ROUNDDOWN((O$44-$B61)/$D$36,0)&lt;1,0,IF(ROUNDDOWN((O$44-$B61)/$D$36,0)&lt;2,0.5,IF(ROUNDDOWN((O$44-$B61)/$D$36,0)&lt;3,0.75,IF(ROUNDDOWN((O$44-$B61)/$D$36,0)&lt;4,0.875,0.9375)))))+HLOOKUP($B61,$C$44:$Q$45,2,FALSE)*$C$37*(1-IF(ROUNDDOWN((O$44-$B61)/$D$37,0)&lt;1,0,IF(ROUNDDOWN((O$44-$B61)/$D$37,0)&lt;2,0.5,IF(ROUNDDOWN((O$44-$B61)/$D$37,0)&lt;3,0.75,IF(ROUNDDOWN((O$44-$B61)/$D$37,0)&lt;4,0.875,0.9375)))))</f>
        <v>531.39519448432748</v>
      </c>
      <c r="P61" s="125">
        <f>HLOOKUP($B61,$C$44:$Q$45,2,FALSE)*$C$32*(1-IF(ROUNDDOWN((P$44-$B61)/$D$32,0)&lt;1,0,IF(ROUNDDOWN((P$44-$B61)/$D$32,0)&lt;2,0.5,IF(ROUNDDOWN((P$44-$B61)/$D$32,0)&lt;3,0.75,IF(ROUNDDOWN((P$44-$B61)/$D$32,0)&lt;4,0.875,0.9375)))))+HLOOKUP($B61,$C$44:$Q$45,2,FALSE)*$C$33*(1-IF(ROUNDDOWN((P$44-$B61)/$D$33,0)&lt;1,0,IF(ROUNDDOWN((P$44-$B61)/$D$33,0)&lt;2,0.5,IF(ROUNDDOWN((P$44-$B61)/$D$33,0)&lt;3,0.75,IF(ROUNDDOWN((P$44-$B61)/$D$33,0)&lt;4,0.875,0.9375)))))+HLOOKUP($B61,$C$44:$Q$45,2,FALSE)*$C$34*(1-IF(ROUNDDOWN((P$44-$B61)/$D$34,0)&lt;1,0,IF(ROUNDDOWN((P$44-$B61)/$D$34,0)&lt;2,0.5,IF(ROUNDDOWN((P$44-$B61)/$D$34,0)&lt;3,0.75,IF(ROUNDDOWN((P$44-$B61)/$D$34,0)&lt;4,0.875,0.9375)))))+HLOOKUP($B61,$C$44:$Q$45,2,FALSE)*$C$35*(1-IF(ROUNDDOWN((P$44-$B61)/$D$35,0)&lt;1,0,IF(ROUNDDOWN((P$44-$B61)/$D$35,0)&lt;2,0.5,IF(ROUNDDOWN((P$44-$B61)/$D$35,0)&lt;3,0.75,IF(ROUNDDOWN((P$44-$B61)/$D$35,0)&lt;4,0.875,0.9375)))))+HLOOKUP($B61,$C$44:$Q$45,2,FALSE)*$C$36*(1-IF(ROUNDDOWN((P$44-$B61)/$D$36,0)&lt;1,0,IF(ROUNDDOWN((P$44-$B61)/$D$36,0)&lt;2,0.5,IF(ROUNDDOWN((P$44-$B61)/$D$36,0)&lt;3,0.75,IF(ROUNDDOWN((P$44-$B61)/$D$36,0)&lt;4,0.875,0.9375)))))+HLOOKUP($B61,$C$44:$Q$45,2,FALSE)*$C$37*(1-IF(ROUNDDOWN((P$44-$B61)/$D$37,0)&lt;1,0,IF(ROUNDDOWN((P$44-$B61)/$D$37,0)&lt;2,0.5,IF(ROUNDDOWN((P$44-$B61)/$D$37,0)&lt;3,0.75,IF(ROUNDDOWN((P$44-$B61)/$D$37,0)&lt;4,0.875,0.9375)))))</f>
        <v>531.39519448432748</v>
      </c>
      <c r="Q61" s="125">
        <f>HLOOKUP($B61,$C$44:$Q$45,2,FALSE)*$C$32*(1-IF(ROUNDDOWN((Q$44-$B61)/$D$32,0)&lt;1,0,IF(ROUNDDOWN((Q$44-$B61)/$D$32,0)&lt;2,0.5,IF(ROUNDDOWN((Q$44-$B61)/$D$32,0)&lt;3,0.75,IF(ROUNDDOWN((Q$44-$B61)/$D$32,0)&lt;4,0.875,0.9375)))))+HLOOKUP($B61,$C$44:$Q$45,2,FALSE)*$C$33*(1-IF(ROUNDDOWN((Q$44-$B61)/$D$33,0)&lt;1,0,IF(ROUNDDOWN((Q$44-$B61)/$D$33,0)&lt;2,0.5,IF(ROUNDDOWN((Q$44-$B61)/$D$33,0)&lt;3,0.75,IF(ROUNDDOWN((Q$44-$B61)/$D$33,0)&lt;4,0.875,0.9375)))))+HLOOKUP($B61,$C$44:$Q$45,2,FALSE)*$C$34*(1-IF(ROUNDDOWN((Q$44-$B61)/$D$34,0)&lt;1,0,IF(ROUNDDOWN((Q$44-$B61)/$D$34,0)&lt;2,0.5,IF(ROUNDDOWN((Q$44-$B61)/$D$34,0)&lt;3,0.75,IF(ROUNDDOWN((Q$44-$B61)/$D$34,0)&lt;4,0.875,0.9375)))))+HLOOKUP($B61,$C$44:$Q$45,2,FALSE)*$C$35*(1-IF(ROUNDDOWN((Q$44-$B61)/$D$35,0)&lt;1,0,IF(ROUNDDOWN((Q$44-$B61)/$D$35,0)&lt;2,0.5,IF(ROUNDDOWN((Q$44-$B61)/$D$35,0)&lt;3,0.75,IF(ROUNDDOWN((Q$44-$B61)/$D$35,0)&lt;4,0.875,0.9375)))))+HLOOKUP($B61,$C$44:$Q$45,2,FALSE)*$C$36*(1-IF(ROUNDDOWN((Q$44-$B61)/$D$36,0)&lt;1,0,IF(ROUNDDOWN((Q$44-$B61)/$D$36,0)&lt;2,0.5,IF(ROUNDDOWN((Q$44-$B61)/$D$36,0)&lt;3,0.75,IF(ROUNDDOWN((Q$44-$B61)/$D$36,0)&lt;4,0.875,0.9375)))))+HLOOKUP($B61,$C$44:$Q$45,2,FALSE)*$C$37*(1-IF(ROUNDDOWN((Q$44-$B61)/$D$37,0)&lt;1,0,IF(ROUNDDOWN((Q$44-$B61)/$D$37,0)&lt;2,0.5,IF(ROUNDDOWN((Q$44-$B61)/$D$37,0)&lt;3,0.75,IF(ROUNDDOWN((Q$44-$B61)/$D$37,0)&lt;4,0.875,0.9375)))))</f>
        <v>531.39519448432748</v>
      </c>
      <c r="R61" s="19"/>
    </row>
    <row r="62" spans="2:18" x14ac:dyDescent="0.3">
      <c r="B62" s="120">
        <f t="shared" si="6"/>
        <v>2028</v>
      </c>
      <c r="C62" s="125"/>
      <c r="D62" s="125"/>
      <c r="E62" s="125"/>
      <c r="F62" s="125"/>
      <c r="G62" s="125"/>
      <c r="H62" s="125"/>
      <c r="I62" s="125"/>
      <c r="J62" s="125"/>
      <c r="K62" s="125"/>
      <c r="L62" s="125"/>
      <c r="M62" s="125"/>
      <c r="N62" s="125"/>
      <c r="O62" s="125"/>
      <c r="P62" s="125">
        <f>HLOOKUP($B62,$C$44:$Q$45,2,FALSE)*$C$32*(1-IF(ROUNDDOWN((P$44-$B62)/$D$32,0)&lt;1,0,IF(ROUNDDOWN((P$44-$B62)/$D$32,0)&lt;2,0.5,IF(ROUNDDOWN((P$44-$B62)/$D$32,0)&lt;3,0.75,IF(ROUNDDOWN((P$44-$B62)/$D$32,0)&lt;4,0.875,0.9375)))))+HLOOKUP($B62,$C$44:$Q$45,2,FALSE)*$C$33*(1-IF(ROUNDDOWN((P$44-$B62)/$D$33,0)&lt;1,0,IF(ROUNDDOWN((P$44-$B62)/$D$33,0)&lt;2,0.5,IF(ROUNDDOWN((P$44-$B62)/$D$33,0)&lt;3,0.75,IF(ROUNDDOWN((P$44-$B62)/$D$33,0)&lt;4,0.875,0.9375)))))+HLOOKUP($B62,$C$44:$Q$45,2,FALSE)*$C$34*(1-IF(ROUNDDOWN((P$44-$B62)/$D$34,0)&lt;1,0,IF(ROUNDDOWN((P$44-$B62)/$D$34,0)&lt;2,0.5,IF(ROUNDDOWN((P$44-$B62)/$D$34,0)&lt;3,0.75,IF(ROUNDDOWN((P$44-$B62)/$D$34,0)&lt;4,0.875,0.9375)))))+HLOOKUP($B62,$C$44:$Q$45,2,FALSE)*$C$35*(1-IF(ROUNDDOWN((P$44-$B62)/$D$35,0)&lt;1,0,IF(ROUNDDOWN((P$44-$B62)/$D$35,0)&lt;2,0.5,IF(ROUNDDOWN((P$44-$B62)/$D$35,0)&lt;3,0.75,IF(ROUNDDOWN((P$44-$B62)/$D$35,0)&lt;4,0.875,0.9375)))))+HLOOKUP($B62,$C$44:$Q$45,2,FALSE)*$C$36*(1-IF(ROUNDDOWN((P$44-$B62)/$D$36,0)&lt;1,0,IF(ROUNDDOWN((P$44-$B62)/$D$36,0)&lt;2,0.5,IF(ROUNDDOWN((P$44-$B62)/$D$36,0)&lt;3,0.75,IF(ROUNDDOWN((P$44-$B62)/$D$36,0)&lt;4,0.875,0.9375)))))+HLOOKUP($B62,$C$44:$Q$45,2,FALSE)*$C$37*(1-IF(ROUNDDOWN((P$44-$B62)/$D$37,0)&lt;1,0,IF(ROUNDDOWN((P$44-$B62)/$D$37,0)&lt;2,0.5,IF(ROUNDDOWN((P$44-$B62)/$D$37,0)&lt;3,0.75,IF(ROUNDDOWN((P$44-$B62)/$D$37,0)&lt;4,0.875,0.9375)))))</f>
        <v>531.39519448432748</v>
      </c>
      <c r="Q62" s="125">
        <f>HLOOKUP($B62,$C$44:$Q$45,2,FALSE)*$C$32*(1-IF(ROUNDDOWN((Q$44-$B62)/$D$32,0)&lt;1,0,IF(ROUNDDOWN((Q$44-$B62)/$D$32,0)&lt;2,0.5,IF(ROUNDDOWN((Q$44-$B62)/$D$32,0)&lt;3,0.75,IF(ROUNDDOWN((Q$44-$B62)/$D$32,0)&lt;4,0.875,0.9375)))))+HLOOKUP($B62,$C$44:$Q$45,2,FALSE)*$C$33*(1-IF(ROUNDDOWN((Q$44-$B62)/$D$33,0)&lt;1,0,IF(ROUNDDOWN((Q$44-$B62)/$D$33,0)&lt;2,0.5,IF(ROUNDDOWN((Q$44-$B62)/$D$33,0)&lt;3,0.75,IF(ROUNDDOWN((Q$44-$B62)/$D$33,0)&lt;4,0.875,0.9375)))))+HLOOKUP($B62,$C$44:$Q$45,2,FALSE)*$C$34*(1-IF(ROUNDDOWN((Q$44-$B62)/$D$34,0)&lt;1,0,IF(ROUNDDOWN((Q$44-$B62)/$D$34,0)&lt;2,0.5,IF(ROUNDDOWN((Q$44-$B62)/$D$34,0)&lt;3,0.75,IF(ROUNDDOWN((Q$44-$B62)/$D$34,0)&lt;4,0.875,0.9375)))))+HLOOKUP($B62,$C$44:$Q$45,2,FALSE)*$C$35*(1-IF(ROUNDDOWN((Q$44-$B62)/$D$35,0)&lt;1,0,IF(ROUNDDOWN((Q$44-$B62)/$D$35,0)&lt;2,0.5,IF(ROUNDDOWN((Q$44-$B62)/$D$35,0)&lt;3,0.75,IF(ROUNDDOWN((Q$44-$B62)/$D$35,0)&lt;4,0.875,0.9375)))))+HLOOKUP($B62,$C$44:$Q$45,2,FALSE)*$C$36*(1-IF(ROUNDDOWN((Q$44-$B62)/$D$36,0)&lt;1,0,IF(ROUNDDOWN((Q$44-$B62)/$D$36,0)&lt;2,0.5,IF(ROUNDDOWN((Q$44-$B62)/$D$36,0)&lt;3,0.75,IF(ROUNDDOWN((Q$44-$B62)/$D$36,0)&lt;4,0.875,0.9375)))))+HLOOKUP($B62,$C$44:$Q$45,2,FALSE)*$C$37*(1-IF(ROUNDDOWN((Q$44-$B62)/$D$37,0)&lt;1,0,IF(ROUNDDOWN((Q$44-$B62)/$D$37,0)&lt;2,0.5,IF(ROUNDDOWN((Q$44-$B62)/$D$37,0)&lt;3,0.75,IF(ROUNDDOWN((Q$44-$B62)/$D$37,0)&lt;4,0.875,0.9375)))))</f>
        <v>531.39519448432748</v>
      </c>
      <c r="R62" s="19"/>
    </row>
    <row r="63" spans="2:18" x14ac:dyDescent="0.3">
      <c r="B63" s="120">
        <f t="shared" si="6"/>
        <v>2029</v>
      </c>
      <c r="C63" s="125"/>
      <c r="D63" s="125"/>
      <c r="E63" s="125"/>
      <c r="F63" s="125"/>
      <c r="G63" s="125"/>
      <c r="H63" s="125"/>
      <c r="I63" s="125"/>
      <c r="J63" s="125"/>
      <c r="K63" s="125"/>
      <c r="L63" s="125"/>
      <c r="M63" s="125"/>
      <c r="N63" s="125"/>
      <c r="O63" s="125"/>
      <c r="P63" s="125"/>
      <c r="Q63" s="125">
        <f>HLOOKUP($B63,$C$44:$Q$45,2,FALSE)*$C$32*(1-IF(ROUNDDOWN((Q$44-$B63)/$D$32,0)&lt;1,0,IF(ROUNDDOWN((Q$44-$B63)/$D$32,0)&lt;2,0.5,IF(ROUNDDOWN((Q$44-$B63)/$D$32,0)&lt;3,0.75,IF(ROUNDDOWN((Q$44-$B63)/$D$32,0)&lt;4,0.875,0.9375)))))+HLOOKUP($B63,$C$44:$Q$45,2,FALSE)*$C$33*(1-IF(ROUNDDOWN((Q$44-$B63)/$D$33,0)&lt;1,0,IF(ROUNDDOWN((Q$44-$B63)/$D$33,0)&lt;2,0.5,IF(ROUNDDOWN((Q$44-$B63)/$D$33,0)&lt;3,0.75,IF(ROUNDDOWN((Q$44-$B63)/$D$33,0)&lt;4,0.875,0.9375)))))+HLOOKUP($B63,$C$44:$Q$45,2,FALSE)*$C$34*(1-IF(ROUNDDOWN((Q$44-$B63)/$D$34,0)&lt;1,0,IF(ROUNDDOWN((Q$44-$B63)/$D$34,0)&lt;2,0.5,IF(ROUNDDOWN((Q$44-$B63)/$D$34,0)&lt;3,0.75,IF(ROUNDDOWN((Q$44-$B63)/$D$34,0)&lt;4,0.875,0.9375)))))+HLOOKUP($B63,$C$44:$Q$45,2,FALSE)*$C$35*(1-IF(ROUNDDOWN((Q$44-$B63)/$D$35,0)&lt;1,0,IF(ROUNDDOWN((Q$44-$B63)/$D$35,0)&lt;2,0.5,IF(ROUNDDOWN((Q$44-$B63)/$D$35,0)&lt;3,0.75,IF(ROUNDDOWN((Q$44-$B63)/$D$35,0)&lt;4,0.875,0.9375)))))+HLOOKUP($B63,$C$44:$Q$45,2,FALSE)*$C$36*(1-IF(ROUNDDOWN((Q$44-$B63)/$D$36,0)&lt;1,0,IF(ROUNDDOWN((Q$44-$B63)/$D$36,0)&lt;2,0.5,IF(ROUNDDOWN((Q$44-$B63)/$D$36,0)&lt;3,0.75,IF(ROUNDDOWN((Q$44-$B63)/$D$36,0)&lt;4,0.875,0.9375)))))+HLOOKUP($B63,$C$44:$Q$45,2,FALSE)*$C$37*(1-IF(ROUNDDOWN((Q$44-$B63)/$D$37,0)&lt;1,0,IF(ROUNDDOWN((Q$44-$B63)/$D$37,0)&lt;2,0.5,IF(ROUNDDOWN((Q$44-$B63)/$D$37,0)&lt;3,0.75,IF(ROUNDDOWN((Q$44-$B63)/$D$37,0)&lt;4,0.875,0.9375)))))</f>
        <v>531.39519448432748</v>
      </c>
      <c r="R63" s="19"/>
    </row>
    <row r="64" spans="2:18" x14ac:dyDescent="0.3">
      <c r="B64" s="120">
        <f t="shared" si="6"/>
        <v>2030</v>
      </c>
      <c r="C64" s="125"/>
      <c r="D64" s="125"/>
      <c r="E64" s="125"/>
      <c r="F64" s="125"/>
      <c r="G64" s="125"/>
      <c r="H64" s="125"/>
      <c r="I64" s="125"/>
      <c r="J64" s="125"/>
      <c r="K64" s="125"/>
      <c r="L64" s="125"/>
      <c r="M64" s="125"/>
      <c r="N64" s="125"/>
      <c r="O64" s="125"/>
      <c r="P64" s="125"/>
      <c r="Q64" s="125"/>
      <c r="R64" s="19"/>
    </row>
    <row r="65" spans="2:18" x14ac:dyDescent="0.3">
      <c r="B65" s="20"/>
      <c r="C65" s="126"/>
      <c r="D65" s="126"/>
      <c r="E65" s="126"/>
      <c r="F65" s="126"/>
      <c r="G65" s="126"/>
      <c r="H65" s="126"/>
      <c r="I65" s="126"/>
      <c r="J65" s="126"/>
      <c r="K65" s="126"/>
      <c r="L65" s="126"/>
      <c r="M65" s="126"/>
      <c r="N65" s="126"/>
      <c r="O65" s="126"/>
      <c r="P65" s="126"/>
      <c r="Q65" s="126"/>
      <c r="R65" s="19"/>
    </row>
    <row r="66" spans="2:18" x14ac:dyDescent="0.3">
      <c r="B66" s="127" t="s">
        <v>176</v>
      </c>
      <c r="C66" s="128">
        <f t="shared" ref="C66:Q66" si="7">SUM(C49:C64)</f>
        <v>531.39519448432748</v>
      </c>
      <c r="D66" s="128">
        <f t="shared" si="7"/>
        <v>1062.790388968655</v>
      </c>
      <c r="E66" s="128">
        <f t="shared" si="7"/>
        <v>1594.1855834529824</v>
      </c>
      <c r="F66" s="128">
        <f t="shared" si="7"/>
        <v>2102.7307845744836</v>
      </c>
      <c r="G66" s="128">
        <f>SUM(G49:G64)</f>
        <v>2611.2759856959851</v>
      </c>
      <c r="H66" s="128">
        <f t="shared" si="7"/>
        <v>3119.8211868174867</v>
      </c>
      <c r="I66" s="128">
        <f t="shared" si="7"/>
        <v>3616.9413912575747</v>
      </c>
      <c r="J66" s="128">
        <f t="shared" si="7"/>
        <v>4114.0615956976635</v>
      </c>
      <c r="K66" s="128">
        <f t="shared" si="7"/>
        <v>4589.9259923583786</v>
      </c>
      <c r="L66" s="128">
        <f t="shared" si="7"/>
        <v>5060.077890678388</v>
      </c>
      <c r="M66" s="128">
        <f t="shared" si="7"/>
        <v>5508.9739812190237</v>
      </c>
      <c r="N66" s="128">
        <f t="shared" si="7"/>
        <v>5957.8700717596594</v>
      </c>
      <c r="O66" s="128">
        <f t="shared" si="7"/>
        <v>6403.9099131299408</v>
      </c>
      <c r="P66" s="128">
        <f t="shared" si="7"/>
        <v>6849.9497545002232</v>
      </c>
      <c r="Q66" s="128">
        <f t="shared" si="7"/>
        <v>7295.9895958705047</v>
      </c>
      <c r="R66" s="19"/>
    </row>
    <row r="67" spans="2:18" x14ac:dyDescent="0.3">
      <c r="B67" s="20"/>
      <c r="C67" s="3"/>
      <c r="D67" s="3"/>
      <c r="E67" s="3"/>
      <c r="F67" s="3"/>
      <c r="G67" s="3"/>
      <c r="H67" s="3"/>
      <c r="I67" s="3"/>
      <c r="J67" s="3"/>
      <c r="K67" s="3"/>
      <c r="L67" s="3"/>
      <c r="M67" s="3"/>
      <c r="N67" s="3"/>
      <c r="O67" s="3"/>
      <c r="P67" s="3"/>
      <c r="Q67" s="3"/>
      <c r="R67" s="19"/>
    </row>
    <row r="68" spans="2:18" x14ac:dyDescent="0.3">
      <c r="B68" s="20"/>
      <c r="C68" s="3"/>
      <c r="D68" s="3"/>
      <c r="E68" s="3"/>
      <c r="F68" s="3"/>
      <c r="G68" s="3"/>
      <c r="H68" s="3"/>
      <c r="I68" s="3"/>
      <c r="J68" s="3"/>
      <c r="K68" s="3"/>
      <c r="L68" s="3"/>
      <c r="M68" s="3"/>
      <c r="N68" s="3"/>
      <c r="O68" s="3"/>
      <c r="P68" s="3"/>
      <c r="Q68" s="3"/>
      <c r="R68" s="19"/>
    </row>
    <row r="69" spans="2:18" x14ac:dyDescent="0.3">
      <c r="B69" s="20" t="s">
        <v>174</v>
      </c>
      <c r="C69" s="3" t="s">
        <v>177</v>
      </c>
      <c r="D69" s="3"/>
      <c r="E69" s="3"/>
      <c r="F69" s="3"/>
      <c r="G69" s="3"/>
      <c r="H69" s="3"/>
      <c r="I69" s="3"/>
      <c r="J69" s="3"/>
      <c r="K69" s="3"/>
      <c r="L69" s="3"/>
      <c r="M69" s="3"/>
      <c r="N69" s="3"/>
      <c r="O69" s="3"/>
      <c r="P69" s="3"/>
      <c r="Q69" s="3"/>
      <c r="R69" s="19"/>
    </row>
    <row r="70" spans="2:18" x14ac:dyDescent="0.3">
      <c r="B70" s="20"/>
      <c r="C70" s="41">
        <f t="shared" ref="C70:Q70" si="8">C73</f>
        <v>2015</v>
      </c>
      <c r="D70" s="41">
        <f t="shared" si="8"/>
        <v>2016</v>
      </c>
      <c r="E70" s="41">
        <f t="shared" si="8"/>
        <v>2017</v>
      </c>
      <c r="F70" s="41">
        <f t="shared" si="8"/>
        <v>2018</v>
      </c>
      <c r="G70" s="41">
        <f t="shared" si="8"/>
        <v>2019</v>
      </c>
      <c r="H70" s="41">
        <f t="shared" si="8"/>
        <v>2020</v>
      </c>
      <c r="I70" s="41">
        <f t="shared" si="8"/>
        <v>2021</v>
      </c>
      <c r="J70" s="41">
        <f t="shared" si="8"/>
        <v>2022</v>
      </c>
      <c r="K70" s="41">
        <f t="shared" si="8"/>
        <v>2023</v>
      </c>
      <c r="L70" s="41">
        <f t="shared" si="8"/>
        <v>2024</v>
      </c>
      <c r="M70" s="41">
        <f t="shared" si="8"/>
        <v>2025</v>
      </c>
      <c r="N70" s="41">
        <f t="shared" si="8"/>
        <v>2026</v>
      </c>
      <c r="O70" s="41">
        <f t="shared" si="8"/>
        <v>2027</v>
      </c>
      <c r="P70" s="41">
        <f t="shared" si="8"/>
        <v>2028</v>
      </c>
      <c r="Q70" s="41">
        <f t="shared" si="8"/>
        <v>2029</v>
      </c>
      <c r="R70" s="19"/>
    </row>
    <row r="71" spans="2:18" x14ac:dyDescent="0.3">
      <c r="B71" s="20"/>
      <c r="C71" s="124">
        <f>C26</f>
        <v>0.81313689153496327</v>
      </c>
      <c r="D71" s="124">
        <f t="shared" ref="D71:Q71" si="9">D26</f>
        <v>0.81313689153496327</v>
      </c>
      <c r="E71" s="124">
        <f t="shared" si="9"/>
        <v>0.81313689153496327</v>
      </c>
      <c r="F71" s="124">
        <f t="shared" si="9"/>
        <v>0.81313689153496327</v>
      </c>
      <c r="G71" s="124">
        <f t="shared" si="9"/>
        <v>0.81313689153496327</v>
      </c>
      <c r="H71" s="124">
        <f t="shared" si="9"/>
        <v>0.81313689153496327</v>
      </c>
      <c r="I71" s="124">
        <f t="shared" si="9"/>
        <v>0.81313689153496327</v>
      </c>
      <c r="J71" s="124">
        <f t="shared" si="9"/>
        <v>0.81313689153496327</v>
      </c>
      <c r="K71" s="124">
        <f t="shared" si="9"/>
        <v>0.81313689153496327</v>
      </c>
      <c r="L71" s="124">
        <f t="shared" si="9"/>
        <v>0.81313689153496327</v>
      </c>
      <c r="M71" s="124">
        <f t="shared" si="9"/>
        <v>0.81313689153496327</v>
      </c>
      <c r="N71" s="124">
        <f t="shared" si="9"/>
        <v>0.81313689153496327</v>
      </c>
      <c r="O71" s="124">
        <f t="shared" si="9"/>
        <v>0.81313689153496327</v>
      </c>
      <c r="P71" s="124">
        <f t="shared" si="9"/>
        <v>0.81313689153496327</v>
      </c>
      <c r="Q71" s="124">
        <f t="shared" si="9"/>
        <v>0.81313689153496327</v>
      </c>
      <c r="R71" s="19"/>
    </row>
    <row r="72" spans="2:18" x14ac:dyDescent="0.3">
      <c r="B72" s="20"/>
      <c r="C72" s="3"/>
      <c r="D72" s="3"/>
      <c r="E72" s="3"/>
      <c r="F72" s="3"/>
      <c r="G72" s="3"/>
      <c r="H72" s="3"/>
      <c r="I72" s="3"/>
      <c r="J72" s="3"/>
      <c r="K72" s="3"/>
      <c r="L72" s="3"/>
      <c r="M72" s="3"/>
      <c r="N72" s="3"/>
      <c r="O72" s="3"/>
      <c r="P72" s="3"/>
      <c r="Q72" s="3"/>
      <c r="R72" s="19"/>
    </row>
    <row r="73" spans="2:18" x14ac:dyDescent="0.3">
      <c r="B73" s="120" t="s">
        <v>99</v>
      </c>
      <c r="C73" s="41">
        <v>2015</v>
      </c>
      <c r="D73" s="41">
        <f t="shared" ref="D73:Q73" si="10">C73+1</f>
        <v>2016</v>
      </c>
      <c r="E73" s="41">
        <f t="shared" si="10"/>
        <v>2017</v>
      </c>
      <c r="F73" s="41">
        <f t="shared" si="10"/>
        <v>2018</v>
      </c>
      <c r="G73" s="41">
        <f t="shared" si="10"/>
        <v>2019</v>
      </c>
      <c r="H73" s="41">
        <f t="shared" si="10"/>
        <v>2020</v>
      </c>
      <c r="I73" s="41">
        <f t="shared" si="10"/>
        <v>2021</v>
      </c>
      <c r="J73" s="41">
        <f t="shared" si="10"/>
        <v>2022</v>
      </c>
      <c r="K73" s="41">
        <f t="shared" si="10"/>
        <v>2023</v>
      </c>
      <c r="L73" s="41">
        <f t="shared" si="10"/>
        <v>2024</v>
      </c>
      <c r="M73" s="41">
        <f t="shared" si="10"/>
        <v>2025</v>
      </c>
      <c r="N73" s="41">
        <f t="shared" si="10"/>
        <v>2026</v>
      </c>
      <c r="O73" s="41">
        <f t="shared" si="10"/>
        <v>2027</v>
      </c>
      <c r="P73" s="41">
        <f t="shared" si="10"/>
        <v>2028</v>
      </c>
      <c r="Q73" s="41">
        <f t="shared" si="10"/>
        <v>2029</v>
      </c>
      <c r="R73" s="19"/>
    </row>
    <row r="74" spans="2:18" x14ac:dyDescent="0.3">
      <c r="B74" s="120">
        <v>2015</v>
      </c>
      <c r="C74" s="125">
        <f t="shared" ref="C74:Q83" si="11">HLOOKUP($B74,$C$70:$Q$71,2,FALSE)*$C$32*(1-IF(ROUNDDOWN((C$70-$B74)/$D$32,0)&lt;1,0,IF(ROUNDDOWN((C$70-$B74)/$D$32,0)&lt;2,0.5,IF(ROUNDDOWN((C$70-$B74)/$D$32,0)&lt;3,0.75,IF(ROUNDDOWN((C$70-$B74)/$D$32,0)&lt;4,0.875,0.9375)))))+HLOOKUP($B74,$C$70:$Q$71,2,FALSE)*$C$33*(1-IF(ROUNDDOWN((C$70-$B74)/$D$33,0)&lt;1,0,IF(ROUNDDOWN((C$70-$B74)/$D$33,0)&lt;2,0.5,IF(ROUNDDOWN((C$70-$B74)/$D$33,0)&lt;3,0.75,IF(ROUNDDOWN((C$70-$B74)/$D$33,0)&lt;4,0.875,0.9375)))))+HLOOKUP($B74,$C$70:$Q$71,2,FALSE)*$C$34*(1-IF(ROUNDDOWN((C$70-$B74)/$D$34,0)&lt;1,0,IF(ROUNDDOWN((C$70-$B74)/$D$34,0)&lt;2,0.5,IF(ROUNDDOWN((C$70-$B74)/$D$34,0)&lt;3,0.75,IF(ROUNDDOWN((C$70-$B74)/$D$34,0)&lt;4,0.875,0.9375)))))+HLOOKUP($B74,$C$70:$Q$71,2,FALSE)*$C$35*(1-IF(ROUNDDOWN((C$70-$B74)/$D$35,0)&lt;1,0,IF(ROUNDDOWN((C$70-$B74)/$D$35,0)&lt;2,0.5,IF(ROUNDDOWN((C$70-$B74)/$D$35,0)&lt;3,0.75,IF(ROUNDDOWN((C$70-$B74)/$D$35,0)&lt;4,0.875,0.9375)))))+HLOOKUP($B74,$C$70:$Q$71,2,FALSE)*$C$36*(1-IF(ROUNDDOWN((C$70-$B74)/$D$36,0)&lt;1,0,IF(ROUNDDOWN((C$70-$B74)/$D$36,0)&lt;2,0.5,IF(ROUNDDOWN((C$70-$B74)/$D$36,0)&lt;3,0.75,IF(ROUNDDOWN((C$70-$B74)/$D$36,0)&lt;4,0.875,0.9375)))))+HLOOKUP($B74,$C$70:$Q$71,2,FALSE)*$C$37*(1-IF(ROUNDDOWN((C$70-$B74)/$D$37,0)&lt;1,0,IF(ROUNDDOWN((C$70-$B74)/$D$37,0)&lt;2,0.5,IF(ROUNDDOWN((C$70-$B74)/$D$37,0)&lt;3,0.75,IF(ROUNDDOWN((C$70-$B74)/$D$37,0)&lt;4,0.875,0.9375)))))</f>
        <v>0.81313689153496327</v>
      </c>
      <c r="D74" s="125">
        <f t="shared" si="11"/>
        <v>0.81313689153496327</v>
      </c>
      <c r="E74" s="125">
        <f t="shared" si="11"/>
        <v>0.81313689153496327</v>
      </c>
      <c r="F74" s="125">
        <f t="shared" si="11"/>
        <v>0.77817200519895979</v>
      </c>
      <c r="G74" s="125">
        <f t="shared" si="11"/>
        <v>0.77817200519895979</v>
      </c>
      <c r="H74" s="125">
        <f t="shared" si="11"/>
        <v>0.77817200519895979</v>
      </c>
      <c r="I74" s="125">
        <f t="shared" si="11"/>
        <v>0.76068956203095806</v>
      </c>
      <c r="J74" s="125">
        <f t="shared" si="11"/>
        <v>0.76068956203095806</v>
      </c>
      <c r="K74" s="125">
        <f t="shared" si="11"/>
        <v>0.72816408636955954</v>
      </c>
      <c r="L74" s="125">
        <f t="shared" si="11"/>
        <v>0.71942286478555872</v>
      </c>
      <c r="M74" s="125">
        <f t="shared" si="11"/>
        <v>0.68689738912416021</v>
      </c>
      <c r="N74" s="125">
        <f t="shared" si="11"/>
        <v>0.68689738912416021</v>
      </c>
      <c r="O74" s="125">
        <f t="shared" si="11"/>
        <v>0.6825267783321598</v>
      </c>
      <c r="P74" s="125">
        <f t="shared" si="11"/>
        <v>0.6825267783321598</v>
      </c>
      <c r="Q74" s="125">
        <f t="shared" si="11"/>
        <v>0.6825267783321598</v>
      </c>
      <c r="R74" s="19"/>
    </row>
    <row r="75" spans="2:18" x14ac:dyDescent="0.3">
      <c r="B75" s="120">
        <f t="shared" ref="B75:B89" si="12">B74+1</f>
        <v>2016</v>
      </c>
      <c r="C75" s="125"/>
      <c r="D75" s="125">
        <f t="shared" si="11"/>
        <v>0.81313689153496327</v>
      </c>
      <c r="E75" s="125">
        <f t="shared" si="11"/>
        <v>0.81313689153496327</v>
      </c>
      <c r="F75" s="125">
        <f t="shared" si="11"/>
        <v>0.81313689153496327</v>
      </c>
      <c r="G75" s="125">
        <f t="shared" si="11"/>
        <v>0.77817200519895979</v>
      </c>
      <c r="H75" s="125">
        <f t="shared" si="11"/>
        <v>0.77817200519895979</v>
      </c>
      <c r="I75" s="125">
        <f t="shared" si="11"/>
        <v>0.77817200519895979</v>
      </c>
      <c r="J75" s="125">
        <f t="shared" si="11"/>
        <v>0.76068956203095806</v>
      </c>
      <c r="K75" s="125">
        <f t="shared" si="11"/>
        <v>0.76068956203095806</v>
      </c>
      <c r="L75" s="125">
        <f t="shared" si="11"/>
        <v>0.72816408636955954</v>
      </c>
      <c r="M75" s="125">
        <f t="shared" si="11"/>
        <v>0.71942286478555872</v>
      </c>
      <c r="N75" s="125">
        <f t="shared" si="11"/>
        <v>0.68689738912416021</v>
      </c>
      <c r="O75" s="125">
        <f t="shared" si="11"/>
        <v>0.68689738912416021</v>
      </c>
      <c r="P75" s="125">
        <f t="shared" si="11"/>
        <v>0.6825267783321598</v>
      </c>
      <c r="Q75" s="125">
        <f t="shared" si="11"/>
        <v>0.6825267783321598</v>
      </c>
      <c r="R75" s="19"/>
    </row>
    <row r="76" spans="2:18" x14ac:dyDescent="0.3">
      <c r="B76" s="120">
        <f t="shared" si="12"/>
        <v>2017</v>
      </c>
      <c r="C76" s="125"/>
      <c r="D76" s="125"/>
      <c r="E76" s="125">
        <f t="shared" si="11"/>
        <v>0.81313689153496327</v>
      </c>
      <c r="F76" s="125">
        <f t="shared" si="11"/>
        <v>0.81313689153496327</v>
      </c>
      <c r="G76" s="125">
        <f t="shared" si="11"/>
        <v>0.81313689153496327</v>
      </c>
      <c r="H76" s="125">
        <f t="shared" si="11"/>
        <v>0.77817200519895979</v>
      </c>
      <c r="I76" s="125">
        <f t="shared" si="11"/>
        <v>0.77817200519895979</v>
      </c>
      <c r="J76" s="125">
        <f t="shared" si="11"/>
        <v>0.77817200519895979</v>
      </c>
      <c r="K76" s="125">
        <f t="shared" si="11"/>
        <v>0.76068956203095806</v>
      </c>
      <c r="L76" s="125">
        <f t="shared" si="11"/>
        <v>0.76068956203095806</v>
      </c>
      <c r="M76" s="125">
        <f t="shared" si="11"/>
        <v>0.72816408636955954</v>
      </c>
      <c r="N76" s="125">
        <f t="shared" si="11"/>
        <v>0.71942286478555872</v>
      </c>
      <c r="O76" s="125">
        <f t="shared" si="11"/>
        <v>0.68689738912416021</v>
      </c>
      <c r="P76" s="125">
        <f t="shared" si="11"/>
        <v>0.68689738912416021</v>
      </c>
      <c r="Q76" s="125">
        <f t="shared" si="11"/>
        <v>0.6825267783321598</v>
      </c>
      <c r="R76" s="19"/>
    </row>
    <row r="77" spans="2:18" x14ac:dyDescent="0.3">
      <c r="B77" s="120">
        <f t="shared" si="12"/>
        <v>2018</v>
      </c>
      <c r="C77" s="125"/>
      <c r="D77" s="125"/>
      <c r="E77" s="125"/>
      <c r="F77" s="125">
        <f t="shared" si="11"/>
        <v>0.81313689153496327</v>
      </c>
      <c r="G77" s="125">
        <f t="shared" si="11"/>
        <v>0.81313689153496327</v>
      </c>
      <c r="H77" s="125">
        <f t="shared" si="11"/>
        <v>0.81313689153496327</v>
      </c>
      <c r="I77" s="125">
        <f t="shared" si="11"/>
        <v>0.77817200519895979</v>
      </c>
      <c r="J77" s="125">
        <f t="shared" si="11"/>
        <v>0.77817200519895979</v>
      </c>
      <c r="K77" s="125">
        <f t="shared" si="11"/>
        <v>0.77817200519895979</v>
      </c>
      <c r="L77" s="125">
        <f t="shared" si="11"/>
        <v>0.76068956203095806</v>
      </c>
      <c r="M77" s="125">
        <f t="shared" si="11"/>
        <v>0.76068956203095806</v>
      </c>
      <c r="N77" s="125">
        <f t="shared" si="11"/>
        <v>0.72816408636955954</v>
      </c>
      <c r="O77" s="125">
        <f t="shared" si="11"/>
        <v>0.71942286478555872</v>
      </c>
      <c r="P77" s="125">
        <f t="shared" si="11"/>
        <v>0.68689738912416021</v>
      </c>
      <c r="Q77" s="125">
        <f t="shared" si="11"/>
        <v>0.68689738912416021</v>
      </c>
      <c r="R77" s="19"/>
    </row>
    <row r="78" spans="2:18" x14ac:dyDescent="0.3">
      <c r="B78" s="120">
        <f t="shared" si="12"/>
        <v>2019</v>
      </c>
      <c r="C78" s="125"/>
      <c r="D78" s="125"/>
      <c r="E78" s="125"/>
      <c r="F78" s="125"/>
      <c r="G78" s="125">
        <f t="shared" si="11"/>
        <v>0.81313689153496327</v>
      </c>
      <c r="H78" s="125">
        <f t="shared" si="11"/>
        <v>0.81313689153496327</v>
      </c>
      <c r="I78" s="125">
        <f t="shared" si="11"/>
        <v>0.81313689153496327</v>
      </c>
      <c r="J78" s="125">
        <f t="shared" si="11"/>
        <v>0.77817200519895979</v>
      </c>
      <c r="K78" s="125">
        <f t="shared" si="11"/>
        <v>0.77817200519895979</v>
      </c>
      <c r="L78" s="125">
        <f t="shared" si="11"/>
        <v>0.77817200519895979</v>
      </c>
      <c r="M78" s="125">
        <f t="shared" si="11"/>
        <v>0.76068956203095806</v>
      </c>
      <c r="N78" s="125">
        <f t="shared" si="11"/>
        <v>0.76068956203095806</v>
      </c>
      <c r="O78" s="125">
        <f t="shared" si="11"/>
        <v>0.72816408636955954</v>
      </c>
      <c r="P78" s="125">
        <f t="shared" si="11"/>
        <v>0.71942286478555872</v>
      </c>
      <c r="Q78" s="125">
        <f t="shared" si="11"/>
        <v>0.68689738912416021</v>
      </c>
      <c r="R78" s="19"/>
    </row>
    <row r="79" spans="2:18" x14ac:dyDescent="0.3">
      <c r="B79" s="120">
        <f t="shared" si="12"/>
        <v>2020</v>
      </c>
      <c r="C79" s="125"/>
      <c r="D79" s="125"/>
      <c r="E79" s="125"/>
      <c r="F79" s="125"/>
      <c r="G79" s="125"/>
      <c r="H79" s="125">
        <f t="shared" si="11"/>
        <v>0.81313689153496327</v>
      </c>
      <c r="I79" s="125">
        <f t="shared" si="11"/>
        <v>0.81313689153496327</v>
      </c>
      <c r="J79" s="125">
        <f t="shared" si="11"/>
        <v>0.81313689153496327</v>
      </c>
      <c r="K79" s="125">
        <f t="shared" si="11"/>
        <v>0.77817200519895979</v>
      </c>
      <c r="L79" s="125">
        <f t="shared" si="11"/>
        <v>0.77817200519895979</v>
      </c>
      <c r="M79" s="125">
        <f t="shared" si="11"/>
        <v>0.77817200519895979</v>
      </c>
      <c r="N79" s="125">
        <f t="shared" si="11"/>
        <v>0.76068956203095806</v>
      </c>
      <c r="O79" s="125">
        <f t="shared" si="11"/>
        <v>0.76068956203095806</v>
      </c>
      <c r="P79" s="125">
        <f t="shared" si="11"/>
        <v>0.72816408636955954</v>
      </c>
      <c r="Q79" s="125">
        <f t="shared" si="11"/>
        <v>0.71942286478555872</v>
      </c>
      <c r="R79" s="19"/>
    </row>
    <row r="80" spans="2:18" x14ac:dyDescent="0.3">
      <c r="B80" s="120">
        <f t="shared" si="12"/>
        <v>2021</v>
      </c>
      <c r="C80" s="125"/>
      <c r="D80" s="125"/>
      <c r="E80" s="125"/>
      <c r="F80" s="125"/>
      <c r="G80" s="125"/>
      <c r="H80" s="125"/>
      <c r="I80" s="125">
        <f t="shared" si="11"/>
        <v>0.81313689153496327</v>
      </c>
      <c r="J80" s="125">
        <f t="shared" si="11"/>
        <v>0.81313689153496327</v>
      </c>
      <c r="K80" s="125">
        <f t="shared" si="11"/>
        <v>0.81313689153496327</v>
      </c>
      <c r="L80" s="125">
        <f t="shared" si="11"/>
        <v>0.77817200519895979</v>
      </c>
      <c r="M80" s="125">
        <f t="shared" si="11"/>
        <v>0.77817200519895979</v>
      </c>
      <c r="N80" s="125">
        <f t="shared" si="11"/>
        <v>0.77817200519895979</v>
      </c>
      <c r="O80" s="125">
        <f t="shared" si="11"/>
        <v>0.76068956203095806</v>
      </c>
      <c r="P80" s="125">
        <f t="shared" si="11"/>
        <v>0.76068956203095806</v>
      </c>
      <c r="Q80" s="125">
        <f t="shared" si="11"/>
        <v>0.72816408636955954</v>
      </c>
      <c r="R80" s="19"/>
    </row>
    <row r="81" spans="2:18" x14ac:dyDescent="0.3">
      <c r="B81" s="120">
        <f t="shared" si="12"/>
        <v>2022</v>
      </c>
      <c r="C81" s="125"/>
      <c r="D81" s="125"/>
      <c r="E81" s="125"/>
      <c r="F81" s="125"/>
      <c r="G81" s="125"/>
      <c r="H81" s="125"/>
      <c r="I81" s="125"/>
      <c r="J81" s="125">
        <f t="shared" si="11"/>
        <v>0.81313689153496327</v>
      </c>
      <c r="K81" s="125">
        <f t="shared" si="11"/>
        <v>0.81313689153496327</v>
      </c>
      <c r="L81" s="125">
        <f t="shared" si="11"/>
        <v>0.81313689153496327</v>
      </c>
      <c r="M81" s="125">
        <f t="shared" si="11"/>
        <v>0.77817200519895979</v>
      </c>
      <c r="N81" s="125">
        <f t="shared" si="11"/>
        <v>0.77817200519895979</v>
      </c>
      <c r="O81" s="125">
        <f t="shared" si="11"/>
        <v>0.77817200519895979</v>
      </c>
      <c r="P81" s="125">
        <f t="shared" si="11"/>
        <v>0.76068956203095806</v>
      </c>
      <c r="Q81" s="125">
        <f t="shared" si="11"/>
        <v>0.76068956203095806</v>
      </c>
      <c r="R81" s="19"/>
    </row>
    <row r="82" spans="2:18" x14ac:dyDescent="0.3">
      <c r="B82" s="120">
        <f t="shared" si="12"/>
        <v>2023</v>
      </c>
      <c r="C82" s="125"/>
      <c r="D82" s="125"/>
      <c r="E82" s="125"/>
      <c r="F82" s="125"/>
      <c r="G82" s="125"/>
      <c r="H82" s="125"/>
      <c r="I82" s="125"/>
      <c r="J82" s="125"/>
      <c r="K82" s="125">
        <f t="shared" si="11"/>
        <v>0.81313689153496327</v>
      </c>
      <c r="L82" s="125">
        <f t="shared" si="11"/>
        <v>0.81313689153496327</v>
      </c>
      <c r="M82" s="125">
        <f t="shared" si="11"/>
        <v>0.81313689153496327</v>
      </c>
      <c r="N82" s="125">
        <f t="shared" si="11"/>
        <v>0.77817200519895979</v>
      </c>
      <c r="O82" s="125">
        <f t="shared" si="11"/>
        <v>0.77817200519895979</v>
      </c>
      <c r="P82" s="125">
        <f t="shared" si="11"/>
        <v>0.77817200519895979</v>
      </c>
      <c r="Q82" s="125">
        <f t="shared" si="11"/>
        <v>0.76068956203095806</v>
      </c>
      <c r="R82" s="19"/>
    </row>
    <row r="83" spans="2:18" x14ac:dyDescent="0.3">
      <c r="B83" s="120">
        <f t="shared" si="12"/>
        <v>2024</v>
      </c>
      <c r="C83" s="125"/>
      <c r="D83" s="125"/>
      <c r="E83" s="125"/>
      <c r="F83" s="125"/>
      <c r="G83" s="125"/>
      <c r="H83" s="125"/>
      <c r="I83" s="125"/>
      <c r="J83" s="125"/>
      <c r="K83" s="125"/>
      <c r="L83" s="125">
        <f t="shared" si="11"/>
        <v>0.81313689153496327</v>
      </c>
      <c r="M83" s="125">
        <f t="shared" si="11"/>
        <v>0.81313689153496327</v>
      </c>
      <c r="N83" s="125">
        <f t="shared" si="11"/>
        <v>0.81313689153496327</v>
      </c>
      <c r="O83" s="125">
        <f t="shared" si="11"/>
        <v>0.77817200519895979</v>
      </c>
      <c r="P83" s="125">
        <f t="shared" si="11"/>
        <v>0.77817200519895979</v>
      </c>
      <c r="Q83" s="125">
        <f t="shared" si="11"/>
        <v>0.77817200519895979</v>
      </c>
      <c r="R83" s="19"/>
    </row>
    <row r="84" spans="2:18" x14ac:dyDescent="0.3">
      <c r="B84" s="120">
        <f t="shared" si="12"/>
        <v>2025</v>
      </c>
      <c r="C84" s="125"/>
      <c r="D84" s="125"/>
      <c r="E84" s="125"/>
      <c r="F84" s="125"/>
      <c r="G84" s="125"/>
      <c r="H84" s="125"/>
      <c r="I84" s="125"/>
      <c r="J84" s="125"/>
      <c r="K84" s="125"/>
      <c r="L84" s="125"/>
      <c r="M84" s="125">
        <f>HLOOKUP($B84,$C$70:$Q$71,2,FALSE)*$C$32*(1-IF(ROUNDDOWN((M$70-$B84)/$D$32,0)&lt;1,0,IF(ROUNDDOWN((M$70-$B84)/$D$32,0)&lt;2,0.5,IF(ROUNDDOWN((M$70-$B84)/$D$32,0)&lt;3,0.75,IF(ROUNDDOWN((M$70-$B84)/$D$32,0)&lt;4,0.875,0.9375)))))+HLOOKUP($B84,$C$70:$Q$71,2,FALSE)*$C$33*(1-IF(ROUNDDOWN((M$70-$B84)/$D$33,0)&lt;1,0,IF(ROUNDDOWN((M$70-$B84)/$D$33,0)&lt;2,0.5,IF(ROUNDDOWN((M$70-$B84)/$D$33,0)&lt;3,0.75,IF(ROUNDDOWN((M$70-$B84)/$D$33,0)&lt;4,0.875,0.9375)))))+HLOOKUP($B84,$C$70:$Q$71,2,FALSE)*$C$34*(1-IF(ROUNDDOWN((M$70-$B84)/$D$34,0)&lt;1,0,IF(ROUNDDOWN((M$70-$B84)/$D$34,0)&lt;2,0.5,IF(ROUNDDOWN((M$70-$B84)/$D$34,0)&lt;3,0.75,IF(ROUNDDOWN((M$70-$B84)/$D$34,0)&lt;4,0.875,0.9375)))))+HLOOKUP($B84,$C$70:$Q$71,2,FALSE)*$C$35*(1-IF(ROUNDDOWN((M$70-$B84)/$D$35,0)&lt;1,0,IF(ROUNDDOWN((M$70-$B84)/$D$35,0)&lt;2,0.5,IF(ROUNDDOWN((M$70-$B84)/$D$35,0)&lt;3,0.75,IF(ROUNDDOWN((M$70-$B84)/$D$35,0)&lt;4,0.875,0.9375)))))+HLOOKUP($B84,$C$70:$Q$71,2,FALSE)*$C$36*(1-IF(ROUNDDOWN((M$70-$B84)/$D$36,0)&lt;1,0,IF(ROUNDDOWN((M$70-$B84)/$D$36,0)&lt;2,0.5,IF(ROUNDDOWN((M$70-$B84)/$D$36,0)&lt;3,0.75,IF(ROUNDDOWN((M$70-$B84)/$D$36,0)&lt;4,0.875,0.9375)))))+HLOOKUP($B84,$C$70:$Q$71,2,FALSE)*$C$37*(1-IF(ROUNDDOWN((M$70-$B84)/$D$37,0)&lt;1,0,IF(ROUNDDOWN((M$70-$B84)/$D$37,0)&lt;2,0.5,IF(ROUNDDOWN((M$70-$B84)/$D$37,0)&lt;3,0.75,IF(ROUNDDOWN((M$70-$B84)/$D$37,0)&lt;4,0.875,0.9375)))))</f>
        <v>0.81313689153496327</v>
      </c>
      <c r="N84" s="125">
        <f>HLOOKUP($B84,$C$70:$Q$71,2,FALSE)*$C$32*(1-IF(ROUNDDOWN((N$70-$B84)/$D$32,0)&lt;1,0,IF(ROUNDDOWN((N$70-$B84)/$D$32,0)&lt;2,0.5,IF(ROUNDDOWN((N$70-$B84)/$D$32,0)&lt;3,0.75,IF(ROUNDDOWN((N$70-$B84)/$D$32,0)&lt;4,0.875,0.9375)))))+HLOOKUP($B84,$C$70:$Q$71,2,FALSE)*$C$33*(1-IF(ROUNDDOWN((N$70-$B84)/$D$33,0)&lt;1,0,IF(ROUNDDOWN((N$70-$B84)/$D$33,0)&lt;2,0.5,IF(ROUNDDOWN((N$70-$B84)/$D$33,0)&lt;3,0.75,IF(ROUNDDOWN((N$70-$B84)/$D$33,0)&lt;4,0.875,0.9375)))))+HLOOKUP($B84,$C$70:$Q$71,2,FALSE)*$C$34*(1-IF(ROUNDDOWN((N$70-$B84)/$D$34,0)&lt;1,0,IF(ROUNDDOWN((N$70-$B84)/$D$34,0)&lt;2,0.5,IF(ROUNDDOWN((N$70-$B84)/$D$34,0)&lt;3,0.75,IF(ROUNDDOWN((N$70-$B84)/$D$34,0)&lt;4,0.875,0.9375)))))+HLOOKUP($B84,$C$70:$Q$71,2,FALSE)*$C$35*(1-IF(ROUNDDOWN((N$70-$B84)/$D$35,0)&lt;1,0,IF(ROUNDDOWN((N$70-$B84)/$D$35,0)&lt;2,0.5,IF(ROUNDDOWN((N$70-$B84)/$D$35,0)&lt;3,0.75,IF(ROUNDDOWN((N$70-$B84)/$D$35,0)&lt;4,0.875,0.9375)))))+HLOOKUP($B84,$C$70:$Q$71,2,FALSE)*$C$36*(1-IF(ROUNDDOWN((N$70-$B84)/$D$36,0)&lt;1,0,IF(ROUNDDOWN((N$70-$B84)/$D$36,0)&lt;2,0.5,IF(ROUNDDOWN((N$70-$B84)/$D$36,0)&lt;3,0.75,IF(ROUNDDOWN((N$70-$B84)/$D$36,0)&lt;4,0.875,0.9375)))))+HLOOKUP($B84,$C$70:$Q$71,2,FALSE)*$C$37*(1-IF(ROUNDDOWN((N$70-$B84)/$D$37,0)&lt;1,0,IF(ROUNDDOWN((N$70-$B84)/$D$37,0)&lt;2,0.5,IF(ROUNDDOWN((N$70-$B84)/$D$37,0)&lt;3,0.75,IF(ROUNDDOWN((N$70-$B84)/$D$37,0)&lt;4,0.875,0.9375)))))</f>
        <v>0.81313689153496327</v>
      </c>
      <c r="O84" s="125">
        <f>HLOOKUP($B84,$C$70:$Q$71,2,FALSE)*$C$32*(1-IF(ROUNDDOWN((O$70-$B84)/$D$32,0)&lt;1,0,IF(ROUNDDOWN((O$70-$B84)/$D$32,0)&lt;2,0.5,IF(ROUNDDOWN((O$70-$B84)/$D$32,0)&lt;3,0.75,IF(ROUNDDOWN((O$70-$B84)/$D$32,0)&lt;4,0.875,0.9375)))))+HLOOKUP($B84,$C$70:$Q$71,2,FALSE)*$C$33*(1-IF(ROUNDDOWN((O$70-$B84)/$D$33,0)&lt;1,0,IF(ROUNDDOWN((O$70-$B84)/$D$33,0)&lt;2,0.5,IF(ROUNDDOWN((O$70-$B84)/$D$33,0)&lt;3,0.75,IF(ROUNDDOWN((O$70-$B84)/$D$33,0)&lt;4,0.875,0.9375)))))+HLOOKUP($B84,$C$70:$Q$71,2,FALSE)*$C$34*(1-IF(ROUNDDOWN((O$70-$B84)/$D$34,0)&lt;1,0,IF(ROUNDDOWN((O$70-$B84)/$D$34,0)&lt;2,0.5,IF(ROUNDDOWN((O$70-$B84)/$D$34,0)&lt;3,0.75,IF(ROUNDDOWN((O$70-$B84)/$D$34,0)&lt;4,0.875,0.9375)))))+HLOOKUP($B84,$C$70:$Q$71,2,FALSE)*$C$35*(1-IF(ROUNDDOWN((O$70-$B84)/$D$35,0)&lt;1,0,IF(ROUNDDOWN((O$70-$B84)/$D$35,0)&lt;2,0.5,IF(ROUNDDOWN((O$70-$B84)/$D$35,0)&lt;3,0.75,IF(ROUNDDOWN((O$70-$B84)/$D$35,0)&lt;4,0.875,0.9375)))))+HLOOKUP($B84,$C$70:$Q$71,2,FALSE)*$C$36*(1-IF(ROUNDDOWN((O$70-$B84)/$D$36,0)&lt;1,0,IF(ROUNDDOWN((O$70-$B84)/$D$36,0)&lt;2,0.5,IF(ROUNDDOWN((O$70-$B84)/$D$36,0)&lt;3,0.75,IF(ROUNDDOWN((O$70-$B84)/$D$36,0)&lt;4,0.875,0.9375)))))+HLOOKUP($B84,$C$70:$Q$71,2,FALSE)*$C$37*(1-IF(ROUNDDOWN((O$70-$B84)/$D$37,0)&lt;1,0,IF(ROUNDDOWN((O$70-$B84)/$D$37,0)&lt;2,0.5,IF(ROUNDDOWN((O$70-$B84)/$D$37,0)&lt;3,0.75,IF(ROUNDDOWN((O$70-$B84)/$D$37,0)&lt;4,0.875,0.9375)))))</f>
        <v>0.81313689153496327</v>
      </c>
      <c r="P84" s="125">
        <f>HLOOKUP($B84,$C$70:$Q$71,2,FALSE)*$C$32*(1-IF(ROUNDDOWN((P$70-$B84)/$D$32,0)&lt;1,0,IF(ROUNDDOWN((P$70-$B84)/$D$32,0)&lt;2,0.5,IF(ROUNDDOWN((P$70-$B84)/$D$32,0)&lt;3,0.75,IF(ROUNDDOWN((P$70-$B84)/$D$32,0)&lt;4,0.875,0.9375)))))+HLOOKUP($B84,$C$70:$Q$71,2,FALSE)*$C$33*(1-IF(ROUNDDOWN((P$70-$B84)/$D$33,0)&lt;1,0,IF(ROUNDDOWN((P$70-$B84)/$D$33,0)&lt;2,0.5,IF(ROUNDDOWN((P$70-$B84)/$D$33,0)&lt;3,0.75,IF(ROUNDDOWN((P$70-$B84)/$D$33,0)&lt;4,0.875,0.9375)))))+HLOOKUP($B84,$C$70:$Q$71,2,FALSE)*$C$34*(1-IF(ROUNDDOWN((P$70-$B84)/$D$34,0)&lt;1,0,IF(ROUNDDOWN((P$70-$B84)/$D$34,0)&lt;2,0.5,IF(ROUNDDOWN((P$70-$B84)/$D$34,0)&lt;3,0.75,IF(ROUNDDOWN((P$70-$B84)/$D$34,0)&lt;4,0.875,0.9375)))))+HLOOKUP($B84,$C$70:$Q$71,2,FALSE)*$C$35*(1-IF(ROUNDDOWN((P$70-$B84)/$D$35,0)&lt;1,0,IF(ROUNDDOWN((P$70-$B84)/$D$35,0)&lt;2,0.5,IF(ROUNDDOWN((P$70-$B84)/$D$35,0)&lt;3,0.75,IF(ROUNDDOWN((P$70-$B84)/$D$35,0)&lt;4,0.875,0.9375)))))+HLOOKUP($B84,$C$70:$Q$71,2,FALSE)*$C$36*(1-IF(ROUNDDOWN((P$70-$B84)/$D$36,0)&lt;1,0,IF(ROUNDDOWN((P$70-$B84)/$D$36,0)&lt;2,0.5,IF(ROUNDDOWN((P$70-$B84)/$D$36,0)&lt;3,0.75,IF(ROUNDDOWN((P$70-$B84)/$D$36,0)&lt;4,0.875,0.9375)))))+HLOOKUP($B84,$C$70:$Q$71,2,FALSE)*$C$37*(1-IF(ROUNDDOWN((P$70-$B84)/$D$37,0)&lt;1,0,IF(ROUNDDOWN((P$70-$B84)/$D$37,0)&lt;2,0.5,IF(ROUNDDOWN((P$70-$B84)/$D$37,0)&lt;3,0.75,IF(ROUNDDOWN((P$70-$B84)/$D$37,0)&lt;4,0.875,0.9375)))))</f>
        <v>0.77817200519895979</v>
      </c>
      <c r="Q84" s="125">
        <f>HLOOKUP($B84,$C$70:$Q$71,2,FALSE)*$C$32*(1-IF(ROUNDDOWN((Q$70-$B84)/$D$32,0)&lt;1,0,IF(ROUNDDOWN((Q$70-$B84)/$D$32,0)&lt;2,0.5,IF(ROUNDDOWN((Q$70-$B84)/$D$32,0)&lt;3,0.75,IF(ROUNDDOWN((Q$70-$B84)/$D$32,0)&lt;4,0.875,0.9375)))))+HLOOKUP($B84,$C$70:$Q$71,2,FALSE)*$C$33*(1-IF(ROUNDDOWN((Q$70-$B84)/$D$33,0)&lt;1,0,IF(ROUNDDOWN((Q$70-$B84)/$D$33,0)&lt;2,0.5,IF(ROUNDDOWN((Q$70-$B84)/$D$33,0)&lt;3,0.75,IF(ROUNDDOWN((Q$70-$B84)/$D$33,0)&lt;4,0.875,0.9375)))))+HLOOKUP($B84,$C$70:$Q$71,2,FALSE)*$C$34*(1-IF(ROUNDDOWN((Q$70-$B84)/$D$34,0)&lt;1,0,IF(ROUNDDOWN((Q$70-$B84)/$D$34,0)&lt;2,0.5,IF(ROUNDDOWN((Q$70-$B84)/$D$34,0)&lt;3,0.75,IF(ROUNDDOWN((Q$70-$B84)/$D$34,0)&lt;4,0.875,0.9375)))))+HLOOKUP($B84,$C$70:$Q$71,2,FALSE)*$C$35*(1-IF(ROUNDDOWN((Q$70-$B84)/$D$35,0)&lt;1,0,IF(ROUNDDOWN((Q$70-$B84)/$D$35,0)&lt;2,0.5,IF(ROUNDDOWN((Q$70-$B84)/$D$35,0)&lt;3,0.75,IF(ROUNDDOWN((Q$70-$B84)/$D$35,0)&lt;4,0.875,0.9375)))))+HLOOKUP($B84,$C$70:$Q$71,2,FALSE)*$C$36*(1-IF(ROUNDDOWN((Q$70-$B84)/$D$36,0)&lt;1,0,IF(ROUNDDOWN((Q$70-$B84)/$D$36,0)&lt;2,0.5,IF(ROUNDDOWN((Q$70-$B84)/$D$36,0)&lt;3,0.75,IF(ROUNDDOWN((Q$70-$B84)/$D$36,0)&lt;4,0.875,0.9375)))))+HLOOKUP($B84,$C$70:$Q$71,2,FALSE)*$C$37*(1-IF(ROUNDDOWN((Q$70-$B84)/$D$37,0)&lt;1,0,IF(ROUNDDOWN((Q$70-$B84)/$D$37,0)&lt;2,0.5,IF(ROUNDDOWN((Q$70-$B84)/$D$37,0)&lt;3,0.75,IF(ROUNDDOWN((Q$70-$B84)/$D$37,0)&lt;4,0.875,0.9375)))))</f>
        <v>0.77817200519895979</v>
      </c>
      <c r="R84" s="19"/>
    </row>
    <row r="85" spans="2:18" x14ac:dyDescent="0.3">
      <c r="B85" s="120">
        <f t="shared" si="12"/>
        <v>2026</v>
      </c>
      <c r="C85" s="125"/>
      <c r="D85" s="125"/>
      <c r="E85" s="125"/>
      <c r="F85" s="125"/>
      <c r="G85" s="125"/>
      <c r="H85" s="125"/>
      <c r="I85" s="125"/>
      <c r="J85" s="125"/>
      <c r="K85" s="125"/>
      <c r="L85" s="125"/>
      <c r="M85" s="125"/>
      <c r="N85" s="125">
        <f>HLOOKUP($B85,$C$70:$Q$71,2,FALSE)*$C$32*(1-IF(ROUNDDOWN((N$70-$B85)/$D$32,0)&lt;1,0,IF(ROUNDDOWN((N$70-$B85)/$D$32,0)&lt;2,0.5,IF(ROUNDDOWN((N$70-$B85)/$D$32,0)&lt;3,0.75,IF(ROUNDDOWN((N$70-$B85)/$D$32,0)&lt;4,0.875,0.9375)))))+HLOOKUP($B85,$C$70:$Q$71,2,FALSE)*$C$33*(1-IF(ROUNDDOWN((N$70-$B85)/$D$33,0)&lt;1,0,IF(ROUNDDOWN((N$70-$B85)/$D$33,0)&lt;2,0.5,IF(ROUNDDOWN((N$70-$B85)/$D$33,0)&lt;3,0.75,IF(ROUNDDOWN((N$70-$B85)/$D$33,0)&lt;4,0.875,0.9375)))))+HLOOKUP($B85,$C$70:$Q$71,2,FALSE)*$C$34*(1-IF(ROUNDDOWN((N$70-$B85)/$D$34,0)&lt;1,0,IF(ROUNDDOWN((N$70-$B85)/$D$34,0)&lt;2,0.5,IF(ROUNDDOWN((N$70-$B85)/$D$34,0)&lt;3,0.75,IF(ROUNDDOWN((N$70-$B85)/$D$34,0)&lt;4,0.875,0.9375)))))+HLOOKUP($B85,$C$70:$Q$71,2,FALSE)*$C$35*(1-IF(ROUNDDOWN((N$70-$B85)/$D$35,0)&lt;1,0,IF(ROUNDDOWN((N$70-$B85)/$D$35,0)&lt;2,0.5,IF(ROUNDDOWN((N$70-$B85)/$D$35,0)&lt;3,0.75,IF(ROUNDDOWN((N$70-$B85)/$D$35,0)&lt;4,0.875,0.9375)))))+HLOOKUP($B85,$C$70:$Q$71,2,FALSE)*$C$36*(1-IF(ROUNDDOWN((N$70-$B85)/$D$36,0)&lt;1,0,IF(ROUNDDOWN((N$70-$B85)/$D$36,0)&lt;2,0.5,IF(ROUNDDOWN((N$70-$B85)/$D$36,0)&lt;3,0.75,IF(ROUNDDOWN((N$70-$B85)/$D$36,0)&lt;4,0.875,0.9375)))))+HLOOKUP($B85,$C$70:$Q$71,2,FALSE)*$C$37*(1-IF(ROUNDDOWN((N$70-$B85)/$D$37,0)&lt;1,0,IF(ROUNDDOWN((N$70-$B85)/$D$37,0)&lt;2,0.5,IF(ROUNDDOWN((N$70-$B85)/$D$37,0)&lt;3,0.75,IF(ROUNDDOWN((N$70-$B85)/$D$37,0)&lt;4,0.875,0.9375)))))</f>
        <v>0.81313689153496327</v>
      </c>
      <c r="O85" s="125">
        <f>HLOOKUP($B85,$C$70:$Q$71,2,FALSE)*$C$32*(1-IF(ROUNDDOWN((O$70-$B85)/$D$32,0)&lt;1,0,IF(ROUNDDOWN((O$70-$B85)/$D$32,0)&lt;2,0.5,IF(ROUNDDOWN((O$70-$B85)/$D$32,0)&lt;3,0.75,IF(ROUNDDOWN((O$70-$B85)/$D$32,0)&lt;4,0.875,0.9375)))))+HLOOKUP($B85,$C$70:$Q$71,2,FALSE)*$C$33*(1-IF(ROUNDDOWN((O$70-$B85)/$D$33,0)&lt;1,0,IF(ROUNDDOWN((O$70-$B85)/$D$33,0)&lt;2,0.5,IF(ROUNDDOWN((O$70-$B85)/$D$33,0)&lt;3,0.75,IF(ROUNDDOWN((O$70-$B85)/$D$33,0)&lt;4,0.875,0.9375)))))+HLOOKUP($B85,$C$70:$Q$71,2,FALSE)*$C$34*(1-IF(ROUNDDOWN((O$70-$B85)/$D$34,0)&lt;1,0,IF(ROUNDDOWN((O$70-$B85)/$D$34,0)&lt;2,0.5,IF(ROUNDDOWN((O$70-$B85)/$D$34,0)&lt;3,0.75,IF(ROUNDDOWN((O$70-$B85)/$D$34,0)&lt;4,0.875,0.9375)))))+HLOOKUP($B85,$C$70:$Q$71,2,FALSE)*$C$35*(1-IF(ROUNDDOWN((O$70-$B85)/$D$35,0)&lt;1,0,IF(ROUNDDOWN((O$70-$B85)/$D$35,0)&lt;2,0.5,IF(ROUNDDOWN((O$70-$B85)/$D$35,0)&lt;3,0.75,IF(ROUNDDOWN((O$70-$B85)/$D$35,0)&lt;4,0.875,0.9375)))))+HLOOKUP($B85,$C$70:$Q$71,2,FALSE)*$C$36*(1-IF(ROUNDDOWN((O$70-$B85)/$D$36,0)&lt;1,0,IF(ROUNDDOWN((O$70-$B85)/$D$36,0)&lt;2,0.5,IF(ROUNDDOWN((O$70-$B85)/$D$36,0)&lt;3,0.75,IF(ROUNDDOWN((O$70-$B85)/$D$36,0)&lt;4,0.875,0.9375)))))+HLOOKUP($B85,$C$70:$Q$71,2,FALSE)*$C$37*(1-IF(ROUNDDOWN((O$70-$B85)/$D$37,0)&lt;1,0,IF(ROUNDDOWN((O$70-$B85)/$D$37,0)&lt;2,0.5,IF(ROUNDDOWN((O$70-$B85)/$D$37,0)&lt;3,0.75,IF(ROUNDDOWN((O$70-$B85)/$D$37,0)&lt;4,0.875,0.9375)))))</f>
        <v>0.81313689153496327</v>
      </c>
      <c r="P85" s="125">
        <f>HLOOKUP($B85,$C$70:$Q$71,2,FALSE)*$C$32*(1-IF(ROUNDDOWN((P$70-$B85)/$D$32,0)&lt;1,0,IF(ROUNDDOWN((P$70-$B85)/$D$32,0)&lt;2,0.5,IF(ROUNDDOWN((P$70-$B85)/$D$32,0)&lt;3,0.75,IF(ROUNDDOWN((P$70-$B85)/$D$32,0)&lt;4,0.875,0.9375)))))+HLOOKUP($B85,$C$70:$Q$71,2,FALSE)*$C$33*(1-IF(ROUNDDOWN((P$70-$B85)/$D$33,0)&lt;1,0,IF(ROUNDDOWN((P$70-$B85)/$D$33,0)&lt;2,0.5,IF(ROUNDDOWN((P$70-$B85)/$D$33,0)&lt;3,0.75,IF(ROUNDDOWN((P$70-$B85)/$D$33,0)&lt;4,0.875,0.9375)))))+HLOOKUP($B85,$C$70:$Q$71,2,FALSE)*$C$34*(1-IF(ROUNDDOWN((P$70-$B85)/$D$34,0)&lt;1,0,IF(ROUNDDOWN((P$70-$B85)/$D$34,0)&lt;2,0.5,IF(ROUNDDOWN((P$70-$B85)/$D$34,0)&lt;3,0.75,IF(ROUNDDOWN((P$70-$B85)/$D$34,0)&lt;4,0.875,0.9375)))))+HLOOKUP($B85,$C$70:$Q$71,2,FALSE)*$C$35*(1-IF(ROUNDDOWN((P$70-$B85)/$D$35,0)&lt;1,0,IF(ROUNDDOWN((P$70-$B85)/$D$35,0)&lt;2,0.5,IF(ROUNDDOWN((P$70-$B85)/$D$35,0)&lt;3,0.75,IF(ROUNDDOWN((P$70-$B85)/$D$35,0)&lt;4,0.875,0.9375)))))+HLOOKUP($B85,$C$70:$Q$71,2,FALSE)*$C$36*(1-IF(ROUNDDOWN((P$70-$B85)/$D$36,0)&lt;1,0,IF(ROUNDDOWN((P$70-$B85)/$D$36,0)&lt;2,0.5,IF(ROUNDDOWN((P$70-$B85)/$D$36,0)&lt;3,0.75,IF(ROUNDDOWN((P$70-$B85)/$D$36,0)&lt;4,0.875,0.9375)))))+HLOOKUP($B85,$C$70:$Q$71,2,FALSE)*$C$37*(1-IF(ROUNDDOWN((P$70-$B85)/$D$37,0)&lt;1,0,IF(ROUNDDOWN((P$70-$B85)/$D$37,0)&lt;2,0.5,IF(ROUNDDOWN((P$70-$B85)/$D$37,0)&lt;3,0.75,IF(ROUNDDOWN((P$70-$B85)/$D$37,0)&lt;4,0.875,0.9375)))))</f>
        <v>0.81313689153496327</v>
      </c>
      <c r="Q85" s="125">
        <f>HLOOKUP($B85,$C$70:$Q$71,2,FALSE)*$C$32*(1-IF(ROUNDDOWN((Q$70-$B85)/$D$32,0)&lt;1,0,IF(ROUNDDOWN((Q$70-$B85)/$D$32,0)&lt;2,0.5,IF(ROUNDDOWN((Q$70-$B85)/$D$32,0)&lt;3,0.75,IF(ROUNDDOWN((Q$70-$B85)/$D$32,0)&lt;4,0.875,0.9375)))))+HLOOKUP($B85,$C$70:$Q$71,2,FALSE)*$C$33*(1-IF(ROUNDDOWN((Q$70-$B85)/$D$33,0)&lt;1,0,IF(ROUNDDOWN((Q$70-$B85)/$D$33,0)&lt;2,0.5,IF(ROUNDDOWN((Q$70-$B85)/$D$33,0)&lt;3,0.75,IF(ROUNDDOWN((Q$70-$B85)/$D$33,0)&lt;4,0.875,0.9375)))))+HLOOKUP($B85,$C$70:$Q$71,2,FALSE)*$C$34*(1-IF(ROUNDDOWN((Q$70-$B85)/$D$34,0)&lt;1,0,IF(ROUNDDOWN((Q$70-$B85)/$D$34,0)&lt;2,0.5,IF(ROUNDDOWN((Q$70-$B85)/$D$34,0)&lt;3,0.75,IF(ROUNDDOWN((Q$70-$B85)/$D$34,0)&lt;4,0.875,0.9375)))))+HLOOKUP($B85,$C$70:$Q$71,2,FALSE)*$C$35*(1-IF(ROUNDDOWN((Q$70-$B85)/$D$35,0)&lt;1,0,IF(ROUNDDOWN((Q$70-$B85)/$D$35,0)&lt;2,0.5,IF(ROUNDDOWN((Q$70-$B85)/$D$35,0)&lt;3,0.75,IF(ROUNDDOWN((Q$70-$B85)/$D$35,0)&lt;4,0.875,0.9375)))))+HLOOKUP($B85,$C$70:$Q$71,2,FALSE)*$C$36*(1-IF(ROUNDDOWN((Q$70-$B85)/$D$36,0)&lt;1,0,IF(ROUNDDOWN((Q$70-$B85)/$D$36,0)&lt;2,0.5,IF(ROUNDDOWN((Q$70-$B85)/$D$36,0)&lt;3,0.75,IF(ROUNDDOWN((Q$70-$B85)/$D$36,0)&lt;4,0.875,0.9375)))))+HLOOKUP($B85,$C$70:$Q$71,2,FALSE)*$C$37*(1-IF(ROUNDDOWN((Q$70-$B85)/$D$37,0)&lt;1,0,IF(ROUNDDOWN((Q$70-$B85)/$D$37,0)&lt;2,0.5,IF(ROUNDDOWN((Q$70-$B85)/$D$37,0)&lt;3,0.75,IF(ROUNDDOWN((Q$70-$B85)/$D$37,0)&lt;4,0.875,0.9375)))))</f>
        <v>0.77817200519895979</v>
      </c>
      <c r="R85" s="19"/>
    </row>
    <row r="86" spans="2:18" x14ac:dyDescent="0.3">
      <c r="B86" s="120">
        <f t="shared" si="12"/>
        <v>2027</v>
      </c>
      <c r="C86" s="125"/>
      <c r="D86" s="125"/>
      <c r="E86" s="125"/>
      <c r="F86" s="125"/>
      <c r="G86" s="125"/>
      <c r="H86" s="125"/>
      <c r="I86" s="125"/>
      <c r="J86" s="125"/>
      <c r="K86" s="125"/>
      <c r="L86" s="125"/>
      <c r="M86" s="125"/>
      <c r="N86" s="125"/>
      <c r="O86" s="125">
        <f>HLOOKUP($B86,$C$70:$Q$71,2,FALSE)*$C$32*(1-IF(ROUNDDOWN((O$70-$B86)/$D$32,0)&lt;1,0,IF(ROUNDDOWN((O$70-$B86)/$D$32,0)&lt;2,0.5,IF(ROUNDDOWN((O$70-$B86)/$D$32,0)&lt;3,0.75,IF(ROUNDDOWN((O$70-$B86)/$D$32,0)&lt;4,0.875,0.9375)))))+HLOOKUP($B86,$C$70:$Q$71,2,FALSE)*$C$33*(1-IF(ROUNDDOWN((O$70-$B86)/$D$33,0)&lt;1,0,IF(ROUNDDOWN((O$70-$B86)/$D$33,0)&lt;2,0.5,IF(ROUNDDOWN((O$70-$B86)/$D$33,0)&lt;3,0.75,IF(ROUNDDOWN((O$70-$B86)/$D$33,0)&lt;4,0.875,0.9375)))))+HLOOKUP($B86,$C$70:$Q$71,2,FALSE)*$C$34*(1-IF(ROUNDDOWN((O$70-$B86)/$D$34,0)&lt;1,0,IF(ROUNDDOWN((O$70-$B86)/$D$34,0)&lt;2,0.5,IF(ROUNDDOWN((O$70-$B86)/$D$34,0)&lt;3,0.75,IF(ROUNDDOWN((O$70-$B86)/$D$34,0)&lt;4,0.875,0.9375)))))+HLOOKUP($B86,$C$70:$Q$71,2,FALSE)*$C$35*(1-IF(ROUNDDOWN((O$70-$B86)/$D$35,0)&lt;1,0,IF(ROUNDDOWN((O$70-$B86)/$D$35,0)&lt;2,0.5,IF(ROUNDDOWN((O$70-$B86)/$D$35,0)&lt;3,0.75,IF(ROUNDDOWN((O$70-$B86)/$D$35,0)&lt;4,0.875,0.9375)))))+HLOOKUP($B86,$C$70:$Q$71,2,FALSE)*$C$36*(1-IF(ROUNDDOWN((O$70-$B86)/$D$36,0)&lt;1,0,IF(ROUNDDOWN((O$70-$B86)/$D$36,0)&lt;2,0.5,IF(ROUNDDOWN((O$70-$B86)/$D$36,0)&lt;3,0.75,IF(ROUNDDOWN((O$70-$B86)/$D$36,0)&lt;4,0.875,0.9375)))))+HLOOKUP($B86,$C$70:$Q$71,2,FALSE)*$C$37*(1-IF(ROUNDDOWN((O$70-$B86)/$D$37,0)&lt;1,0,IF(ROUNDDOWN((O$70-$B86)/$D$37,0)&lt;2,0.5,IF(ROUNDDOWN((O$70-$B86)/$D$37,0)&lt;3,0.75,IF(ROUNDDOWN((O$70-$B86)/$D$37,0)&lt;4,0.875,0.9375)))))</f>
        <v>0.81313689153496327</v>
      </c>
      <c r="P86" s="125">
        <f>HLOOKUP($B86,$C$70:$Q$71,2,FALSE)*$C$32*(1-IF(ROUNDDOWN((P$70-$B86)/$D$32,0)&lt;1,0,IF(ROUNDDOWN((P$70-$B86)/$D$32,0)&lt;2,0.5,IF(ROUNDDOWN((P$70-$B86)/$D$32,0)&lt;3,0.75,IF(ROUNDDOWN((P$70-$B86)/$D$32,0)&lt;4,0.875,0.9375)))))+HLOOKUP($B86,$C$70:$Q$71,2,FALSE)*$C$33*(1-IF(ROUNDDOWN((P$70-$B86)/$D$33,0)&lt;1,0,IF(ROUNDDOWN((P$70-$B86)/$D$33,0)&lt;2,0.5,IF(ROUNDDOWN((P$70-$B86)/$D$33,0)&lt;3,0.75,IF(ROUNDDOWN((P$70-$B86)/$D$33,0)&lt;4,0.875,0.9375)))))+HLOOKUP($B86,$C$70:$Q$71,2,FALSE)*$C$34*(1-IF(ROUNDDOWN((P$70-$B86)/$D$34,0)&lt;1,0,IF(ROUNDDOWN((P$70-$B86)/$D$34,0)&lt;2,0.5,IF(ROUNDDOWN((P$70-$B86)/$D$34,0)&lt;3,0.75,IF(ROUNDDOWN((P$70-$B86)/$D$34,0)&lt;4,0.875,0.9375)))))+HLOOKUP($B86,$C$70:$Q$71,2,FALSE)*$C$35*(1-IF(ROUNDDOWN((P$70-$B86)/$D$35,0)&lt;1,0,IF(ROUNDDOWN((P$70-$B86)/$D$35,0)&lt;2,0.5,IF(ROUNDDOWN((P$70-$B86)/$D$35,0)&lt;3,0.75,IF(ROUNDDOWN((P$70-$B86)/$D$35,0)&lt;4,0.875,0.9375)))))+HLOOKUP($B86,$C$70:$Q$71,2,FALSE)*$C$36*(1-IF(ROUNDDOWN((P$70-$B86)/$D$36,0)&lt;1,0,IF(ROUNDDOWN((P$70-$B86)/$D$36,0)&lt;2,0.5,IF(ROUNDDOWN((P$70-$B86)/$D$36,0)&lt;3,0.75,IF(ROUNDDOWN((P$70-$B86)/$D$36,0)&lt;4,0.875,0.9375)))))+HLOOKUP($B86,$C$70:$Q$71,2,FALSE)*$C$37*(1-IF(ROUNDDOWN((P$70-$B86)/$D$37,0)&lt;1,0,IF(ROUNDDOWN((P$70-$B86)/$D$37,0)&lt;2,0.5,IF(ROUNDDOWN((P$70-$B86)/$D$37,0)&lt;3,0.75,IF(ROUNDDOWN((P$70-$B86)/$D$37,0)&lt;4,0.875,0.9375)))))</f>
        <v>0.81313689153496327</v>
      </c>
      <c r="Q86" s="125">
        <f>HLOOKUP($B86,$C$70:$Q$71,2,FALSE)*$C$32*(1-IF(ROUNDDOWN((Q$70-$B86)/$D$32,0)&lt;1,0,IF(ROUNDDOWN((Q$70-$B86)/$D$32,0)&lt;2,0.5,IF(ROUNDDOWN((Q$70-$B86)/$D$32,0)&lt;3,0.75,IF(ROUNDDOWN((Q$70-$B86)/$D$32,0)&lt;4,0.875,0.9375)))))+HLOOKUP($B86,$C$70:$Q$71,2,FALSE)*$C$33*(1-IF(ROUNDDOWN((Q$70-$B86)/$D$33,0)&lt;1,0,IF(ROUNDDOWN((Q$70-$B86)/$D$33,0)&lt;2,0.5,IF(ROUNDDOWN((Q$70-$B86)/$D$33,0)&lt;3,0.75,IF(ROUNDDOWN((Q$70-$B86)/$D$33,0)&lt;4,0.875,0.9375)))))+HLOOKUP($B86,$C$70:$Q$71,2,FALSE)*$C$34*(1-IF(ROUNDDOWN((Q$70-$B86)/$D$34,0)&lt;1,0,IF(ROUNDDOWN((Q$70-$B86)/$D$34,0)&lt;2,0.5,IF(ROUNDDOWN((Q$70-$B86)/$D$34,0)&lt;3,0.75,IF(ROUNDDOWN((Q$70-$B86)/$D$34,0)&lt;4,0.875,0.9375)))))+HLOOKUP($B86,$C$70:$Q$71,2,FALSE)*$C$35*(1-IF(ROUNDDOWN((Q$70-$B86)/$D$35,0)&lt;1,0,IF(ROUNDDOWN((Q$70-$B86)/$D$35,0)&lt;2,0.5,IF(ROUNDDOWN((Q$70-$B86)/$D$35,0)&lt;3,0.75,IF(ROUNDDOWN((Q$70-$B86)/$D$35,0)&lt;4,0.875,0.9375)))))+HLOOKUP($B86,$C$70:$Q$71,2,FALSE)*$C$36*(1-IF(ROUNDDOWN((Q$70-$B86)/$D$36,0)&lt;1,0,IF(ROUNDDOWN((Q$70-$B86)/$D$36,0)&lt;2,0.5,IF(ROUNDDOWN((Q$70-$B86)/$D$36,0)&lt;3,0.75,IF(ROUNDDOWN((Q$70-$B86)/$D$36,0)&lt;4,0.875,0.9375)))))+HLOOKUP($B86,$C$70:$Q$71,2,FALSE)*$C$37*(1-IF(ROUNDDOWN((Q$70-$B86)/$D$37,0)&lt;1,0,IF(ROUNDDOWN((Q$70-$B86)/$D$37,0)&lt;2,0.5,IF(ROUNDDOWN((Q$70-$B86)/$D$37,0)&lt;3,0.75,IF(ROUNDDOWN((Q$70-$B86)/$D$37,0)&lt;4,0.875,0.9375)))))</f>
        <v>0.81313689153496327</v>
      </c>
      <c r="R86" s="19"/>
    </row>
    <row r="87" spans="2:18" x14ac:dyDescent="0.3">
      <c r="B87" s="120">
        <f t="shared" si="12"/>
        <v>2028</v>
      </c>
      <c r="C87" s="125"/>
      <c r="D87" s="125"/>
      <c r="E87" s="125"/>
      <c r="F87" s="125"/>
      <c r="G87" s="125"/>
      <c r="H87" s="125"/>
      <c r="I87" s="125"/>
      <c r="J87" s="125"/>
      <c r="K87" s="125"/>
      <c r="L87" s="125"/>
      <c r="M87" s="125"/>
      <c r="N87" s="125"/>
      <c r="O87" s="125"/>
      <c r="P87" s="125">
        <f>HLOOKUP($B87,$C$70:$Q$71,2,FALSE)*$C$32*(1-IF(ROUNDDOWN((P$70-$B87)/$D$32,0)&lt;1,0,IF(ROUNDDOWN((P$70-$B87)/$D$32,0)&lt;2,0.5,IF(ROUNDDOWN((P$70-$B87)/$D$32,0)&lt;3,0.75,IF(ROUNDDOWN((P$70-$B87)/$D$32,0)&lt;4,0.875,0.9375)))))+HLOOKUP($B87,$C$70:$Q$71,2,FALSE)*$C$33*(1-IF(ROUNDDOWN((P$70-$B87)/$D$33,0)&lt;1,0,IF(ROUNDDOWN((P$70-$B87)/$D$33,0)&lt;2,0.5,IF(ROUNDDOWN((P$70-$B87)/$D$33,0)&lt;3,0.75,IF(ROUNDDOWN((P$70-$B87)/$D$33,0)&lt;4,0.875,0.9375)))))+HLOOKUP($B87,$C$70:$Q$71,2,FALSE)*$C$34*(1-IF(ROUNDDOWN((P$70-$B87)/$D$34,0)&lt;1,0,IF(ROUNDDOWN((P$70-$B87)/$D$34,0)&lt;2,0.5,IF(ROUNDDOWN((P$70-$B87)/$D$34,0)&lt;3,0.75,IF(ROUNDDOWN((P$70-$B87)/$D$34,0)&lt;4,0.875,0.9375)))))+HLOOKUP($B87,$C$70:$Q$71,2,FALSE)*$C$35*(1-IF(ROUNDDOWN((P$70-$B87)/$D$35,0)&lt;1,0,IF(ROUNDDOWN((P$70-$B87)/$D$35,0)&lt;2,0.5,IF(ROUNDDOWN((P$70-$B87)/$D$35,0)&lt;3,0.75,IF(ROUNDDOWN((P$70-$B87)/$D$35,0)&lt;4,0.875,0.9375)))))+HLOOKUP($B87,$C$70:$Q$71,2,FALSE)*$C$36*(1-IF(ROUNDDOWN((P$70-$B87)/$D$36,0)&lt;1,0,IF(ROUNDDOWN((P$70-$B87)/$D$36,0)&lt;2,0.5,IF(ROUNDDOWN((P$70-$B87)/$D$36,0)&lt;3,0.75,IF(ROUNDDOWN((P$70-$B87)/$D$36,0)&lt;4,0.875,0.9375)))))+HLOOKUP($B87,$C$70:$Q$71,2,FALSE)*$C$37*(1-IF(ROUNDDOWN((P$70-$B87)/$D$37,0)&lt;1,0,IF(ROUNDDOWN((P$70-$B87)/$D$37,0)&lt;2,0.5,IF(ROUNDDOWN((P$70-$B87)/$D$37,0)&lt;3,0.75,IF(ROUNDDOWN((P$70-$B87)/$D$37,0)&lt;4,0.875,0.9375)))))</f>
        <v>0.81313689153496327</v>
      </c>
      <c r="Q87" s="125">
        <f>HLOOKUP($B87,$C$70:$Q$71,2,FALSE)*$C$32*(1-IF(ROUNDDOWN((Q$70-$B87)/$D$32,0)&lt;1,0,IF(ROUNDDOWN((Q$70-$B87)/$D$32,0)&lt;2,0.5,IF(ROUNDDOWN((Q$70-$B87)/$D$32,0)&lt;3,0.75,IF(ROUNDDOWN((Q$70-$B87)/$D$32,0)&lt;4,0.875,0.9375)))))+HLOOKUP($B87,$C$70:$Q$71,2,FALSE)*$C$33*(1-IF(ROUNDDOWN((Q$70-$B87)/$D$33,0)&lt;1,0,IF(ROUNDDOWN((Q$70-$B87)/$D$33,0)&lt;2,0.5,IF(ROUNDDOWN((Q$70-$B87)/$D$33,0)&lt;3,0.75,IF(ROUNDDOWN((Q$70-$B87)/$D$33,0)&lt;4,0.875,0.9375)))))+HLOOKUP($B87,$C$70:$Q$71,2,FALSE)*$C$34*(1-IF(ROUNDDOWN((Q$70-$B87)/$D$34,0)&lt;1,0,IF(ROUNDDOWN((Q$70-$B87)/$D$34,0)&lt;2,0.5,IF(ROUNDDOWN((Q$70-$B87)/$D$34,0)&lt;3,0.75,IF(ROUNDDOWN((Q$70-$B87)/$D$34,0)&lt;4,0.875,0.9375)))))+HLOOKUP($B87,$C$70:$Q$71,2,FALSE)*$C$35*(1-IF(ROUNDDOWN((Q$70-$B87)/$D$35,0)&lt;1,0,IF(ROUNDDOWN((Q$70-$B87)/$D$35,0)&lt;2,0.5,IF(ROUNDDOWN((Q$70-$B87)/$D$35,0)&lt;3,0.75,IF(ROUNDDOWN((Q$70-$B87)/$D$35,0)&lt;4,0.875,0.9375)))))+HLOOKUP($B87,$C$70:$Q$71,2,FALSE)*$C$36*(1-IF(ROUNDDOWN((Q$70-$B87)/$D$36,0)&lt;1,0,IF(ROUNDDOWN((Q$70-$B87)/$D$36,0)&lt;2,0.5,IF(ROUNDDOWN((Q$70-$B87)/$D$36,0)&lt;3,0.75,IF(ROUNDDOWN((Q$70-$B87)/$D$36,0)&lt;4,0.875,0.9375)))))+HLOOKUP($B87,$C$70:$Q$71,2,FALSE)*$C$37*(1-IF(ROUNDDOWN((Q$70-$B87)/$D$37,0)&lt;1,0,IF(ROUNDDOWN((Q$70-$B87)/$D$37,0)&lt;2,0.5,IF(ROUNDDOWN((Q$70-$B87)/$D$37,0)&lt;3,0.75,IF(ROUNDDOWN((Q$70-$B87)/$D$37,0)&lt;4,0.875,0.9375)))))</f>
        <v>0.81313689153496327</v>
      </c>
      <c r="R87" s="19"/>
    </row>
    <row r="88" spans="2:18" x14ac:dyDescent="0.3">
      <c r="B88" s="120">
        <f t="shared" si="12"/>
        <v>2029</v>
      </c>
      <c r="C88" s="125"/>
      <c r="D88" s="125"/>
      <c r="E88" s="125"/>
      <c r="F88" s="125"/>
      <c r="G88" s="125"/>
      <c r="H88" s="125"/>
      <c r="I88" s="125"/>
      <c r="J88" s="125"/>
      <c r="K88" s="125"/>
      <c r="L88" s="125"/>
      <c r="M88" s="125"/>
      <c r="N88" s="125"/>
      <c r="O88" s="125"/>
      <c r="P88" s="125"/>
      <c r="Q88" s="125">
        <f>HLOOKUP($B88,$C$70:$Q$71,2,FALSE)*$C$32*(1-IF(ROUNDDOWN((Q$70-$B88)/$D$32,0)&lt;1,0,IF(ROUNDDOWN((Q$70-$B88)/$D$32,0)&lt;2,0.5,IF(ROUNDDOWN((Q$70-$B88)/$D$32,0)&lt;3,0.75,IF(ROUNDDOWN((Q$70-$B88)/$D$32,0)&lt;4,0.875,0.9375)))))+HLOOKUP($B88,$C$70:$Q$71,2,FALSE)*$C$33*(1-IF(ROUNDDOWN((Q$70-$B88)/$D$33,0)&lt;1,0,IF(ROUNDDOWN((Q$70-$B88)/$D$33,0)&lt;2,0.5,IF(ROUNDDOWN((Q$70-$B88)/$D$33,0)&lt;3,0.75,IF(ROUNDDOWN((Q$70-$B88)/$D$33,0)&lt;4,0.875,0.9375)))))+HLOOKUP($B88,$C$70:$Q$71,2,FALSE)*$C$34*(1-IF(ROUNDDOWN((Q$70-$B88)/$D$34,0)&lt;1,0,IF(ROUNDDOWN((Q$70-$B88)/$D$34,0)&lt;2,0.5,IF(ROUNDDOWN((Q$70-$B88)/$D$34,0)&lt;3,0.75,IF(ROUNDDOWN((Q$70-$B88)/$D$34,0)&lt;4,0.875,0.9375)))))+HLOOKUP($B88,$C$70:$Q$71,2,FALSE)*$C$35*(1-IF(ROUNDDOWN((Q$70-$B88)/$D$35,0)&lt;1,0,IF(ROUNDDOWN((Q$70-$B88)/$D$35,0)&lt;2,0.5,IF(ROUNDDOWN((Q$70-$B88)/$D$35,0)&lt;3,0.75,IF(ROUNDDOWN((Q$70-$B88)/$D$35,0)&lt;4,0.875,0.9375)))))+HLOOKUP($B88,$C$70:$Q$71,2,FALSE)*$C$36*(1-IF(ROUNDDOWN((Q$70-$B88)/$D$36,0)&lt;1,0,IF(ROUNDDOWN((Q$70-$B88)/$D$36,0)&lt;2,0.5,IF(ROUNDDOWN((Q$70-$B88)/$D$36,0)&lt;3,0.75,IF(ROUNDDOWN((Q$70-$B88)/$D$36,0)&lt;4,0.875,0.9375)))))+HLOOKUP($B88,$C$70:$Q$71,2,FALSE)*$C$37*(1-IF(ROUNDDOWN((Q$70-$B88)/$D$37,0)&lt;1,0,IF(ROUNDDOWN((Q$70-$B88)/$D$37,0)&lt;2,0.5,IF(ROUNDDOWN((Q$70-$B88)/$D$37,0)&lt;3,0.75,IF(ROUNDDOWN((Q$70-$B88)/$D$37,0)&lt;4,0.875,0.9375)))))</f>
        <v>0.81313689153496327</v>
      </c>
      <c r="R88" s="19"/>
    </row>
    <row r="89" spans="2:18" x14ac:dyDescent="0.3">
      <c r="B89" s="120">
        <f t="shared" si="12"/>
        <v>2030</v>
      </c>
      <c r="C89" s="125"/>
      <c r="D89" s="125"/>
      <c r="E89" s="125"/>
      <c r="F89" s="125"/>
      <c r="G89" s="125"/>
      <c r="H89" s="125"/>
      <c r="I89" s="125"/>
      <c r="J89" s="125"/>
      <c r="K89" s="125"/>
      <c r="L89" s="125"/>
      <c r="M89" s="125"/>
      <c r="N89" s="125"/>
      <c r="O89" s="125"/>
      <c r="P89" s="125"/>
      <c r="Q89" s="125"/>
      <c r="R89" s="19"/>
    </row>
    <row r="90" spans="2:18" x14ac:dyDescent="0.3">
      <c r="B90" s="20"/>
      <c r="C90" s="126"/>
      <c r="D90" s="126"/>
      <c r="E90" s="126"/>
      <c r="F90" s="126"/>
      <c r="G90" s="126"/>
      <c r="H90" s="126"/>
      <c r="I90" s="126"/>
      <c r="J90" s="126"/>
      <c r="K90" s="126"/>
      <c r="L90" s="126"/>
      <c r="M90" s="126"/>
      <c r="N90" s="126"/>
      <c r="O90" s="126"/>
      <c r="P90" s="126"/>
      <c r="Q90" s="126"/>
      <c r="R90" s="19"/>
    </row>
    <row r="91" spans="2:18" x14ac:dyDescent="0.3">
      <c r="B91" s="127" t="s">
        <v>178</v>
      </c>
      <c r="C91" s="128">
        <f t="shared" ref="C91:Q91" si="13">SUM(C74:C89)</f>
        <v>0.81313689153496327</v>
      </c>
      <c r="D91" s="128">
        <f t="shared" si="13"/>
        <v>1.6262737830699265</v>
      </c>
      <c r="E91" s="128">
        <f t="shared" si="13"/>
        <v>2.4394106746048898</v>
      </c>
      <c r="F91" s="128">
        <f t="shared" si="13"/>
        <v>3.2175826798038498</v>
      </c>
      <c r="G91" s="128">
        <f t="shared" si="13"/>
        <v>3.9957546850028094</v>
      </c>
      <c r="H91" s="128">
        <f t="shared" si="13"/>
        <v>4.773926690201769</v>
      </c>
      <c r="I91" s="128">
        <f t="shared" si="13"/>
        <v>5.5346162522327278</v>
      </c>
      <c r="J91" s="128">
        <f t="shared" si="13"/>
        <v>6.2953058142636857</v>
      </c>
      <c r="K91" s="128">
        <f t="shared" si="13"/>
        <v>7.0234699006332448</v>
      </c>
      <c r="L91" s="128">
        <f t="shared" si="13"/>
        <v>7.7428927654188042</v>
      </c>
      <c r="M91" s="128">
        <f t="shared" si="13"/>
        <v>8.4297901545429639</v>
      </c>
      <c r="N91" s="128">
        <f t="shared" si="13"/>
        <v>9.1166875436671244</v>
      </c>
      <c r="O91" s="128">
        <f t="shared" si="13"/>
        <v>9.7992143219992833</v>
      </c>
      <c r="P91" s="128">
        <f t="shared" si="13"/>
        <v>10.481741100331442</v>
      </c>
      <c r="Q91" s="128">
        <f t="shared" si="13"/>
        <v>11.164267878663603</v>
      </c>
      <c r="R91" s="19"/>
    </row>
    <row r="92" spans="2:18" ht="15" thickBot="1" x14ac:dyDescent="0.35">
      <c r="B92" s="26"/>
      <c r="C92" s="27"/>
      <c r="D92" s="27"/>
      <c r="E92" s="27"/>
      <c r="F92" s="27"/>
      <c r="G92" s="27"/>
      <c r="H92" s="27"/>
      <c r="I92" s="27"/>
      <c r="J92" s="27"/>
      <c r="K92" s="27"/>
      <c r="L92" s="27"/>
      <c r="M92" s="27"/>
      <c r="N92" s="27"/>
      <c r="O92" s="27"/>
      <c r="P92" s="27"/>
      <c r="Q92" s="27"/>
      <c r="R92" s="28"/>
    </row>
  </sheetData>
  <mergeCells count="1">
    <mergeCell ref="F32:O3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92"/>
  <sheetViews>
    <sheetView zoomScale="70" zoomScaleNormal="70" workbookViewId="0">
      <selection activeCell="J40" sqref="J40"/>
    </sheetView>
  </sheetViews>
  <sheetFormatPr defaultRowHeight="14.4" x14ac:dyDescent="0.3"/>
  <cols>
    <col min="2" max="2" width="29.6640625" customWidth="1"/>
  </cols>
  <sheetData>
    <row r="1" spans="1:29" ht="23.4" x14ac:dyDescent="0.45">
      <c r="B1" s="79" t="s">
        <v>26</v>
      </c>
      <c r="C1" s="79" t="str">
        <f>'Program Analysis'!C3</f>
        <v>PACE Financing</v>
      </c>
      <c r="D1" s="3"/>
    </row>
    <row r="2" spans="1:29" ht="23.4" x14ac:dyDescent="0.45">
      <c r="B2" s="79" t="s">
        <v>149</v>
      </c>
      <c r="C2" s="79" t="s">
        <v>116</v>
      </c>
      <c r="D2" s="3"/>
    </row>
    <row r="4" spans="1:29" ht="15" thickBot="1" x14ac:dyDescent="0.35"/>
    <row r="5" spans="1:29" ht="18" x14ac:dyDescent="0.35">
      <c r="A5" s="1"/>
      <c r="B5" s="165" t="s">
        <v>247</v>
      </c>
      <c r="C5" s="163"/>
      <c r="D5" s="163"/>
      <c r="E5" s="164"/>
      <c r="F5" s="164"/>
      <c r="G5" s="164"/>
      <c r="H5" s="164"/>
      <c r="I5" s="164"/>
      <c r="J5" s="164"/>
      <c r="K5" s="164"/>
      <c r="L5" s="164"/>
      <c r="M5" s="164"/>
      <c r="N5" s="164"/>
      <c r="O5" s="164"/>
      <c r="P5" s="164"/>
      <c r="Q5" s="164"/>
      <c r="R5" s="166"/>
      <c r="S5" s="3"/>
      <c r="T5" s="110"/>
      <c r="U5" t="s">
        <v>157</v>
      </c>
      <c r="V5" s="3"/>
      <c r="W5" s="3"/>
      <c r="X5" s="3"/>
      <c r="Y5" s="3"/>
      <c r="Z5" s="3"/>
    </row>
    <row r="6" spans="1:29" x14ac:dyDescent="0.3">
      <c r="B6" s="20" t="s">
        <v>158</v>
      </c>
      <c r="C6" s="118">
        <v>-0.5</v>
      </c>
      <c r="D6" s="118" t="s">
        <v>253</v>
      </c>
      <c r="E6" s="12"/>
      <c r="F6" s="12"/>
      <c r="G6" s="12"/>
      <c r="H6" s="3"/>
      <c r="I6" s="3"/>
      <c r="J6" s="3"/>
      <c r="K6" s="3"/>
      <c r="L6" s="3"/>
      <c r="M6" s="3"/>
      <c r="N6" s="3"/>
      <c r="O6" s="3"/>
      <c r="P6" s="3"/>
      <c r="Q6" s="3"/>
      <c r="R6" s="19"/>
      <c r="S6" s="3"/>
      <c r="T6" s="112"/>
      <c r="U6" t="s">
        <v>159</v>
      </c>
      <c r="V6" s="3"/>
      <c r="W6" s="3"/>
      <c r="X6" s="3"/>
      <c r="Y6" s="3"/>
      <c r="Z6" s="3"/>
    </row>
    <row r="7" spans="1:29" x14ac:dyDescent="0.3">
      <c r="B7" s="30"/>
      <c r="C7" s="12"/>
      <c r="D7" s="18"/>
      <c r="E7" s="12"/>
      <c r="F7" s="12"/>
      <c r="G7" s="12"/>
      <c r="H7" s="3"/>
      <c r="I7" s="3"/>
      <c r="J7" s="3"/>
      <c r="K7" s="3"/>
      <c r="L7" s="3"/>
      <c r="M7" s="3"/>
      <c r="N7" s="3"/>
      <c r="O7" s="3"/>
      <c r="P7" s="3"/>
      <c r="Q7" s="3"/>
      <c r="R7" s="19"/>
      <c r="S7" s="3"/>
      <c r="T7" s="113"/>
      <c r="U7" t="s">
        <v>160</v>
      </c>
      <c r="V7" s="3"/>
      <c r="W7" s="3"/>
      <c r="X7" s="3"/>
      <c r="Y7" s="3"/>
      <c r="Z7" s="3"/>
    </row>
    <row r="8" spans="1:29" s="8" customFormat="1" ht="18" x14ac:dyDescent="0.35">
      <c r="B8" s="114"/>
      <c r="C8" s="21">
        <v>2015</v>
      </c>
      <c r="D8" s="21">
        <v>2016</v>
      </c>
      <c r="E8" s="21">
        <v>2017</v>
      </c>
      <c r="F8" s="21">
        <v>2018</v>
      </c>
      <c r="G8" s="21">
        <v>2019</v>
      </c>
      <c r="H8" s="21">
        <v>2020</v>
      </c>
      <c r="I8" s="21">
        <v>2021</v>
      </c>
      <c r="J8" s="21">
        <v>2022</v>
      </c>
      <c r="K8" s="21">
        <v>2023</v>
      </c>
      <c r="L8" s="21">
        <v>2024</v>
      </c>
      <c r="M8" s="21">
        <v>2025</v>
      </c>
      <c r="N8" s="21">
        <v>2026</v>
      </c>
      <c r="O8" s="22">
        <v>2027</v>
      </c>
      <c r="P8" s="22">
        <v>2028</v>
      </c>
      <c r="Q8" s="22">
        <v>2029</v>
      </c>
      <c r="R8" s="24"/>
      <c r="S8" s="23"/>
      <c r="T8" s="23"/>
      <c r="U8" s="23"/>
      <c r="V8" s="23"/>
      <c r="W8" s="23"/>
      <c r="X8" s="23"/>
      <c r="Y8" s="23"/>
      <c r="Z8" s="23"/>
      <c r="AB8" s="14"/>
      <c r="AC8" s="14"/>
    </row>
    <row r="9" spans="1:29" ht="14.4" customHeight="1" x14ac:dyDescent="0.3">
      <c r="B9" s="115" t="s">
        <v>0</v>
      </c>
      <c r="C9" s="10">
        <f>Reference!C9*(1+Conservative!$C$6)</f>
        <v>272.27578008911684</v>
      </c>
      <c r="D9" s="10">
        <f>Reference!D9*(1+Conservative!$C$6)</f>
        <v>272.27578008911684</v>
      </c>
      <c r="E9" s="10">
        <f>Reference!E9*(1+Conservative!$C$6)</f>
        <v>272.27578008911684</v>
      </c>
      <c r="F9" s="10">
        <f>Reference!F9*(1+Conservative!$C$6)</f>
        <v>272.27578008911684</v>
      </c>
      <c r="G9" s="10">
        <f>Reference!G9*(1+Conservative!$C$6)</f>
        <v>272.27578008911684</v>
      </c>
      <c r="H9" s="10">
        <f>Reference!H9*(1+Conservative!$C$6)</f>
        <v>272.27578008911684</v>
      </c>
      <c r="I9" s="10">
        <f>Reference!I9*(1+Conservative!$C$6)</f>
        <v>272.27578008911684</v>
      </c>
      <c r="J9" s="10">
        <f>Reference!J9*(1+Conservative!$C$6)</f>
        <v>272.27578008911684</v>
      </c>
      <c r="K9" s="10">
        <f>Reference!K9*(1+Conservative!$C$6)</f>
        <v>272.27578008911684</v>
      </c>
      <c r="L9" s="10">
        <f>Reference!L9*(1+Conservative!$C$6)</f>
        <v>272.27578008911684</v>
      </c>
      <c r="M9" s="10">
        <f>Reference!M9*(1+Conservative!$C$6)</f>
        <v>272.27578008911684</v>
      </c>
      <c r="N9" s="10">
        <f>Reference!N9*(1+Conservative!$C$6)</f>
        <v>272.27578008911684</v>
      </c>
      <c r="O9" s="10">
        <f>Reference!O9*(1+Conservative!$C$6)</f>
        <v>272.27578008911684</v>
      </c>
      <c r="P9" s="10">
        <f>Reference!P9*(1+Conservative!$C$6)</f>
        <v>272.27578008911684</v>
      </c>
      <c r="Q9" s="10">
        <f>Reference!Q9*(1+Conservative!$C$6)</f>
        <v>272.27578008911684</v>
      </c>
      <c r="R9" s="19"/>
      <c r="S9" s="3"/>
      <c r="T9" s="3"/>
      <c r="U9" s="3"/>
      <c r="V9" s="3"/>
      <c r="W9" s="29"/>
      <c r="X9" s="3"/>
      <c r="Y9" s="3"/>
      <c r="Z9" s="3"/>
      <c r="AB9" s="5"/>
      <c r="AC9" s="5"/>
    </row>
    <row r="10" spans="1:29" ht="15" thickBot="1" x14ac:dyDescent="0.35">
      <c r="B10" s="116" t="s">
        <v>4</v>
      </c>
      <c r="C10" s="117">
        <f>Reference!C10*(1+Conservative!$C$6)</f>
        <v>0.41663433120950322</v>
      </c>
      <c r="D10" s="117">
        <f>Reference!D10*(1+Conservative!$C$6)</f>
        <v>0.41663433120950322</v>
      </c>
      <c r="E10" s="117">
        <f>Reference!E10*(1+Conservative!$C$6)</f>
        <v>0.41663433120950322</v>
      </c>
      <c r="F10" s="117">
        <f>Reference!F10*(1+Conservative!$C$6)</f>
        <v>0.41663433120950322</v>
      </c>
      <c r="G10" s="117">
        <f>Reference!G10*(1+Conservative!$C$6)</f>
        <v>0.41663433120950322</v>
      </c>
      <c r="H10" s="117">
        <f>Reference!H10*(1+Conservative!$C$6)</f>
        <v>0.41663433120950322</v>
      </c>
      <c r="I10" s="117">
        <f>Reference!I10*(1+Conservative!$C$6)</f>
        <v>0.41663433120950322</v>
      </c>
      <c r="J10" s="117">
        <f>Reference!J10*(1+Conservative!$C$6)</f>
        <v>0.41663433120950322</v>
      </c>
      <c r="K10" s="117">
        <f>Reference!K10*(1+Conservative!$C$6)</f>
        <v>0.41663433120950322</v>
      </c>
      <c r="L10" s="117">
        <f>Reference!L10*(1+Conservative!$C$6)</f>
        <v>0.41663433120950322</v>
      </c>
      <c r="M10" s="117">
        <f>Reference!M10*(1+Conservative!$C$6)</f>
        <v>0.41663433120950322</v>
      </c>
      <c r="N10" s="117">
        <f>Reference!N10*(1+Conservative!$C$6)</f>
        <v>0.41663433120950322</v>
      </c>
      <c r="O10" s="117">
        <f>Reference!O10*(1+Conservative!$C$6)</f>
        <v>0.41663433120950322</v>
      </c>
      <c r="P10" s="117">
        <f>Reference!P10*(1+Conservative!$C$6)</f>
        <v>0.41663433120950322</v>
      </c>
      <c r="Q10" s="117">
        <f>Reference!Q10*(1+Conservative!$C$6)</f>
        <v>0.41663433120950322</v>
      </c>
      <c r="R10" s="28"/>
      <c r="S10" s="3"/>
      <c r="T10" s="3"/>
      <c r="U10" s="3"/>
      <c r="V10" s="3"/>
      <c r="W10" s="29"/>
      <c r="X10" s="3"/>
      <c r="Y10" s="3"/>
      <c r="Z10" s="3"/>
    </row>
    <row r="11" spans="1:29" x14ac:dyDescent="0.3">
      <c r="B11" s="7"/>
      <c r="C11" s="7"/>
      <c r="D11" s="7"/>
      <c r="E11" s="7"/>
      <c r="F11" s="31"/>
      <c r="G11" s="31"/>
      <c r="H11" s="32"/>
      <c r="I11" s="32"/>
      <c r="J11" s="32"/>
      <c r="K11" s="32"/>
      <c r="L11" s="32"/>
      <c r="M11" s="32"/>
      <c r="N11" s="32"/>
      <c r="O11" s="32"/>
      <c r="P11" s="32"/>
      <c r="Q11" s="32"/>
      <c r="R11" s="32"/>
      <c r="S11" s="32"/>
      <c r="T11" s="32"/>
      <c r="U11" s="32"/>
      <c r="V11" s="32"/>
      <c r="W11" s="29"/>
      <c r="X11" s="3"/>
      <c r="Y11" s="3"/>
      <c r="Z11" s="3"/>
    </row>
    <row r="12" spans="1:29" ht="15" thickBot="1" x14ac:dyDescent="0.35">
      <c r="B12" s="3"/>
      <c r="C12" s="3"/>
      <c r="D12" s="3"/>
      <c r="E12" s="3"/>
      <c r="F12" s="3"/>
      <c r="G12" s="3"/>
      <c r="H12" s="3"/>
      <c r="I12" s="3"/>
      <c r="J12" s="3"/>
      <c r="K12" s="3"/>
      <c r="L12" s="3"/>
      <c r="M12" s="3"/>
      <c r="N12" s="3"/>
      <c r="O12" s="3"/>
      <c r="P12" s="3"/>
      <c r="Q12" s="3"/>
      <c r="R12" s="3"/>
      <c r="S12" s="3"/>
      <c r="T12" s="3"/>
      <c r="U12" s="3"/>
      <c r="V12" s="3"/>
      <c r="W12" s="3"/>
      <c r="X12" s="3"/>
      <c r="Y12" s="3"/>
      <c r="Z12" s="3"/>
    </row>
    <row r="13" spans="1:29" ht="18" x14ac:dyDescent="0.35">
      <c r="A13" s="1"/>
      <c r="B13" s="167" t="s">
        <v>248</v>
      </c>
      <c r="C13" s="168"/>
      <c r="D13" s="168"/>
      <c r="E13" s="169"/>
      <c r="F13" s="169"/>
      <c r="G13" s="169"/>
      <c r="H13" s="169"/>
      <c r="I13" s="169"/>
      <c r="J13" s="169"/>
      <c r="K13" s="169"/>
      <c r="L13" s="169"/>
      <c r="M13" s="169"/>
      <c r="N13" s="169"/>
      <c r="O13" s="169"/>
      <c r="P13" s="169"/>
      <c r="Q13" s="169"/>
      <c r="R13" s="170"/>
      <c r="S13" s="3"/>
      <c r="T13" s="3"/>
      <c r="U13" s="3"/>
      <c r="V13" s="3"/>
      <c r="W13" s="3"/>
      <c r="X13" s="3"/>
      <c r="Y13" s="3"/>
      <c r="Z13" s="3"/>
    </row>
    <row r="14" spans="1:29" x14ac:dyDescent="0.3">
      <c r="B14" s="20" t="s">
        <v>161</v>
      </c>
      <c r="C14" s="118">
        <v>-0.5</v>
      </c>
      <c r="D14" s="118" t="s">
        <v>253</v>
      </c>
      <c r="E14" s="3"/>
      <c r="F14" s="3"/>
      <c r="G14" s="3"/>
      <c r="H14" s="3"/>
      <c r="I14" s="3"/>
      <c r="J14" s="3"/>
      <c r="K14" s="3"/>
      <c r="L14" s="3"/>
      <c r="M14" s="3"/>
      <c r="N14" s="3"/>
      <c r="O14" s="3"/>
      <c r="P14" s="3"/>
      <c r="Q14" s="3"/>
      <c r="R14" s="19"/>
      <c r="S14" s="3"/>
      <c r="T14" s="3"/>
      <c r="U14" s="3"/>
      <c r="V14" s="3"/>
      <c r="W14" s="3"/>
      <c r="X14" s="3"/>
      <c r="Y14" s="3"/>
      <c r="Z14" s="3"/>
    </row>
    <row r="15" spans="1:29" x14ac:dyDescent="0.3">
      <c r="B15" s="20"/>
      <c r="C15" s="111"/>
      <c r="D15" s="3"/>
      <c r="E15" s="3"/>
      <c r="F15" s="3"/>
      <c r="G15" s="3"/>
      <c r="H15" s="3"/>
      <c r="I15" s="3"/>
      <c r="J15" s="3"/>
      <c r="K15" s="3"/>
      <c r="L15" s="3"/>
      <c r="M15" s="3"/>
      <c r="N15" s="3"/>
      <c r="O15" s="3"/>
      <c r="P15" s="3"/>
      <c r="Q15" s="3"/>
      <c r="R15" s="19"/>
      <c r="S15" s="3"/>
      <c r="T15" s="3"/>
      <c r="U15" s="3"/>
      <c r="V15" s="3"/>
      <c r="W15" s="3"/>
      <c r="X15" s="3"/>
      <c r="Y15" s="3"/>
      <c r="Z15" s="3"/>
    </row>
    <row r="16" spans="1:29" s="8" customFormat="1" ht="18" x14ac:dyDescent="0.35">
      <c r="B16" s="114"/>
      <c r="C16" s="21">
        <v>2015</v>
      </c>
      <c r="D16" s="21">
        <v>2016</v>
      </c>
      <c r="E16" s="21">
        <v>2017</v>
      </c>
      <c r="F16" s="21">
        <v>2018</v>
      </c>
      <c r="G16" s="21">
        <v>2019</v>
      </c>
      <c r="H16" s="21">
        <v>2020</v>
      </c>
      <c r="I16" s="21">
        <v>2021</v>
      </c>
      <c r="J16" s="21">
        <v>2022</v>
      </c>
      <c r="K16" s="21">
        <v>2023</v>
      </c>
      <c r="L16" s="21">
        <v>2024</v>
      </c>
      <c r="M16" s="21">
        <v>2025</v>
      </c>
      <c r="N16" s="21">
        <v>2026</v>
      </c>
      <c r="O16" s="22">
        <v>2027</v>
      </c>
      <c r="P16" s="22">
        <v>2028</v>
      </c>
      <c r="Q16" s="22">
        <v>2029</v>
      </c>
      <c r="R16" s="24"/>
      <c r="S16" s="23"/>
      <c r="T16" s="23"/>
      <c r="U16" s="23"/>
      <c r="V16" s="23"/>
      <c r="W16" s="23"/>
      <c r="X16" s="23"/>
      <c r="Y16" s="23"/>
      <c r="Z16" s="23"/>
      <c r="AB16" s="14"/>
      <c r="AC16" s="14"/>
    </row>
    <row r="17" spans="1:29" ht="14.4" customHeight="1" x14ac:dyDescent="0.3">
      <c r="B17" s="115" t="s">
        <v>0</v>
      </c>
      <c r="C17" s="10">
        <f>Reference!C17*(1+Conservative!$C$14)</f>
        <v>4.4925503714704282</v>
      </c>
      <c r="D17" s="10">
        <f>Reference!D17*(1+Conservative!$C$14)</f>
        <v>4.4925503714704282</v>
      </c>
      <c r="E17" s="10">
        <f>Reference!E17*(1+Conservative!$C$14)</f>
        <v>4.4925503714704282</v>
      </c>
      <c r="F17" s="10">
        <f>Reference!F17*(1+Conservative!$C$14)</f>
        <v>4.4925503714704282</v>
      </c>
      <c r="G17" s="10">
        <f>Reference!G17*(1+Conservative!$C$14)</f>
        <v>4.4925503714704282</v>
      </c>
      <c r="H17" s="10">
        <f>Reference!H17*(1+Conservative!$C$14)</f>
        <v>4.4925503714704282</v>
      </c>
      <c r="I17" s="10">
        <f>Reference!I17*(1+Conservative!$C$14)</f>
        <v>4.4925503714704282</v>
      </c>
      <c r="J17" s="10">
        <f>Reference!J17*(1+Conservative!$C$14)</f>
        <v>4.4925503714704282</v>
      </c>
      <c r="K17" s="10">
        <f>Reference!K17*(1+Conservative!$C$14)</f>
        <v>4.4925503714704282</v>
      </c>
      <c r="L17" s="10">
        <f>Reference!L17*(1+Conservative!$C$14)</f>
        <v>4.4925503714704282</v>
      </c>
      <c r="M17" s="10">
        <f>Reference!M17*(1+Conservative!$C$14)</f>
        <v>4.4925503714704282</v>
      </c>
      <c r="N17" s="10">
        <f>Reference!N17*(1+Conservative!$C$14)</f>
        <v>4.4925503714704282</v>
      </c>
      <c r="O17" s="10">
        <f>Reference!O17*(1+Conservative!$C$14)</f>
        <v>4.4925503714704282</v>
      </c>
      <c r="P17" s="10">
        <f>Reference!P17*(1+Conservative!$C$14)</f>
        <v>4.4925503714704282</v>
      </c>
      <c r="Q17" s="10">
        <f>Reference!Q17*(1+Conservative!$C$14)</f>
        <v>4.4925503714704282</v>
      </c>
      <c r="R17" s="19"/>
      <c r="S17" s="3"/>
      <c r="T17" s="3"/>
      <c r="U17" s="3"/>
      <c r="V17" s="3"/>
      <c r="W17" s="25"/>
      <c r="X17" s="3"/>
      <c r="Y17" s="3"/>
      <c r="Z17" s="3"/>
      <c r="AB17" s="5"/>
      <c r="AC17" s="5"/>
    </row>
    <row r="18" spans="1:29" ht="14.4" customHeight="1" thickBot="1" x14ac:dyDescent="0.35">
      <c r="B18" s="116" t="s">
        <v>4</v>
      </c>
      <c r="C18" s="117">
        <f>Reference!C18*(1+Conservative!$C$14)</f>
        <v>6.8744664649568032E-3</v>
      </c>
      <c r="D18" s="117">
        <f>Reference!D18*(1+Conservative!$C$14)</f>
        <v>6.8744664649568032E-3</v>
      </c>
      <c r="E18" s="117">
        <f>Reference!E18*(1+Conservative!$C$14)</f>
        <v>6.8744664649568032E-3</v>
      </c>
      <c r="F18" s="117">
        <f>Reference!F18*(1+Conservative!$C$14)</f>
        <v>6.8744664649568032E-3</v>
      </c>
      <c r="G18" s="117">
        <f>Reference!G18*(1+Conservative!$C$14)</f>
        <v>6.8744664649568032E-3</v>
      </c>
      <c r="H18" s="117">
        <f>Reference!H18*(1+Conservative!$C$14)</f>
        <v>6.8744664649568032E-3</v>
      </c>
      <c r="I18" s="117">
        <f>Reference!I18*(1+Conservative!$C$14)</f>
        <v>6.8744664649568032E-3</v>
      </c>
      <c r="J18" s="117">
        <f>Reference!J18*(1+Conservative!$C$14)</f>
        <v>6.8744664649568032E-3</v>
      </c>
      <c r="K18" s="117">
        <f>Reference!K18*(1+Conservative!$C$14)</f>
        <v>6.8744664649568032E-3</v>
      </c>
      <c r="L18" s="117">
        <f>Reference!L18*(1+Conservative!$C$14)</f>
        <v>6.8744664649568032E-3</v>
      </c>
      <c r="M18" s="117">
        <f>Reference!M18*(1+Conservative!$C$14)</f>
        <v>6.8744664649568032E-3</v>
      </c>
      <c r="N18" s="117">
        <f>Reference!N18*(1+Conservative!$C$14)</f>
        <v>6.8744664649568032E-3</v>
      </c>
      <c r="O18" s="117">
        <f>Reference!O18*(1+Conservative!$C$14)</f>
        <v>6.8744664649568032E-3</v>
      </c>
      <c r="P18" s="117">
        <f>Reference!P18*(1+Conservative!$C$14)</f>
        <v>6.8744664649568032E-3</v>
      </c>
      <c r="Q18" s="117">
        <f>Reference!Q18*(1+Conservative!$C$14)</f>
        <v>6.8744664649568032E-3</v>
      </c>
      <c r="R18" s="28"/>
      <c r="S18" s="3"/>
      <c r="T18" s="3"/>
      <c r="U18" s="3"/>
      <c r="V18" s="3"/>
      <c r="W18" s="25"/>
      <c r="X18" s="3"/>
      <c r="Y18" s="3"/>
      <c r="Z18" s="3"/>
      <c r="AB18" s="5"/>
      <c r="AC18" s="5"/>
    </row>
    <row r="19" spans="1:29" x14ac:dyDescent="0.3">
      <c r="B19" s="3"/>
      <c r="C19" s="3"/>
      <c r="D19" s="3"/>
      <c r="E19" s="3"/>
      <c r="F19" s="3"/>
      <c r="G19" s="3"/>
      <c r="H19" s="3"/>
      <c r="I19" s="3"/>
      <c r="J19" s="3"/>
      <c r="K19" s="3"/>
      <c r="L19" s="3"/>
      <c r="M19" s="3"/>
      <c r="N19" s="3"/>
      <c r="O19" s="3"/>
      <c r="P19" s="3"/>
      <c r="Q19" s="3"/>
      <c r="R19" s="3"/>
      <c r="S19" s="3"/>
      <c r="T19" s="3"/>
      <c r="U19" s="3"/>
      <c r="V19" s="3"/>
      <c r="W19" s="3"/>
      <c r="X19" s="3"/>
      <c r="Y19" s="3"/>
      <c r="Z19" s="3"/>
    </row>
    <row r="20" spans="1:29" ht="15" thickBot="1" x14ac:dyDescent="0.35">
      <c r="B20" s="3"/>
      <c r="C20" s="3"/>
      <c r="D20" s="3"/>
      <c r="E20" s="3"/>
      <c r="F20" s="3"/>
      <c r="G20" s="3"/>
      <c r="H20" s="3"/>
      <c r="I20" s="3"/>
      <c r="J20" s="3"/>
      <c r="K20" s="3"/>
      <c r="L20" s="3"/>
      <c r="M20" s="3"/>
      <c r="N20" s="3"/>
      <c r="O20" s="3"/>
      <c r="P20" s="3"/>
      <c r="Q20" s="3"/>
      <c r="R20" s="3"/>
      <c r="S20" s="3"/>
      <c r="T20" s="3"/>
      <c r="U20" s="3"/>
      <c r="V20" s="3"/>
      <c r="W20" s="3"/>
      <c r="X20" s="3"/>
      <c r="Y20" s="3"/>
      <c r="Z20" s="3"/>
    </row>
    <row r="21" spans="1:29" ht="18" x14ac:dyDescent="0.35">
      <c r="A21" s="1"/>
      <c r="B21" s="33" t="s">
        <v>179</v>
      </c>
      <c r="C21" s="16"/>
      <c r="D21" s="16"/>
      <c r="E21" s="16"/>
      <c r="F21" s="16"/>
      <c r="G21" s="16"/>
      <c r="H21" s="16"/>
      <c r="I21" s="16"/>
      <c r="J21" s="16"/>
      <c r="K21" s="16"/>
      <c r="L21" s="16"/>
      <c r="M21" s="16"/>
      <c r="N21" s="16"/>
      <c r="O21" s="16"/>
      <c r="P21" s="16"/>
      <c r="Q21" s="16"/>
      <c r="R21" s="17"/>
      <c r="S21" s="3"/>
      <c r="T21" s="3"/>
      <c r="U21" s="3"/>
      <c r="V21" s="3"/>
      <c r="W21" s="3"/>
      <c r="X21" s="3"/>
      <c r="Y21" s="3"/>
      <c r="Z21" s="3"/>
    </row>
    <row r="22" spans="1:29" x14ac:dyDescent="0.3">
      <c r="B22" s="20" t="s">
        <v>161</v>
      </c>
      <c r="C22" s="118">
        <v>0.04</v>
      </c>
      <c r="D22" s="119" t="s">
        <v>163</v>
      </c>
      <c r="E22" s="3"/>
      <c r="F22" s="3"/>
      <c r="G22" s="3"/>
      <c r="H22" s="3"/>
      <c r="I22" s="3"/>
      <c r="J22" s="3"/>
      <c r="K22" s="3"/>
      <c r="L22" s="3"/>
      <c r="M22" s="3"/>
      <c r="N22" s="3"/>
      <c r="O22" s="3"/>
      <c r="P22" s="3"/>
      <c r="Q22" s="3"/>
      <c r="R22" s="19"/>
      <c r="S22" s="3"/>
      <c r="T22" s="3"/>
      <c r="U22" s="3"/>
      <c r="V22" s="3"/>
      <c r="W22" s="3"/>
      <c r="X22" s="3"/>
      <c r="Y22" s="3"/>
      <c r="Z22" s="3"/>
    </row>
    <row r="23" spans="1:29" x14ac:dyDescent="0.3">
      <c r="B23" s="20"/>
      <c r="C23" s="111"/>
      <c r="D23" s="3"/>
      <c r="E23" s="3"/>
      <c r="F23" s="3"/>
      <c r="G23" s="3"/>
      <c r="H23" s="3"/>
      <c r="I23" s="3"/>
      <c r="J23" s="3"/>
      <c r="K23" s="3"/>
      <c r="L23" s="3"/>
      <c r="M23" s="3"/>
      <c r="N23" s="3"/>
      <c r="O23" s="3"/>
      <c r="P23" s="3"/>
      <c r="Q23" s="3"/>
      <c r="R23" s="19"/>
      <c r="S23" s="3"/>
      <c r="T23" s="3"/>
      <c r="U23" s="3"/>
      <c r="V23" s="3"/>
      <c r="W23" s="3"/>
      <c r="X23" s="3"/>
      <c r="Y23" s="3"/>
      <c r="Z23" s="3"/>
    </row>
    <row r="24" spans="1:29" s="8" customFormat="1" ht="18" x14ac:dyDescent="0.35">
      <c r="B24" s="114"/>
      <c r="C24" s="21">
        <v>2015</v>
      </c>
      <c r="D24" s="21">
        <v>2016</v>
      </c>
      <c r="E24" s="21">
        <v>2017</v>
      </c>
      <c r="F24" s="21">
        <v>2018</v>
      </c>
      <c r="G24" s="21">
        <v>2019</v>
      </c>
      <c r="H24" s="21">
        <v>2020</v>
      </c>
      <c r="I24" s="21">
        <v>2021</v>
      </c>
      <c r="J24" s="21">
        <v>2022</v>
      </c>
      <c r="K24" s="21">
        <v>2023</v>
      </c>
      <c r="L24" s="21">
        <v>2024</v>
      </c>
      <c r="M24" s="21">
        <v>2025</v>
      </c>
      <c r="N24" s="21">
        <v>2026</v>
      </c>
      <c r="O24" s="22">
        <v>2027</v>
      </c>
      <c r="P24" s="22">
        <v>2028</v>
      </c>
      <c r="Q24" s="22">
        <v>2029</v>
      </c>
      <c r="R24" s="24"/>
      <c r="S24" s="23"/>
      <c r="T24" s="23"/>
      <c r="U24" s="23"/>
      <c r="V24" s="23"/>
      <c r="W24" s="23"/>
      <c r="X24" s="23"/>
      <c r="Y24" s="23"/>
      <c r="Z24" s="23"/>
      <c r="AB24" s="14"/>
      <c r="AC24" s="14"/>
    </row>
    <row r="25" spans="1:29" ht="14.4" customHeight="1" x14ac:dyDescent="0.3">
      <c r="B25" s="115" t="s">
        <v>0</v>
      </c>
      <c r="C25" s="10">
        <f>SUM(C9,C17)*(1-$C$22)</f>
        <v>265.69759724216374</v>
      </c>
      <c r="D25" s="10">
        <f t="shared" ref="D25:Q25" si="0">SUM(D9,D17)*(1-$C$22)</f>
        <v>265.69759724216374</v>
      </c>
      <c r="E25" s="10">
        <f t="shared" si="0"/>
        <v>265.69759724216374</v>
      </c>
      <c r="F25" s="10">
        <f t="shared" si="0"/>
        <v>265.69759724216374</v>
      </c>
      <c r="G25" s="10">
        <f t="shared" si="0"/>
        <v>265.69759724216374</v>
      </c>
      <c r="H25" s="10">
        <f t="shared" si="0"/>
        <v>265.69759724216374</v>
      </c>
      <c r="I25" s="10">
        <f t="shared" si="0"/>
        <v>265.69759724216374</v>
      </c>
      <c r="J25" s="10">
        <f t="shared" si="0"/>
        <v>265.69759724216374</v>
      </c>
      <c r="K25" s="10">
        <f t="shared" si="0"/>
        <v>265.69759724216374</v>
      </c>
      <c r="L25" s="10">
        <f t="shared" si="0"/>
        <v>265.69759724216374</v>
      </c>
      <c r="M25" s="10">
        <f t="shared" si="0"/>
        <v>265.69759724216374</v>
      </c>
      <c r="N25" s="10">
        <f t="shared" si="0"/>
        <v>265.69759724216374</v>
      </c>
      <c r="O25" s="10">
        <f t="shared" si="0"/>
        <v>265.69759724216374</v>
      </c>
      <c r="P25" s="10">
        <f t="shared" si="0"/>
        <v>265.69759724216374</v>
      </c>
      <c r="Q25" s="10">
        <f t="shared" si="0"/>
        <v>265.69759724216374</v>
      </c>
      <c r="R25" s="19"/>
      <c r="S25" s="3"/>
      <c r="T25" s="3"/>
      <c r="U25" s="3"/>
      <c r="V25" s="3"/>
      <c r="W25" s="25"/>
      <c r="X25" s="3"/>
      <c r="Y25" s="3"/>
      <c r="Z25" s="3"/>
      <c r="AB25" s="5"/>
      <c r="AC25" s="5"/>
    </row>
    <row r="26" spans="1:29" ht="14.4" customHeight="1" thickBot="1" x14ac:dyDescent="0.35">
      <c r="B26" s="116" t="s">
        <v>4</v>
      </c>
      <c r="C26" s="117">
        <f t="shared" ref="C26:Q26" si="1">SUM(C10,C18)*(1-$C$22)</f>
        <v>0.40656844576748163</v>
      </c>
      <c r="D26" s="117">
        <f t="shared" si="1"/>
        <v>0.40656844576748163</v>
      </c>
      <c r="E26" s="117">
        <f t="shared" si="1"/>
        <v>0.40656844576748163</v>
      </c>
      <c r="F26" s="117">
        <f t="shared" si="1"/>
        <v>0.40656844576748163</v>
      </c>
      <c r="G26" s="117">
        <f t="shared" si="1"/>
        <v>0.40656844576748163</v>
      </c>
      <c r="H26" s="117">
        <f t="shared" si="1"/>
        <v>0.40656844576748163</v>
      </c>
      <c r="I26" s="117">
        <f t="shared" si="1"/>
        <v>0.40656844576748163</v>
      </c>
      <c r="J26" s="117">
        <f t="shared" si="1"/>
        <v>0.40656844576748163</v>
      </c>
      <c r="K26" s="117">
        <f t="shared" si="1"/>
        <v>0.40656844576748163</v>
      </c>
      <c r="L26" s="117">
        <f t="shared" si="1"/>
        <v>0.40656844576748163</v>
      </c>
      <c r="M26" s="117">
        <f t="shared" si="1"/>
        <v>0.40656844576748163</v>
      </c>
      <c r="N26" s="117">
        <f t="shared" si="1"/>
        <v>0.40656844576748163</v>
      </c>
      <c r="O26" s="117">
        <f t="shared" si="1"/>
        <v>0.40656844576748163</v>
      </c>
      <c r="P26" s="117">
        <f t="shared" si="1"/>
        <v>0.40656844576748163</v>
      </c>
      <c r="Q26" s="117">
        <f t="shared" si="1"/>
        <v>0.40656844576748163</v>
      </c>
      <c r="R26" s="28"/>
      <c r="S26" s="3"/>
      <c r="T26" s="3"/>
      <c r="U26" s="3"/>
      <c r="V26" s="3"/>
      <c r="W26" s="25"/>
      <c r="X26" s="3"/>
      <c r="Y26" s="3"/>
      <c r="Z26" s="3"/>
      <c r="AB26" s="5"/>
      <c r="AC26" s="5"/>
    </row>
    <row r="27" spans="1:29" x14ac:dyDescent="0.3">
      <c r="B27" s="3"/>
      <c r="C27" s="3"/>
      <c r="D27" s="3"/>
      <c r="E27" s="3"/>
      <c r="F27" s="3"/>
      <c r="G27" s="3"/>
      <c r="H27" s="3"/>
      <c r="I27" s="3"/>
      <c r="J27" s="3"/>
      <c r="K27" s="3"/>
      <c r="L27" s="3"/>
      <c r="M27" s="3"/>
      <c r="N27" s="3"/>
      <c r="O27" s="3"/>
      <c r="P27" s="3"/>
      <c r="Q27" s="3"/>
      <c r="R27" s="3"/>
      <c r="S27" s="3"/>
      <c r="T27" s="3"/>
      <c r="U27" s="3"/>
      <c r="V27" s="3"/>
      <c r="W27" s="3"/>
      <c r="X27" s="3"/>
      <c r="Y27" s="3"/>
      <c r="Z27" s="3"/>
    </row>
    <row r="28" spans="1:29" ht="15" thickBot="1" x14ac:dyDescent="0.35">
      <c r="B28" s="3"/>
      <c r="C28" s="3"/>
      <c r="D28" s="3"/>
      <c r="E28" s="3"/>
      <c r="F28" s="3"/>
      <c r="G28" s="3"/>
      <c r="H28" s="3"/>
      <c r="I28" s="3"/>
      <c r="J28" s="3"/>
      <c r="K28" s="3"/>
      <c r="L28" s="3"/>
      <c r="M28" s="3"/>
      <c r="N28" s="3"/>
      <c r="O28" s="3"/>
      <c r="P28" s="3"/>
      <c r="Q28" s="3"/>
      <c r="R28" s="3"/>
      <c r="S28" s="3"/>
      <c r="T28" s="3"/>
      <c r="U28" s="3"/>
      <c r="V28" s="3"/>
      <c r="W28" s="3"/>
      <c r="X28" s="3"/>
      <c r="Y28" s="3"/>
      <c r="Z28" s="3"/>
    </row>
    <row r="29" spans="1:29" ht="18" x14ac:dyDescent="0.35">
      <c r="A29" s="1"/>
      <c r="B29" s="33" t="s">
        <v>164</v>
      </c>
      <c r="C29" s="16"/>
      <c r="D29" s="16"/>
      <c r="E29" s="16"/>
      <c r="F29" s="16"/>
      <c r="G29" s="16"/>
      <c r="H29" s="16"/>
      <c r="I29" s="16"/>
      <c r="J29" s="16"/>
      <c r="K29" s="16"/>
      <c r="L29" s="16"/>
      <c r="M29" s="16"/>
      <c r="N29" s="16"/>
      <c r="O29" s="16"/>
      <c r="P29" s="16"/>
      <c r="Q29" s="16"/>
      <c r="R29" s="17"/>
      <c r="S29" s="3"/>
      <c r="T29" s="3"/>
      <c r="U29" s="3"/>
      <c r="V29" s="3"/>
      <c r="W29" s="3"/>
      <c r="X29" s="3"/>
      <c r="Y29" s="3"/>
      <c r="Z29" s="3"/>
    </row>
    <row r="30" spans="1:29" x14ac:dyDescent="0.3">
      <c r="B30" s="20"/>
      <c r="C30" s="3"/>
      <c r="D30" s="3"/>
      <c r="E30" s="3"/>
      <c r="F30" s="3"/>
      <c r="G30" s="3"/>
      <c r="H30" s="3"/>
      <c r="I30" s="3"/>
      <c r="J30" s="3"/>
      <c r="K30" s="3"/>
      <c r="L30" s="3"/>
      <c r="M30" s="3"/>
      <c r="N30" s="3"/>
      <c r="O30" s="3"/>
      <c r="P30" s="3"/>
      <c r="Q30" s="3"/>
      <c r="R30" s="19"/>
    </row>
    <row r="31" spans="1:29" x14ac:dyDescent="0.3">
      <c r="B31" s="120" t="s">
        <v>28</v>
      </c>
      <c r="C31" s="41" t="s">
        <v>165</v>
      </c>
      <c r="D31" s="41" t="s">
        <v>166</v>
      </c>
      <c r="E31" s="3"/>
      <c r="F31" s="3"/>
      <c r="G31" s="3"/>
      <c r="H31" s="3"/>
      <c r="I31" s="3"/>
      <c r="J31" s="3"/>
      <c r="K31" s="3"/>
      <c r="L31" s="3"/>
      <c r="M31" s="3"/>
      <c r="N31" s="3"/>
      <c r="O31" s="3"/>
      <c r="P31" s="3"/>
      <c r="Q31" s="3"/>
      <c r="R31" s="19"/>
    </row>
    <row r="32" spans="1:29" x14ac:dyDescent="0.3">
      <c r="B32" s="120" t="s">
        <v>167</v>
      </c>
      <c r="C32" s="121">
        <v>0.215</v>
      </c>
      <c r="D32" s="122">
        <v>15</v>
      </c>
      <c r="E32" s="3"/>
      <c r="F32" s="191" t="s">
        <v>168</v>
      </c>
      <c r="G32" s="191"/>
      <c r="H32" s="191"/>
      <c r="I32" s="191"/>
      <c r="J32" s="191"/>
      <c r="K32" s="191"/>
      <c r="L32" s="191"/>
      <c r="M32" s="191"/>
      <c r="N32" s="191"/>
      <c r="O32" s="191"/>
      <c r="P32" s="3"/>
      <c r="Q32" s="3"/>
      <c r="R32" s="19"/>
    </row>
    <row r="33" spans="2:18" x14ac:dyDescent="0.3">
      <c r="B33" s="120" t="s">
        <v>169</v>
      </c>
      <c r="C33" s="121">
        <v>3.2000000000000001E-2</v>
      </c>
      <c r="D33" s="122">
        <v>8</v>
      </c>
      <c r="E33" s="3"/>
      <c r="F33" s="191"/>
      <c r="G33" s="191"/>
      <c r="H33" s="191"/>
      <c r="I33" s="191"/>
      <c r="J33" s="191"/>
      <c r="K33" s="191"/>
      <c r="L33" s="191"/>
      <c r="M33" s="191"/>
      <c r="N33" s="191"/>
      <c r="O33" s="191"/>
      <c r="P33" s="3"/>
      <c r="Q33" s="3"/>
      <c r="R33" s="19"/>
    </row>
    <row r="34" spans="2:18" x14ac:dyDescent="0.3">
      <c r="B34" s="120" t="s">
        <v>170</v>
      </c>
      <c r="C34" s="121">
        <v>8.5999999999999993E-2</v>
      </c>
      <c r="D34" s="122">
        <v>3</v>
      </c>
      <c r="E34" s="3"/>
      <c r="F34" s="191"/>
      <c r="G34" s="191"/>
      <c r="H34" s="191"/>
      <c r="I34" s="191"/>
      <c r="J34" s="191"/>
      <c r="K34" s="191"/>
      <c r="L34" s="191"/>
      <c r="M34" s="191"/>
      <c r="N34" s="191"/>
      <c r="O34" s="191"/>
      <c r="P34" s="3"/>
      <c r="Q34" s="3"/>
      <c r="R34" s="19"/>
    </row>
    <row r="35" spans="2:18" x14ac:dyDescent="0.3">
      <c r="B35" s="120" t="s">
        <v>171</v>
      </c>
      <c r="C35" s="121">
        <v>0.53900000000000003</v>
      </c>
      <c r="D35" s="122">
        <v>15</v>
      </c>
      <c r="E35" s="3"/>
      <c r="F35" s="191"/>
      <c r="G35" s="191"/>
      <c r="H35" s="191"/>
      <c r="I35" s="191"/>
      <c r="J35" s="191"/>
      <c r="K35" s="191"/>
      <c r="L35" s="191"/>
      <c r="M35" s="191"/>
      <c r="N35" s="191"/>
      <c r="O35" s="191"/>
      <c r="P35" s="3"/>
      <c r="Q35" s="3"/>
      <c r="R35" s="19"/>
    </row>
    <row r="36" spans="2:18" x14ac:dyDescent="0.3">
      <c r="B36" s="120" t="s">
        <v>172</v>
      </c>
      <c r="C36" s="121">
        <v>4.8000000000000001E-2</v>
      </c>
      <c r="D36" s="122">
        <v>8</v>
      </c>
      <c r="E36" s="3"/>
      <c r="F36" s="191"/>
      <c r="G36" s="191"/>
      <c r="H36" s="191"/>
      <c r="I36" s="191"/>
      <c r="J36" s="191"/>
      <c r="K36" s="191"/>
      <c r="L36" s="191"/>
      <c r="M36" s="191"/>
      <c r="N36" s="191"/>
      <c r="O36" s="191"/>
      <c r="P36" s="3"/>
      <c r="Q36" s="3"/>
      <c r="R36" s="19"/>
    </row>
    <row r="37" spans="2:18" x14ac:dyDescent="0.3">
      <c r="B37" s="120" t="s">
        <v>173</v>
      </c>
      <c r="C37" s="121">
        <v>0.08</v>
      </c>
      <c r="D37" s="122">
        <v>10</v>
      </c>
      <c r="E37" s="3"/>
      <c r="F37" s="191"/>
      <c r="G37" s="191"/>
      <c r="H37" s="191"/>
      <c r="I37" s="191"/>
      <c r="J37" s="191"/>
      <c r="K37" s="191"/>
      <c r="L37" s="191"/>
      <c r="M37" s="191"/>
      <c r="N37" s="191"/>
      <c r="O37" s="191"/>
      <c r="P37" s="3"/>
      <c r="Q37" s="3"/>
      <c r="R37" s="19"/>
    </row>
    <row r="38" spans="2:18" x14ac:dyDescent="0.3">
      <c r="B38" s="120" t="s">
        <v>136</v>
      </c>
      <c r="C38" s="41"/>
      <c r="D38" s="41"/>
      <c r="E38" s="3"/>
      <c r="F38" s="191"/>
      <c r="G38" s="191"/>
      <c r="H38" s="191"/>
      <c r="I38" s="191"/>
      <c r="J38" s="191"/>
      <c r="K38" s="191"/>
      <c r="L38" s="191"/>
      <c r="M38" s="191"/>
      <c r="N38" s="191"/>
      <c r="O38" s="191"/>
      <c r="P38" s="3"/>
      <c r="Q38" s="3"/>
      <c r="R38" s="19"/>
    </row>
    <row r="39" spans="2:18" ht="15" thickBot="1" x14ac:dyDescent="0.35">
      <c r="B39" s="26"/>
      <c r="C39" s="27"/>
      <c r="D39" s="27"/>
      <c r="E39" s="27"/>
      <c r="F39" s="27"/>
      <c r="G39" s="27"/>
      <c r="H39" s="27"/>
      <c r="I39" s="27"/>
      <c r="J39" s="27"/>
      <c r="K39" s="27"/>
      <c r="L39" s="27"/>
      <c r="M39" s="27"/>
      <c r="N39" s="27"/>
      <c r="O39" s="27"/>
      <c r="P39" s="27"/>
      <c r="Q39" s="27"/>
      <c r="R39" s="28"/>
    </row>
    <row r="40" spans="2:18" x14ac:dyDescent="0.3">
      <c r="B40" s="3"/>
      <c r="C40" s="3"/>
      <c r="D40" s="3"/>
      <c r="E40" s="3"/>
      <c r="F40" s="3"/>
      <c r="G40" s="3"/>
      <c r="H40" s="3"/>
      <c r="I40" s="3"/>
      <c r="J40" s="3"/>
      <c r="K40" s="3"/>
      <c r="L40" s="3"/>
      <c r="M40" s="3"/>
      <c r="N40" s="3"/>
      <c r="O40" s="3"/>
      <c r="P40" s="3"/>
      <c r="Q40" s="3"/>
      <c r="R40" s="3"/>
    </row>
    <row r="41" spans="2:18" ht="15" thickBot="1" x14ac:dyDescent="0.35">
      <c r="B41" s="3"/>
      <c r="C41" s="3"/>
      <c r="D41" s="3"/>
      <c r="E41" s="3"/>
      <c r="F41" s="3"/>
      <c r="G41" s="3"/>
      <c r="H41" s="3"/>
      <c r="I41" s="3"/>
      <c r="J41" s="3"/>
      <c r="K41" s="3"/>
      <c r="L41" s="3"/>
      <c r="M41" s="3"/>
      <c r="N41" s="3"/>
      <c r="O41" s="3"/>
      <c r="P41" s="3"/>
      <c r="Q41" s="3"/>
      <c r="R41" s="3"/>
    </row>
    <row r="42" spans="2:18" ht="18" x14ac:dyDescent="0.35">
      <c r="B42" s="33" t="s">
        <v>174</v>
      </c>
      <c r="C42" s="16"/>
      <c r="D42" s="16"/>
      <c r="E42" s="16"/>
      <c r="F42" s="16"/>
      <c r="G42" s="16"/>
      <c r="H42" s="16"/>
      <c r="I42" s="16"/>
      <c r="J42" s="16"/>
      <c r="K42" s="16"/>
      <c r="L42" s="16"/>
      <c r="M42" s="16"/>
      <c r="N42" s="16"/>
      <c r="O42" s="16"/>
      <c r="P42" s="16"/>
      <c r="Q42" s="16"/>
      <c r="R42" s="17"/>
    </row>
    <row r="43" spans="2:18" ht="18" x14ac:dyDescent="0.35">
      <c r="B43" s="123"/>
      <c r="C43" s="3" t="s">
        <v>175</v>
      </c>
      <c r="D43" s="3"/>
      <c r="E43" s="3"/>
      <c r="F43" s="3"/>
      <c r="G43" s="3"/>
      <c r="H43" s="3"/>
      <c r="I43" s="3"/>
      <c r="J43" s="3"/>
      <c r="K43" s="3"/>
      <c r="L43" s="3"/>
      <c r="M43" s="3"/>
      <c r="N43" s="3"/>
      <c r="O43" s="3"/>
      <c r="P43" s="3"/>
      <c r="Q43" s="3"/>
      <c r="R43" s="19"/>
    </row>
    <row r="44" spans="2:18" x14ac:dyDescent="0.3">
      <c r="B44" s="20"/>
      <c r="C44" s="41">
        <f t="shared" ref="C44:Q44" si="2">C48</f>
        <v>2015</v>
      </c>
      <c r="D44" s="41">
        <f t="shared" si="2"/>
        <v>2016</v>
      </c>
      <c r="E44" s="41">
        <f t="shared" si="2"/>
        <v>2017</v>
      </c>
      <c r="F44" s="41">
        <f t="shared" si="2"/>
        <v>2018</v>
      </c>
      <c r="G44" s="41">
        <f t="shared" si="2"/>
        <v>2019</v>
      </c>
      <c r="H44" s="41">
        <f t="shared" si="2"/>
        <v>2020</v>
      </c>
      <c r="I44" s="41">
        <f t="shared" si="2"/>
        <v>2021</v>
      </c>
      <c r="J44" s="41">
        <f t="shared" si="2"/>
        <v>2022</v>
      </c>
      <c r="K44" s="41">
        <f t="shared" si="2"/>
        <v>2023</v>
      </c>
      <c r="L44" s="41">
        <f t="shared" si="2"/>
        <v>2024</v>
      </c>
      <c r="M44" s="41">
        <f t="shared" si="2"/>
        <v>2025</v>
      </c>
      <c r="N44" s="41">
        <f t="shared" si="2"/>
        <v>2026</v>
      </c>
      <c r="O44" s="41">
        <f t="shared" si="2"/>
        <v>2027</v>
      </c>
      <c r="P44" s="41">
        <f t="shared" si="2"/>
        <v>2028</v>
      </c>
      <c r="Q44" s="41">
        <f t="shared" si="2"/>
        <v>2029</v>
      </c>
      <c r="R44" s="19"/>
    </row>
    <row r="45" spans="2:18" x14ac:dyDescent="0.3">
      <c r="B45" s="20"/>
      <c r="C45" s="124">
        <f>C25</f>
        <v>265.69759724216374</v>
      </c>
      <c r="D45" s="124">
        <f t="shared" ref="D45:Q45" si="3">D25</f>
        <v>265.69759724216374</v>
      </c>
      <c r="E45" s="124">
        <f t="shared" si="3"/>
        <v>265.69759724216374</v>
      </c>
      <c r="F45" s="124">
        <f t="shared" si="3"/>
        <v>265.69759724216374</v>
      </c>
      <c r="G45" s="124">
        <f t="shared" si="3"/>
        <v>265.69759724216374</v>
      </c>
      <c r="H45" s="124">
        <f t="shared" si="3"/>
        <v>265.69759724216374</v>
      </c>
      <c r="I45" s="124">
        <f t="shared" si="3"/>
        <v>265.69759724216374</v>
      </c>
      <c r="J45" s="124">
        <f t="shared" si="3"/>
        <v>265.69759724216374</v>
      </c>
      <c r="K45" s="124">
        <f t="shared" si="3"/>
        <v>265.69759724216374</v>
      </c>
      <c r="L45" s="124">
        <f t="shared" si="3"/>
        <v>265.69759724216374</v>
      </c>
      <c r="M45" s="124">
        <f t="shared" si="3"/>
        <v>265.69759724216374</v>
      </c>
      <c r="N45" s="124">
        <f t="shared" si="3"/>
        <v>265.69759724216374</v>
      </c>
      <c r="O45" s="124">
        <f t="shared" si="3"/>
        <v>265.69759724216374</v>
      </c>
      <c r="P45" s="124">
        <f t="shared" si="3"/>
        <v>265.69759724216374</v>
      </c>
      <c r="Q45" s="124">
        <f t="shared" si="3"/>
        <v>265.69759724216374</v>
      </c>
      <c r="R45" s="19"/>
    </row>
    <row r="46" spans="2:18" x14ac:dyDescent="0.3">
      <c r="B46" s="20"/>
      <c r="C46" s="3"/>
      <c r="D46" s="3"/>
      <c r="E46" s="3"/>
      <c r="F46" s="3"/>
      <c r="G46" s="3"/>
      <c r="H46" s="3"/>
      <c r="I46" s="3"/>
      <c r="J46" s="3"/>
      <c r="K46" s="3"/>
      <c r="L46" s="3"/>
      <c r="M46" s="3"/>
      <c r="N46" s="3"/>
      <c r="O46" s="3"/>
      <c r="P46" s="3"/>
      <c r="Q46" s="3"/>
      <c r="R46" s="19"/>
    </row>
    <row r="47" spans="2:18" x14ac:dyDescent="0.3">
      <c r="B47" s="20"/>
      <c r="C47" s="3"/>
      <c r="D47" s="3"/>
      <c r="E47" s="3"/>
      <c r="F47" s="3"/>
      <c r="G47" s="3"/>
      <c r="H47" s="3"/>
      <c r="I47" s="3"/>
      <c r="J47" s="3"/>
      <c r="K47" s="3"/>
      <c r="L47" s="3"/>
      <c r="M47" s="3"/>
      <c r="N47" s="3"/>
      <c r="O47" s="3"/>
      <c r="P47" s="3"/>
      <c r="Q47" s="3"/>
      <c r="R47" s="19"/>
    </row>
    <row r="48" spans="2:18" x14ac:dyDescent="0.3">
      <c r="B48" s="120" t="s">
        <v>99</v>
      </c>
      <c r="C48" s="41">
        <v>2015</v>
      </c>
      <c r="D48" s="41">
        <f t="shared" ref="D48:Q48" si="4">C48+1</f>
        <v>2016</v>
      </c>
      <c r="E48" s="41">
        <f t="shared" si="4"/>
        <v>2017</v>
      </c>
      <c r="F48" s="41">
        <f t="shared" si="4"/>
        <v>2018</v>
      </c>
      <c r="G48" s="41">
        <f t="shared" si="4"/>
        <v>2019</v>
      </c>
      <c r="H48" s="41">
        <f t="shared" si="4"/>
        <v>2020</v>
      </c>
      <c r="I48" s="41">
        <f t="shared" si="4"/>
        <v>2021</v>
      </c>
      <c r="J48" s="41">
        <f t="shared" si="4"/>
        <v>2022</v>
      </c>
      <c r="K48" s="41">
        <f t="shared" si="4"/>
        <v>2023</v>
      </c>
      <c r="L48" s="41">
        <f t="shared" si="4"/>
        <v>2024</v>
      </c>
      <c r="M48" s="41">
        <f t="shared" si="4"/>
        <v>2025</v>
      </c>
      <c r="N48" s="41">
        <f t="shared" si="4"/>
        <v>2026</v>
      </c>
      <c r="O48" s="41">
        <f t="shared" si="4"/>
        <v>2027</v>
      </c>
      <c r="P48" s="41">
        <f t="shared" si="4"/>
        <v>2028</v>
      </c>
      <c r="Q48" s="41">
        <f t="shared" si="4"/>
        <v>2029</v>
      </c>
      <c r="R48" s="19"/>
    </row>
    <row r="49" spans="2:18" x14ac:dyDescent="0.3">
      <c r="B49" s="120">
        <v>2015</v>
      </c>
      <c r="C49" s="125">
        <f t="shared" ref="C49:Q49" si="5">HLOOKUP($B49,$C$44:$Q$45,2,FALSE)*$C$32*(1-IF(ROUNDDOWN((C$44-$B49)/$D$32,0)&lt;1,0,IF(ROUNDDOWN((C$44-$B49)/$D$32,0)&lt;2,0.5,IF(ROUNDDOWN((C$44-$B49)/$D$32,0)&lt;3,0.75,IF(ROUNDDOWN((C$44-$B49)/$D$32,0)&lt;4,0.875,0.9375)))))+HLOOKUP($B49,$C$44:$Q$45,2,FALSE)*$C$33*(1-IF(ROUNDDOWN((C$44-$B49)/$D$33,0)&lt;1,0,IF(ROUNDDOWN((C$44-$B49)/$D$33,0)&lt;2,0.5,IF(ROUNDDOWN((C$44-$B49)/$D$33,0)&lt;3,0.75,IF(ROUNDDOWN((C$44-$B49)/$D$33,0)&lt;4,0.875,0.9375)))))+HLOOKUP($B49,$C$44:$Q$45,2,FALSE)*$C$34*(1-IF(ROUNDDOWN((C$44-$B49)/$D$34,0)&lt;1,0,IF(ROUNDDOWN((C$44-$B49)/$D$34,0)&lt;2,0.5,IF(ROUNDDOWN((C$44-$B49)/$D$34,0)&lt;3,0.75,IF(ROUNDDOWN((C$44-$B49)/$D$34,0)&lt;4,0.875,0.9375)))))+HLOOKUP($B49,$C$44:$Q$45,2,FALSE)*$C$35*(1-IF(ROUNDDOWN((C$44-$B49)/$D$35,0)&lt;1,0,IF(ROUNDDOWN((C$44-$B49)/$D$35,0)&lt;2,0.5,IF(ROUNDDOWN((C$44-$B49)/$D$35,0)&lt;3,0.75,IF(ROUNDDOWN((C$44-$B49)/$D$35,0)&lt;4,0.875,0.9375)))))+HLOOKUP($B49,$C$44:$Q$45,2,FALSE)*$C$36*(1-IF(ROUNDDOWN((C$44-$B49)/$D$36,0)&lt;1,0,IF(ROUNDDOWN((C$44-$B49)/$D$36,0)&lt;2,0.5,IF(ROUNDDOWN((C$44-$B49)/$D$36,0)&lt;3,0.75,IF(ROUNDDOWN((C$44-$B49)/$D$36,0)&lt;4,0.875,0.9375)))))+HLOOKUP($B49,$C$44:$Q$45,2,FALSE)*$C$37*(1-IF(ROUNDDOWN((C$44-$B49)/$D$37,0)&lt;1,0,IF(ROUNDDOWN((C$44-$B49)/$D$37,0)&lt;2,0.5,IF(ROUNDDOWN((C$44-$B49)/$D$37,0)&lt;3,0.75,IF(ROUNDDOWN((C$44-$B49)/$D$37,0)&lt;4,0.875,0.9375)))))</f>
        <v>265.69759724216374</v>
      </c>
      <c r="D49" s="125">
        <f>HLOOKUP($B49,$C$44:$Q$45,2,FALSE)*$C$32*(1-IF(ROUNDDOWN((D$44-$B49)/$D$32,0)&lt;1,0,IF(ROUNDDOWN((D$44-$B49)/$D$32,0)&lt;2,0.5,IF(ROUNDDOWN((D$44-$B49)/$D$32,0)&lt;3,0.75,IF(ROUNDDOWN((D$44-$B49)/$D$32,0)&lt;4,0.875,0.9375)))))+HLOOKUP($B49,$C$44:$Q$45,2,FALSE)*$C$33*(1-IF(ROUNDDOWN((D$44-$B49)/$D$33,0)&lt;1,0,IF(ROUNDDOWN((D$44-$B49)/$D$33,0)&lt;2,0.5,IF(ROUNDDOWN((D$44-$B49)/$D$33,0)&lt;3,0.75,IF(ROUNDDOWN((D$44-$B49)/$D$33,0)&lt;4,0.875,0.9375)))))+HLOOKUP($B49,$C$44:$Q$45,2,FALSE)*$C$34*(1-IF(ROUNDDOWN((D$44-$B49)/$D$34,0)&lt;1,0,IF(ROUNDDOWN((D$44-$B49)/$D$34,0)&lt;2,0.5,IF(ROUNDDOWN((D$44-$B49)/$D$34,0)&lt;3,0.75,IF(ROUNDDOWN((D$44-$B49)/$D$34,0)&lt;4,0.875,0.9375)))))+HLOOKUP($B49,$C$44:$Q$45,2,FALSE)*$C$35*(1-IF(ROUNDDOWN((D$44-$B49)/$D$35,0)&lt;1,0,IF(ROUNDDOWN((D$44-$B49)/$D$35,0)&lt;2,0.5,IF(ROUNDDOWN((D$44-$B49)/$D$35,0)&lt;3,0.75,IF(ROUNDDOWN((D$44-$B49)/$D$35,0)&lt;4,0.875,0.9375)))))+HLOOKUP($B49,$C$44:$Q$45,2,FALSE)*$C$36*(1-IF(ROUNDDOWN((D$44-$B49)/$D$36,0)&lt;1,0,IF(ROUNDDOWN((D$44-$B49)/$D$36,0)&lt;2,0.5,IF(ROUNDDOWN((D$44-$B49)/$D$36,0)&lt;3,0.75,IF(ROUNDDOWN((D$44-$B49)/$D$36,0)&lt;4,0.875,0.9375)))))+HLOOKUP($B49,$C$44:$Q$45,2,FALSE)*$C$37*(1-IF(ROUNDDOWN((D$44-$B49)/$D$37,0)&lt;1,0,IF(ROUNDDOWN((D$44-$B49)/$D$37,0)&lt;2,0.5,IF(ROUNDDOWN((D$44-$B49)/$D$37,0)&lt;3,0.75,IF(ROUNDDOWN((D$44-$B49)/$D$37,0)&lt;4,0.875,0.9375)))))</f>
        <v>265.69759724216374</v>
      </c>
      <c r="E49" s="125">
        <f t="shared" si="5"/>
        <v>265.69759724216374</v>
      </c>
      <c r="F49" s="125">
        <f t="shared" si="5"/>
        <v>254.2726005607507</v>
      </c>
      <c r="G49" s="125">
        <f t="shared" si="5"/>
        <v>254.2726005607507</v>
      </c>
      <c r="H49" s="125">
        <f t="shared" si="5"/>
        <v>254.2726005607507</v>
      </c>
      <c r="I49" s="125">
        <f t="shared" si="5"/>
        <v>248.56010222004417</v>
      </c>
      <c r="J49" s="125">
        <f t="shared" si="5"/>
        <v>248.56010222004417</v>
      </c>
      <c r="K49" s="125">
        <f t="shared" si="5"/>
        <v>237.93219833035764</v>
      </c>
      <c r="L49" s="125">
        <f t="shared" si="5"/>
        <v>235.0759491600044</v>
      </c>
      <c r="M49" s="125">
        <f t="shared" si="5"/>
        <v>224.44804527031783</v>
      </c>
      <c r="N49" s="125">
        <f t="shared" si="5"/>
        <v>224.44804527031783</v>
      </c>
      <c r="O49" s="125">
        <f t="shared" si="5"/>
        <v>223.01992068514119</v>
      </c>
      <c r="P49" s="125">
        <f t="shared" si="5"/>
        <v>223.01992068514119</v>
      </c>
      <c r="Q49" s="125">
        <f t="shared" si="5"/>
        <v>223.01992068514119</v>
      </c>
      <c r="R49" s="19"/>
    </row>
    <row r="50" spans="2:18" x14ac:dyDescent="0.3">
      <c r="B50" s="120">
        <f t="shared" ref="B50:B64" si="6">B49+1</f>
        <v>2016</v>
      </c>
      <c r="C50" s="125"/>
      <c r="D50" s="125">
        <f t="shared" ref="D50:Q58" si="7">HLOOKUP($B50,$C$44:$Q$45,2,FALSE)*$C$32*(1-IF(ROUNDDOWN((D$44-$B50)/$D$32,0)&lt;1,0,IF(ROUNDDOWN((D$44-$B50)/$D$32,0)&lt;2,0.5,IF(ROUNDDOWN((D$44-$B50)/$D$32,0)&lt;3,0.75,IF(ROUNDDOWN((D$44-$B50)/$D$32,0)&lt;4,0.875,0.9375)))))+HLOOKUP($B50,$C$44:$Q$45,2,FALSE)*$C$33*(1-IF(ROUNDDOWN((D$44-$B50)/$D$33,0)&lt;1,0,IF(ROUNDDOWN((D$44-$B50)/$D$33,0)&lt;2,0.5,IF(ROUNDDOWN((D$44-$B50)/$D$33,0)&lt;3,0.75,IF(ROUNDDOWN((D$44-$B50)/$D$33,0)&lt;4,0.875,0.9375)))))+HLOOKUP($B50,$C$44:$Q$45,2,FALSE)*$C$34*(1-IF(ROUNDDOWN((D$44-$B50)/$D$34,0)&lt;1,0,IF(ROUNDDOWN((D$44-$B50)/$D$34,0)&lt;2,0.5,IF(ROUNDDOWN((D$44-$B50)/$D$34,0)&lt;3,0.75,IF(ROUNDDOWN((D$44-$B50)/$D$34,0)&lt;4,0.875,0.9375)))))+HLOOKUP($B50,$C$44:$Q$45,2,FALSE)*$C$35*(1-IF(ROUNDDOWN((D$44-$B50)/$D$35,0)&lt;1,0,IF(ROUNDDOWN((D$44-$B50)/$D$35,0)&lt;2,0.5,IF(ROUNDDOWN((D$44-$B50)/$D$35,0)&lt;3,0.75,IF(ROUNDDOWN((D$44-$B50)/$D$35,0)&lt;4,0.875,0.9375)))))+HLOOKUP($B50,$C$44:$Q$45,2,FALSE)*$C$36*(1-IF(ROUNDDOWN((D$44-$B50)/$D$36,0)&lt;1,0,IF(ROUNDDOWN((D$44-$B50)/$D$36,0)&lt;2,0.5,IF(ROUNDDOWN((D$44-$B50)/$D$36,0)&lt;3,0.75,IF(ROUNDDOWN((D$44-$B50)/$D$36,0)&lt;4,0.875,0.9375)))))+HLOOKUP($B50,$C$44:$Q$45,2,FALSE)*$C$37*(1-IF(ROUNDDOWN((D$44-$B50)/$D$37,0)&lt;1,0,IF(ROUNDDOWN((D$44-$B50)/$D$37,0)&lt;2,0.5,IF(ROUNDDOWN((D$44-$B50)/$D$37,0)&lt;3,0.75,IF(ROUNDDOWN((D$44-$B50)/$D$37,0)&lt;4,0.875,0.9375)))))</f>
        <v>265.69759724216374</v>
      </c>
      <c r="E50" s="125">
        <f t="shared" si="7"/>
        <v>265.69759724216374</v>
      </c>
      <c r="F50" s="125">
        <f t="shared" si="7"/>
        <v>265.69759724216374</v>
      </c>
      <c r="G50" s="125">
        <f t="shared" si="7"/>
        <v>254.2726005607507</v>
      </c>
      <c r="H50" s="125">
        <f t="shared" si="7"/>
        <v>254.2726005607507</v>
      </c>
      <c r="I50" s="125">
        <f t="shared" si="7"/>
        <v>254.2726005607507</v>
      </c>
      <c r="J50" s="125">
        <f t="shared" si="7"/>
        <v>248.56010222004417</v>
      </c>
      <c r="K50" s="125">
        <f t="shared" si="7"/>
        <v>248.56010222004417</v>
      </c>
      <c r="L50" s="125">
        <f t="shared" si="7"/>
        <v>237.93219833035764</v>
      </c>
      <c r="M50" s="125">
        <f t="shared" si="7"/>
        <v>235.0759491600044</v>
      </c>
      <c r="N50" s="125">
        <f t="shared" si="7"/>
        <v>224.44804527031783</v>
      </c>
      <c r="O50" s="125">
        <f t="shared" si="7"/>
        <v>224.44804527031783</v>
      </c>
      <c r="P50" s="125">
        <f t="shared" si="7"/>
        <v>223.01992068514119</v>
      </c>
      <c r="Q50" s="125">
        <f t="shared" si="7"/>
        <v>223.01992068514119</v>
      </c>
      <c r="R50" s="19"/>
    </row>
    <row r="51" spans="2:18" x14ac:dyDescent="0.3">
      <c r="B51" s="120">
        <f t="shared" si="6"/>
        <v>2017</v>
      </c>
      <c r="C51" s="125"/>
      <c r="D51" s="125"/>
      <c r="E51" s="125">
        <f t="shared" si="7"/>
        <v>265.69759724216374</v>
      </c>
      <c r="F51" s="125">
        <f t="shared" si="7"/>
        <v>265.69759724216374</v>
      </c>
      <c r="G51" s="125">
        <f t="shared" si="7"/>
        <v>265.69759724216374</v>
      </c>
      <c r="H51" s="125">
        <f>HLOOKUP($B51,$C$44:$Q$45,2,FALSE)*$C$32*(1-IF(ROUNDDOWN((H$44-$B51)/$D$32,0)&lt;1,0,IF(ROUNDDOWN((H$44-$B51)/$D$32,0)&lt;2,0.5,IF(ROUNDDOWN((H$44-$B51)/$D$32,0)&lt;3,0.75,IF(ROUNDDOWN((H$44-$B51)/$D$32,0)&lt;4,0.875,0.9375)))))+HLOOKUP($B51,$C$44:$Q$45,2,FALSE)*$C$33*(1-IF(ROUNDDOWN((H$44-$B51)/$D$33,0)&lt;1,0,IF(ROUNDDOWN((H$44-$B51)/$D$33,0)&lt;2,0.5,IF(ROUNDDOWN((H$44-$B51)/$D$33,0)&lt;3,0.75,IF(ROUNDDOWN((H$44-$B51)/$D$33,0)&lt;4,0.875,0.9375)))))+HLOOKUP($B51,$C$44:$Q$45,2,FALSE)*$C$34*(1-IF(ROUNDDOWN((H$44-$B51)/$D$34,0)&lt;1,0,IF(ROUNDDOWN((H$44-$B51)/$D$34,0)&lt;2,0.5,IF(ROUNDDOWN((H$44-$B51)/$D$34,0)&lt;3,0.75,IF(ROUNDDOWN((H$44-$B51)/$D$34,0)&lt;4,0.875,0.9375)))))+HLOOKUP($B51,$C$44:$Q$45,2,FALSE)*$C$35*(1-IF(ROUNDDOWN((H$44-$B51)/$D$35,0)&lt;1,0,IF(ROUNDDOWN((H$44-$B51)/$D$35,0)&lt;2,0.5,IF(ROUNDDOWN((H$44-$B51)/$D$35,0)&lt;3,0.75,IF(ROUNDDOWN((H$44-$B51)/$D$35,0)&lt;4,0.875,0.9375)))))+HLOOKUP($B51,$C$44:$Q$45,2,FALSE)*$C$36*(1-IF(ROUNDDOWN((H$44-$B51)/$D$36,0)&lt;1,0,IF(ROUNDDOWN((H$44-$B51)/$D$36,0)&lt;2,0.5,IF(ROUNDDOWN((H$44-$B51)/$D$36,0)&lt;3,0.75,IF(ROUNDDOWN((H$44-$B51)/$D$36,0)&lt;4,0.875,0.9375)))))+HLOOKUP($B51,$C$44:$Q$45,2,FALSE)*$C$37*(1-IF(ROUNDDOWN((H$44-$B51)/$D$37,0)&lt;1,0,IF(ROUNDDOWN((H$44-$B51)/$D$37,0)&lt;2,0.5,IF(ROUNDDOWN((H$44-$B51)/$D$37,0)&lt;3,0.75,IF(ROUNDDOWN((H$44-$B51)/$D$37,0)&lt;4,0.875,0.9375)))))</f>
        <v>254.2726005607507</v>
      </c>
      <c r="I51" s="125">
        <f t="shared" si="7"/>
        <v>254.2726005607507</v>
      </c>
      <c r="J51" s="125">
        <f t="shared" si="7"/>
        <v>254.2726005607507</v>
      </c>
      <c r="K51" s="125">
        <f t="shared" si="7"/>
        <v>248.56010222004417</v>
      </c>
      <c r="L51" s="125">
        <f t="shared" si="7"/>
        <v>248.56010222004417</v>
      </c>
      <c r="M51" s="125">
        <f t="shared" si="7"/>
        <v>237.93219833035764</v>
      </c>
      <c r="N51" s="125">
        <f t="shared" si="7"/>
        <v>235.0759491600044</v>
      </c>
      <c r="O51" s="125">
        <f t="shared" si="7"/>
        <v>224.44804527031783</v>
      </c>
      <c r="P51" s="125">
        <f t="shared" si="7"/>
        <v>224.44804527031783</v>
      </c>
      <c r="Q51" s="125">
        <f t="shared" si="7"/>
        <v>223.01992068514119</v>
      </c>
      <c r="R51" s="19"/>
    </row>
    <row r="52" spans="2:18" x14ac:dyDescent="0.3">
      <c r="B52" s="120">
        <f t="shared" si="6"/>
        <v>2018</v>
      </c>
      <c r="C52" s="125"/>
      <c r="D52" s="125"/>
      <c r="E52" s="125"/>
      <c r="F52" s="125">
        <f t="shared" si="7"/>
        <v>265.69759724216374</v>
      </c>
      <c r="G52" s="125">
        <f t="shared" si="7"/>
        <v>265.69759724216374</v>
      </c>
      <c r="H52" s="125">
        <f>HLOOKUP($B52,$C$44:$Q$45,2,FALSE)*$C$32*(1-IF(ROUNDDOWN((H$44-$B52)/$D$32,0)&lt;1,0,IF(ROUNDDOWN((H$44-$B52)/$D$32,0)&lt;2,0.5,IF(ROUNDDOWN((H$44-$B52)/$D$32,0)&lt;3,0.75,IF(ROUNDDOWN((H$44-$B52)/$D$32,0)&lt;4,0.875,0.9375)))))+HLOOKUP($B52,$C$44:$Q$45,2,FALSE)*$C$33*(1-IF(ROUNDDOWN((H$44-$B52)/$D$33,0)&lt;1,0,IF(ROUNDDOWN((H$44-$B52)/$D$33,0)&lt;2,0.5,IF(ROUNDDOWN((H$44-$B52)/$D$33,0)&lt;3,0.75,IF(ROUNDDOWN((H$44-$B52)/$D$33,0)&lt;4,0.875,0.9375)))))+HLOOKUP($B52,$C$44:$Q$45,2,FALSE)*$C$34*(1-IF(ROUNDDOWN((H$44-$B52)/$D$34,0)&lt;1,0,IF(ROUNDDOWN((H$44-$B52)/$D$34,0)&lt;2,0.5,IF(ROUNDDOWN((H$44-$B52)/$D$34,0)&lt;3,0.75,IF(ROUNDDOWN((H$44-$B52)/$D$34,0)&lt;4,0.875,0.9375)))))+HLOOKUP($B52,$C$44:$Q$45,2,FALSE)*$C$35*(1-IF(ROUNDDOWN((H$44-$B52)/$D$35,0)&lt;1,0,IF(ROUNDDOWN((H$44-$B52)/$D$35,0)&lt;2,0.5,IF(ROUNDDOWN((H$44-$B52)/$D$35,0)&lt;3,0.75,IF(ROUNDDOWN((H$44-$B52)/$D$35,0)&lt;4,0.875,0.9375)))))+HLOOKUP($B52,$C$44:$Q$45,2,FALSE)*$C$36*(1-IF(ROUNDDOWN((H$44-$B52)/$D$36,0)&lt;1,0,IF(ROUNDDOWN((H$44-$B52)/$D$36,0)&lt;2,0.5,IF(ROUNDDOWN((H$44-$B52)/$D$36,0)&lt;3,0.75,IF(ROUNDDOWN((H$44-$B52)/$D$36,0)&lt;4,0.875,0.9375)))))+HLOOKUP($B52,$C$44:$Q$45,2,FALSE)*$C$37*(1-IF(ROUNDDOWN((H$44-$B52)/$D$37,0)&lt;1,0,IF(ROUNDDOWN((H$44-$B52)/$D$37,0)&lt;2,0.5,IF(ROUNDDOWN((H$44-$B52)/$D$37,0)&lt;3,0.75,IF(ROUNDDOWN((H$44-$B52)/$D$37,0)&lt;4,0.875,0.9375)))))</f>
        <v>265.69759724216374</v>
      </c>
      <c r="I52" s="125">
        <f t="shared" si="7"/>
        <v>254.2726005607507</v>
      </c>
      <c r="J52" s="125">
        <f t="shared" si="7"/>
        <v>254.2726005607507</v>
      </c>
      <c r="K52" s="125">
        <f t="shared" si="7"/>
        <v>254.2726005607507</v>
      </c>
      <c r="L52" s="125">
        <f t="shared" si="7"/>
        <v>248.56010222004417</v>
      </c>
      <c r="M52" s="125">
        <f t="shared" si="7"/>
        <v>248.56010222004417</v>
      </c>
      <c r="N52" s="125">
        <f t="shared" si="7"/>
        <v>237.93219833035764</v>
      </c>
      <c r="O52" s="125">
        <f t="shared" si="7"/>
        <v>235.0759491600044</v>
      </c>
      <c r="P52" s="125">
        <f t="shared" si="7"/>
        <v>224.44804527031783</v>
      </c>
      <c r="Q52" s="125">
        <f t="shared" si="7"/>
        <v>224.44804527031783</v>
      </c>
      <c r="R52" s="19"/>
    </row>
    <row r="53" spans="2:18" x14ac:dyDescent="0.3">
      <c r="B53" s="120">
        <f t="shared" si="6"/>
        <v>2019</v>
      </c>
      <c r="C53" s="125"/>
      <c r="D53" s="125"/>
      <c r="E53" s="125"/>
      <c r="F53" s="125"/>
      <c r="G53" s="125">
        <f t="shared" si="7"/>
        <v>265.69759724216374</v>
      </c>
      <c r="H53" s="125">
        <f t="shared" si="7"/>
        <v>265.69759724216374</v>
      </c>
      <c r="I53" s="125">
        <f t="shared" si="7"/>
        <v>265.69759724216374</v>
      </c>
      <c r="J53" s="125">
        <f t="shared" si="7"/>
        <v>254.2726005607507</v>
      </c>
      <c r="K53" s="125">
        <f t="shared" si="7"/>
        <v>254.2726005607507</v>
      </c>
      <c r="L53" s="125">
        <f t="shared" si="7"/>
        <v>254.2726005607507</v>
      </c>
      <c r="M53" s="125">
        <f t="shared" si="7"/>
        <v>248.56010222004417</v>
      </c>
      <c r="N53" s="125">
        <f t="shared" si="7"/>
        <v>248.56010222004417</v>
      </c>
      <c r="O53" s="125">
        <f t="shared" si="7"/>
        <v>237.93219833035764</v>
      </c>
      <c r="P53" s="125">
        <f t="shared" si="7"/>
        <v>235.0759491600044</v>
      </c>
      <c r="Q53" s="125">
        <f t="shared" si="7"/>
        <v>224.44804527031783</v>
      </c>
      <c r="R53" s="19"/>
    </row>
    <row r="54" spans="2:18" x14ac:dyDescent="0.3">
      <c r="B54" s="120">
        <f t="shared" si="6"/>
        <v>2020</v>
      </c>
      <c r="C54" s="125"/>
      <c r="D54" s="125"/>
      <c r="E54" s="125"/>
      <c r="F54" s="125"/>
      <c r="G54" s="125"/>
      <c r="H54" s="125">
        <f t="shared" si="7"/>
        <v>265.69759724216374</v>
      </c>
      <c r="I54" s="125">
        <f t="shared" si="7"/>
        <v>265.69759724216374</v>
      </c>
      <c r="J54" s="125">
        <f t="shared" si="7"/>
        <v>265.69759724216374</v>
      </c>
      <c r="K54" s="125">
        <f t="shared" si="7"/>
        <v>254.2726005607507</v>
      </c>
      <c r="L54" s="125">
        <f t="shared" si="7"/>
        <v>254.2726005607507</v>
      </c>
      <c r="M54" s="125">
        <f t="shared" si="7"/>
        <v>254.2726005607507</v>
      </c>
      <c r="N54" s="125">
        <f t="shared" si="7"/>
        <v>248.56010222004417</v>
      </c>
      <c r="O54" s="125">
        <f t="shared" si="7"/>
        <v>248.56010222004417</v>
      </c>
      <c r="P54" s="125">
        <f t="shared" si="7"/>
        <v>237.93219833035764</v>
      </c>
      <c r="Q54" s="125">
        <f t="shared" si="7"/>
        <v>235.0759491600044</v>
      </c>
      <c r="R54" s="19"/>
    </row>
    <row r="55" spans="2:18" x14ac:dyDescent="0.3">
      <c r="B55" s="120">
        <f t="shared" si="6"/>
        <v>2021</v>
      </c>
      <c r="C55" s="125"/>
      <c r="D55" s="125"/>
      <c r="E55" s="125"/>
      <c r="F55" s="125"/>
      <c r="G55" s="125"/>
      <c r="H55" s="125"/>
      <c r="I55" s="125">
        <f t="shared" si="7"/>
        <v>265.69759724216374</v>
      </c>
      <c r="J55" s="125">
        <f t="shared" si="7"/>
        <v>265.69759724216374</v>
      </c>
      <c r="K55" s="125">
        <f t="shared" si="7"/>
        <v>265.69759724216374</v>
      </c>
      <c r="L55" s="125">
        <f t="shared" si="7"/>
        <v>254.2726005607507</v>
      </c>
      <c r="M55" s="125">
        <f t="shared" si="7"/>
        <v>254.2726005607507</v>
      </c>
      <c r="N55" s="125">
        <f t="shared" si="7"/>
        <v>254.2726005607507</v>
      </c>
      <c r="O55" s="125">
        <f t="shared" si="7"/>
        <v>248.56010222004417</v>
      </c>
      <c r="P55" s="125">
        <f t="shared" si="7"/>
        <v>248.56010222004417</v>
      </c>
      <c r="Q55" s="125">
        <f t="shared" si="7"/>
        <v>237.93219833035764</v>
      </c>
      <c r="R55" s="19"/>
    </row>
    <row r="56" spans="2:18" x14ac:dyDescent="0.3">
      <c r="B56" s="120">
        <f t="shared" si="6"/>
        <v>2022</v>
      </c>
      <c r="C56" s="125"/>
      <c r="D56" s="125"/>
      <c r="E56" s="125"/>
      <c r="F56" s="125"/>
      <c r="G56" s="125"/>
      <c r="H56" s="125"/>
      <c r="I56" s="125"/>
      <c r="J56" s="125">
        <f t="shared" si="7"/>
        <v>265.69759724216374</v>
      </c>
      <c r="K56" s="125">
        <f t="shared" si="7"/>
        <v>265.69759724216374</v>
      </c>
      <c r="L56" s="125">
        <f t="shared" si="7"/>
        <v>265.69759724216374</v>
      </c>
      <c r="M56" s="125">
        <f t="shared" si="7"/>
        <v>254.2726005607507</v>
      </c>
      <c r="N56" s="125">
        <f t="shared" si="7"/>
        <v>254.2726005607507</v>
      </c>
      <c r="O56" s="125">
        <f t="shared" si="7"/>
        <v>254.2726005607507</v>
      </c>
      <c r="P56" s="125">
        <f t="shared" si="7"/>
        <v>248.56010222004417</v>
      </c>
      <c r="Q56" s="125">
        <f t="shared" si="7"/>
        <v>248.56010222004417</v>
      </c>
      <c r="R56" s="19"/>
    </row>
    <row r="57" spans="2:18" x14ac:dyDescent="0.3">
      <c r="B57" s="120">
        <f t="shared" si="6"/>
        <v>2023</v>
      </c>
      <c r="C57" s="125"/>
      <c r="D57" s="125"/>
      <c r="E57" s="125"/>
      <c r="F57" s="125"/>
      <c r="G57" s="125"/>
      <c r="H57" s="125"/>
      <c r="I57" s="125"/>
      <c r="J57" s="125"/>
      <c r="K57" s="125">
        <f t="shared" si="7"/>
        <v>265.69759724216374</v>
      </c>
      <c r="L57" s="125">
        <f t="shared" si="7"/>
        <v>265.69759724216374</v>
      </c>
      <c r="M57" s="125">
        <f t="shared" si="7"/>
        <v>265.69759724216374</v>
      </c>
      <c r="N57" s="125">
        <f t="shared" si="7"/>
        <v>254.2726005607507</v>
      </c>
      <c r="O57" s="125">
        <f t="shared" si="7"/>
        <v>254.2726005607507</v>
      </c>
      <c r="P57" s="125">
        <f t="shared" si="7"/>
        <v>254.2726005607507</v>
      </c>
      <c r="Q57" s="125">
        <f t="shared" si="7"/>
        <v>248.56010222004417</v>
      </c>
      <c r="R57" s="19"/>
    </row>
    <row r="58" spans="2:18" x14ac:dyDescent="0.3">
      <c r="B58" s="120">
        <f t="shared" si="6"/>
        <v>2024</v>
      </c>
      <c r="C58" s="125"/>
      <c r="D58" s="125"/>
      <c r="E58" s="125"/>
      <c r="F58" s="125"/>
      <c r="G58" s="125"/>
      <c r="H58" s="125"/>
      <c r="I58" s="125"/>
      <c r="J58" s="125"/>
      <c r="K58" s="125"/>
      <c r="L58" s="125">
        <f t="shared" si="7"/>
        <v>265.69759724216374</v>
      </c>
      <c r="M58" s="125">
        <f t="shared" si="7"/>
        <v>265.69759724216374</v>
      </c>
      <c r="N58" s="125">
        <f t="shared" si="7"/>
        <v>265.69759724216374</v>
      </c>
      <c r="O58" s="125">
        <f t="shared" si="7"/>
        <v>254.2726005607507</v>
      </c>
      <c r="P58" s="125">
        <f t="shared" si="7"/>
        <v>254.2726005607507</v>
      </c>
      <c r="Q58" s="125">
        <f t="shared" si="7"/>
        <v>254.2726005607507</v>
      </c>
      <c r="R58" s="19"/>
    </row>
    <row r="59" spans="2:18" x14ac:dyDescent="0.3">
      <c r="B59" s="120">
        <f t="shared" si="6"/>
        <v>2025</v>
      </c>
      <c r="C59" s="125"/>
      <c r="D59" s="125"/>
      <c r="E59" s="125"/>
      <c r="F59" s="125"/>
      <c r="G59" s="125"/>
      <c r="H59" s="125"/>
      <c r="I59" s="125"/>
      <c r="J59" s="125"/>
      <c r="K59" s="125"/>
      <c r="L59" s="125"/>
      <c r="M59" s="125">
        <f>HLOOKUP($B59,$C$44:$Q$45,2,FALSE)*$C$32*(1-IF(ROUNDDOWN((M$44-$B59)/$D$32,0)&lt;1,0,IF(ROUNDDOWN((M$44-$B59)/$D$32,0)&lt;2,0.5,IF(ROUNDDOWN((M$44-$B59)/$D$32,0)&lt;3,0.75,IF(ROUNDDOWN((M$44-$B59)/$D$32,0)&lt;4,0.875,0.9375)))))+HLOOKUP($B59,$C$44:$Q$45,2,FALSE)*$C$33*(1-IF(ROUNDDOWN((M$44-$B59)/$D$33,0)&lt;1,0,IF(ROUNDDOWN((M$44-$B59)/$D$33,0)&lt;2,0.5,IF(ROUNDDOWN((M$44-$B59)/$D$33,0)&lt;3,0.75,IF(ROUNDDOWN((M$44-$B59)/$D$33,0)&lt;4,0.875,0.9375)))))+HLOOKUP($B59,$C$44:$Q$45,2,FALSE)*$C$34*(1-IF(ROUNDDOWN((M$44-$B59)/$D$34,0)&lt;1,0,IF(ROUNDDOWN((M$44-$B59)/$D$34,0)&lt;2,0.5,IF(ROUNDDOWN((M$44-$B59)/$D$34,0)&lt;3,0.75,IF(ROUNDDOWN((M$44-$B59)/$D$34,0)&lt;4,0.875,0.9375)))))+HLOOKUP($B59,$C$44:$Q$45,2,FALSE)*$C$35*(1-IF(ROUNDDOWN((M$44-$B59)/$D$35,0)&lt;1,0,IF(ROUNDDOWN((M$44-$B59)/$D$35,0)&lt;2,0.5,IF(ROUNDDOWN((M$44-$B59)/$D$35,0)&lt;3,0.75,IF(ROUNDDOWN((M$44-$B59)/$D$35,0)&lt;4,0.875,0.9375)))))+HLOOKUP($B59,$C$44:$Q$45,2,FALSE)*$C$36*(1-IF(ROUNDDOWN((M$44-$B59)/$D$36,0)&lt;1,0,IF(ROUNDDOWN((M$44-$B59)/$D$36,0)&lt;2,0.5,IF(ROUNDDOWN((M$44-$B59)/$D$36,0)&lt;3,0.75,IF(ROUNDDOWN((M$44-$B59)/$D$36,0)&lt;4,0.875,0.9375)))))+HLOOKUP($B59,$C$44:$Q$45,2,FALSE)*$C$37*(1-IF(ROUNDDOWN((M$44-$B59)/$D$37,0)&lt;1,0,IF(ROUNDDOWN((M$44-$B59)/$D$37,0)&lt;2,0.5,IF(ROUNDDOWN((M$44-$B59)/$D$37,0)&lt;3,0.75,IF(ROUNDDOWN((M$44-$B59)/$D$37,0)&lt;4,0.875,0.9375)))))</f>
        <v>265.69759724216374</v>
      </c>
      <c r="N59" s="125">
        <f>HLOOKUP($B59,$C$44:$Q$45,2,FALSE)*$C$32*(1-IF(ROUNDDOWN((N$44-$B59)/$D$32,0)&lt;1,0,IF(ROUNDDOWN((N$44-$B59)/$D$32,0)&lt;2,0.5,IF(ROUNDDOWN((N$44-$B59)/$D$32,0)&lt;3,0.75,IF(ROUNDDOWN((N$44-$B59)/$D$32,0)&lt;4,0.875,0.9375)))))+HLOOKUP($B59,$C$44:$Q$45,2,FALSE)*$C$33*(1-IF(ROUNDDOWN((N$44-$B59)/$D$33,0)&lt;1,0,IF(ROUNDDOWN((N$44-$B59)/$D$33,0)&lt;2,0.5,IF(ROUNDDOWN((N$44-$B59)/$D$33,0)&lt;3,0.75,IF(ROUNDDOWN((N$44-$B59)/$D$33,0)&lt;4,0.875,0.9375)))))+HLOOKUP($B59,$C$44:$Q$45,2,FALSE)*$C$34*(1-IF(ROUNDDOWN((N$44-$B59)/$D$34,0)&lt;1,0,IF(ROUNDDOWN((N$44-$B59)/$D$34,0)&lt;2,0.5,IF(ROUNDDOWN((N$44-$B59)/$D$34,0)&lt;3,0.75,IF(ROUNDDOWN((N$44-$B59)/$D$34,0)&lt;4,0.875,0.9375)))))+HLOOKUP($B59,$C$44:$Q$45,2,FALSE)*$C$35*(1-IF(ROUNDDOWN((N$44-$B59)/$D$35,0)&lt;1,0,IF(ROUNDDOWN((N$44-$B59)/$D$35,0)&lt;2,0.5,IF(ROUNDDOWN((N$44-$B59)/$D$35,0)&lt;3,0.75,IF(ROUNDDOWN((N$44-$B59)/$D$35,0)&lt;4,0.875,0.9375)))))+HLOOKUP($B59,$C$44:$Q$45,2,FALSE)*$C$36*(1-IF(ROUNDDOWN((N$44-$B59)/$D$36,0)&lt;1,0,IF(ROUNDDOWN((N$44-$B59)/$D$36,0)&lt;2,0.5,IF(ROUNDDOWN((N$44-$B59)/$D$36,0)&lt;3,0.75,IF(ROUNDDOWN((N$44-$B59)/$D$36,0)&lt;4,0.875,0.9375)))))+HLOOKUP($B59,$C$44:$Q$45,2,FALSE)*$C$37*(1-IF(ROUNDDOWN((N$44-$B59)/$D$37,0)&lt;1,0,IF(ROUNDDOWN((N$44-$B59)/$D$37,0)&lt;2,0.5,IF(ROUNDDOWN((N$44-$B59)/$D$37,0)&lt;3,0.75,IF(ROUNDDOWN((N$44-$B59)/$D$37,0)&lt;4,0.875,0.9375)))))</f>
        <v>265.69759724216374</v>
      </c>
      <c r="O59" s="125">
        <f>HLOOKUP($B59,$C$44:$Q$45,2,FALSE)*$C$32*(1-IF(ROUNDDOWN((O$44-$B59)/$D$32,0)&lt;1,0,IF(ROUNDDOWN((O$44-$B59)/$D$32,0)&lt;2,0.5,IF(ROUNDDOWN((O$44-$B59)/$D$32,0)&lt;3,0.75,IF(ROUNDDOWN((O$44-$B59)/$D$32,0)&lt;4,0.875,0.9375)))))+HLOOKUP($B59,$C$44:$Q$45,2,FALSE)*$C$33*(1-IF(ROUNDDOWN((O$44-$B59)/$D$33,0)&lt;1,0,IF(ROUNDDOWN((O$44-$B59)/$D$33,0)&lt;2,0.5,IF(ROUNDDOWN((O$44-$B59)/$D$33,0)&lt;3,0.75,IF(ROUNDDOWN((O$44-$B59)/$D$33,0)&lt;4,0.875,0.9375)))))+HLOOKUP($B59,$C$44:$Q$45,2,FALSE)*$C$34*(1-IF(ROUNDDOWN((O$44-$B59)/$D$34,0)&lt;1,0,IF(ROUNDDOWN((O$44-$B59)/$D$34,0)&lt;2,0.5,IF(ROUNDDOWN((O$44-$B59)/$D$34,0)&lt;3,0.75,IF(ROUNDDOWN((O$44-$B59)/$D$34,0)&lt;4,0.875,0.9375)))))+HLOOKUP($B59,$C$44:$Q$45,2,FALSE)*$C$35*(1-IF(ROUNDDOWN((O$44-$B59)/$D$35,0)&lt;1,0,IF(ROUNDDOWN((O$44-$B59)/$D$35,0)&lt;2,0.5,IF(ROUNDDOWN((O$44-$B59)/$D$35,0)&lt;3,0.75,IF(ROUNDDOWN((O$44-$B59)/$D$35,0)&lt;4,0.875,0.9375)))))+HLOOKUP($B59,$C$44:$Q$45,2,FALSE)*$C$36*(1-IF(ROUNDDOWN((O$44-$B59)/$D$36,0)&lt;1,0,IF(ROUNDDOWN((O$44-$B59)/$D$36,0)&lt;2,0.5,IF(ROUNDDOWN((O$44-$B59)/$D$36,0)&lt;3,0.75,IF(ROUNDDOWN((O$44-$B59)/$D$36,0)&lt;4,0.875,0.9375)))))+HLOOKUP($B59,$C$44:$Q$45,2,FALSE)*$C$37*(1-IF(ROUNDDOWN((O$44-$B59)/$D$37,0)&lt;1,0,IF(ROUNDDOWN((O$44-$B59)/$D$37,0)&lt;2,0.5,IF(ROUNDDOWN((O$44-$B59)/$D$37,0)&lt;3,0.75,IF(ROUNDDOWN((O$44-$B59)/$D$37,0)&lt;4,0.875,0.9375)))))</f>
        <v>265.69759724216374</v>
      </c>
      <c r="P59" s="125">
        <f>HLOOKUP($B59,$C$44:$Q$45,2,FALSE)*$C$32*(1-IF(ROUNDDOWN((P$44-$B59)/$D$32,0)&lt;1,0,IF(ROUNDDOWN((P$44-$B59)/$D$32,0)&lt;2,0.5,IF(ROUNDDOWN((P$44-$B59)/$D$32,0)&lt;3,0.75,IF(ROUNDDOWN((P$44-$B59)/$D$32,0)&lt;4,0.875,0.9375)))))+HLOOKUP($B59,$C$44:$Q$45,2,FALSE)*$C$33*(1-IF(ROUNDDOWN((P$44-$B59)/$D$33,0)&lt;1,0,IF(ROUNDDOWN((P$44-$B59)/$D$33,0)&lt;2,0.5,IF(ROUNDDOWN((P$44-$B59)/$D$33,0)&lt;3,0.75,IF(ROUNDDOWN((P$44-$B59)/$D$33,0)&lt;4,0.875,0.9375)))))+HLOOKUP($B59,$C$44:$Q$45,2,FALSE)*$C$34*(1-IF(ROUNDDOWN((P$44-$B59)/$D$34,0)&lt;1,0,IF(ROUNDDOWN((P$44-$B59)/$D$34,0)&lt;2,0.5,IF(ROUNDDOWN((P$44-$B59)/$D$34,0)&lt;3,0.75,IF(ROUNDDOWN((P$44-$B59)/$D$34,0)&lt;4,0.875,0.9375)))))+HLOOKUP($B59,$C$44:$Q$45,2,FALSE)*$C$35*(1-IF(ROUNDDOWN((P$44-$B59)/$D$35,0)&lt;1,0,IF(ROUNDDOWN((P$44-$B59)/$D$35,0)&lt;2,0.5,IF(ROUNDDOWN((P$44-$B59)/$D$35,0)&lt;3,0.75,IF(ROUNDDOWN((P$44-$B59)/$D$35,0)&lt;4,0.875,0.9375)))))+HLOOKUP($B59,$C$44:$Q$45,2,FALSE)*$C$36*(1-IF(ROUNDDOWN((P$44-$B59)/$D$36,0)&lt;1,0,IF(ROUNDDOWN((P$44-$B59)/$D$36,0)&lt;2,0.5,IF(ROUNDDOWN((P$44-$B59)/$D$36,0)&lt;3,0.75,IF(ROUNDDOWN((P$44-$B59)/$D$36,0)&lt;4,0.875,0.9375)))))+HLOOKUP($B59,$C$44:$Q$45,2,FALSE)*$C$37*(1-IF(ROUNDDOWN((P$44-$B59)/$D$37,0)&lt;1,0,IF(ROUNDDOWN((P$44-$B59)/$D$37,0)&lt;2,0.5,IF(ROUNDDOWN((P$44-$B59)/$D$37,0)&lt;3,0.75,IF(ROUNDDOWN((P$44-$B59)/$D$37,0)&lt;4,0.875,0.9375)))))</f>
        <v>254.2726005607507</v>
      </c>
      <c r="Q59" s="125">
        <f>HLOOKUP($B59,$C$44:$Q$45,2,FALSE)*$C$32*(1-IF(ROUNDDOWN((Q$44-$B59)/$D$32,0)&lt;1,0,IF(ROUNDDOWN((Q$44-$B59)/$D$32,0)&lt;2,0.5,IF(ROUNDDOWN((Q$44-$B59)/$D$32,0)&lt;3,0.75,IF(ROUNDDOWN((Q$44-$B59)/$D$32,0)&lt;4,0.875,0.9375)))))+HLOOKUP($B59,$C$44:$Q$45,2,FALSE)*$C$33*(1-IF(ROUNDDOWN((Q$44-$B59)/$D$33,0)&lt;1,0,IF(ROUNDDOWN((Q$44-$B59)/$D$33,0)&lt;2,0.5,IF(ROUNDDOWN((Q$44-$B59)/$D$33,0)&lt;3,0.75,IF(ROUNDDOWN((Q$44-$B59)/$D$33,0)&lt;4,0.875,0.9375)))))+HLOOKUP($B59,$C$44:$Q$45,2,FALSE)*$C$34*(1-IF(ROUNDDOWN((Q$44-$B59)/$D$34,0)&lt;1,0,IF(ROUNDDOWN((Q$44-$B59)/$D$34,0)&lt;2,0.5,IF(ROUNDDOWN((Q$44-$B59)/$D$34,0)&lt;3,0.75,IF(ROUNDDOWN((Q$44-$B59)/$D$34,0)&lt;4,0.875,0.9375)))))+HLOOKUP($B59,$C$44:$Q$45,2,FALSE)*$C$35*(1-IF(ROUNDDOWN((Q$44-$B59)/$D$35,0)&lt;1,0,IF(ROUNDDOWN((Q$44-$B59)/$D$35,0)&lt;2,0.5,IF(ROUNDDOWN((Q$44-$B59)/$D$35,0)&lt;3,0.75,IF(ROUNDDOWN((Q$44-$B59)/$D$35,0)&lt;4,0.875,0.9375)))))+HLOOKUP($B59,$C$44:$Q$45,2,FALSE)*$C$36*(1-IF(ROUNDDOWN((Q$44-$B59)/$D$36,0)&lt;1,0,IF(ROUNDDOWN((Q$44-$B59)/$D$36,0)&lt;2,0.5,IF(ROUNDDOWN((Q$44-$B59)/$D$36,0)&lt;3,0.75,IF(ROUNDDOWN((Q$44-$B59)/$D$36,0)&lt;4,0.875,0.9375)))))+HLOOKUP($B59,$C$44:$Q$45,2,FALSE)*$C$37*(1-IF(ROUNDDOWN((Q$44-$B59)/$D$37,0)&lt;1,0,IF(ROUNDDOWN((Q$44-$B59)/$D$37,0)&lt;2,0.5,IF(ROUNDDOWN((Q$44-$B59)/$D$37,0)&lt;3,0.75,IF(ROUNDDOWN((Q$44-$B59)/$D$37,0)&lt;4,0.875,0.9375)))))</f>
        <v>254.2726005607507</v>
      </c>
      <c r="R59" s="19"/>
    </row>
    <row r="60" spans="2:18" x14ac:dyDescent="0.3">
      <c r="B60" s="120">
        <f t="shared" si="6"/>
        <v>2026</v>
      </c>
      <c r="C60" s="125"/>
      <c r="D60" s="125"/>
      <c r="E60" s="125"/>
      <c r="F60" s="125"/>
      <c r="G60" s="125"/>
      <c r="H60" s="125"/>
      <c r="I60" s="125"/>
      <c r="J60" s="125"/>
      <c r="K60" s="125"/>
      <c r="L60" s="125"/>
      <c r="M60" s="125"/>
      <c r="N60" s="125">
        <f>HLOOKUP($B60,$C$44:$Q$45,2,FALSE)*$C$32*(1-IF(ROUNDDOWN((N$44-$B60)/$D$32,0)&lt;1,0,IF(ROUNDDOWN((N$44-$B60)/$D$32,0)&lt;2,0.5,IF(ROUNDDOWN((N$44-$B60)/$D$32,0)&lt;3,0.75,IF(ROUNDDOWN((N$44-$B60)/$D$32,0)&lt;4,0.875,0.9375)))))+HLOOKUP($B60,$C$44:$Q$45,2,FALSE)*$C$33*(1-IF(ROUNDDOWN((N$44-$B60)/$D$33,0)&lt;1,0,IF(ROUNDDOWN((N$44-$B60)/$D$33,0)&lt;2,0.5,IF(ROUNDDOWN((N$44-$B60)/$D$33,0)&lt;3,0.75,IF(ROUNDDOWN((N$44-$B60)/$D$33,0)&lt;4,0.875,0.9375)))))+HLOOKUP($B60,$C$44:$Q$45,2,FALSE)*$C$34*(1-IF(ROUNDDOWN((N$44-$B60)/$D$34,0)&lt;1,0,IF(ROUNDDOWN((N$44-$B60)/$D$34,0)&lt;2,0.5,IF(ROUNDDOWN((N$44-$B60)/$D$34,0)&lt;3,0.75,IF(ROUNDDOWN((N$44-$B60)/$D$34,0)&lt;4,0.875,0.9375)))))+HLOOKUP($B60,$C$44:$Q$45,2,FALSE)*$C$35*(1-IF(ROUNDDOWN((N$44-$B60)/$D$35,0)&lt;1,0,IF(ROUNDDOWN((N$44-$B60)/$D$35,0)&lt;2,0.5,IF(ROUNDDOWN((N$44-$B60)/$D$35,0)&lt;3,0.75,IF(ROUNDDOWN((N$44-$B60)/$D$35,0)&lt;4,0.875,0.9375)))))+HLOOKUP($B60,$C$44:$Q$45,2,FALSE)*$C$36*(1-IF(ROUNDDOWN((N$44-$B60)/$D$36,0)&lt;1,0,IF(ROUNDDOWN((N$44-$B60)/$D$36,0)&lt;2,0.5,IF(ROUNDDOWN((N$44-$B60)/$D$36,0)&lt;3,0.75,IF(ROUNDDOWN((N$44-$B60)/$D$36,0)&lt;4,0.875,0.9375)))))+HLOOKUP($B60,$C$44:$Q$45,2,FALSE)*$C$37*(1-IF(ROUNDDOWN((N$44-$B60)/$D$37,0)&lt;1,0,IF(ROUNDDOWN((N$44-$B60)/$D$37,0)&lt;2,0.5,IF(ROUNDDOWN((N$44-$B60)/$D$37,0)&lt;3,0.75,IF(ROUNDDOWN((N$44-$B60)/$D$37,0)&lt;4,0.875,0.9375)))))</f>
        <v>265.69759724216374</v>
      </c>
      <c r="O60" s="125">
        <f>HLOOKUP($B60,$C$44:$Q$45,2,FALSE)*$C$32*(1-IF(ROUNDDOWN((O$44-$B60)/$D$32,0)&lt;1,0,IF(ROUNDDOWN((O$44-$B60)/$D$32,0)&lt;2,0.5,IF(ROUNDDOWN((O$44-$B60)/$D$32,0)&lt;3,0.75,IF(ROUNDDOWN((O$44-$B60)/$D$32,0)&lt;4,0.875,0.9375)))))+HLOOKUP($B60,$C$44:$Q$45,2,FALSE)*$C$33*(1-IF(ROUNDDOWN((O$44-$B60)/$D$33,0)&lt;1,0,IF(ROUNDDOWN((O$44-$B60)/$D$33,0)&lt;2,0.5,IF(ROUNDDOWN((O$44-$B60)/$D$33,0)&lt;3,0.75,IF(ROUNDDOWN((O$44-$B60)/$D$33,0)&lt;4,0.875,0.9375)))))+HLOOKUP($B60,$C$44:$Q$45,2,FALSE)*$C$34*(1-IF(ROUNDDOWN((O$44-$B60)/$D$34,0)&lt;1,0,IF(ROUNDDOWN((O$44-$B60)/$D$34,0)&lt;2,0.5,IF(ROUNDDOWN((O$44-$B60)/$D$34,0)&lt;3,0.75,IF(ROUNDDOWN((O$44-$B60)/$D$34,0)&lt;4,0.875,0.9375)))))+HLOOKUP($B60,$C$44:$Q$45,2,FALSE)*$C$35*(1-IF(ROUNDDOWN((O$44-$B60)/$D$35,0)&lt;1,0,IF(ROUNDDOWN((O$44-$B60)/$D$35,0)&lt;2,0.5,IF(ROUNDDOWN((O$44-$B60)/$D$35,0)&lt;3,0.75,IF(ROUNDDOWN((O$44-$B60)/$D$35,0)&lt;4,0.875,0.9375)))))+HLOOKUP($B60,$C$44:$Q$45,2,FALSE)*$C$36*(1-IF(ROUNDDOWN((O$44-$B60)/$D$36,0)&lt;1,0,IF(ROUNDDOWN((O$44-$B60)/$D$36,0)&lt;2,0.5,IF(ROUNDDOWN((O$44-$B60)/$D$36,0)&lt;3,0.75,IF(ROUNDDOWN((O$44-$B60)/$D$36,0)&lt;4,0.875,0.9375)))))+HLOOKUP($B60,$C$44:$Q$45,2,FALSE)*$C$37*(1-IF(ROUNDDOWN((O$44-$B60)/$D$37,0)&lt;1,0,IF(ROUNDDOWN((O$44-$B60)/$D$37,0)&lt;2,0.5,IF(ROUNDDOWN((O$44-$B60)/$D$37,0)&lt;3,0.75,IF(ROUNDDOWN((O$44-$B60)/$D$37,0)&lt;4,0.875,0.9375)))))</f>
        <v>265.69759724216374</v>
      </c>
      <c r="P60" s="125">
        <f>HLOOKUP($B60,$C$44:$Q$45,2,FALSE)*$C$32*(1-IF(ROUNDDOWN((P$44-$B60)/$D$32,0)&lt;1,0,IF(ROUNDDOWN((P$44-$B60)/$D$32,0)&lt;2,0.5,IF(ROUNDDOWN((P$44-$B60)/$D$32,0)&lt;3,0.75,IF(ROUNDDOWN((P$44-$B60)/$D$32,0)&lt;4,0.875,0.9375)))))+HLOOKUP($B60,$C$44:$Q$45,2,FALSE)*$C$33*(1-IF(ROUNDDOWN((P$44-$B60)/$D$33,0)&lt;1,0,IF(ROUNDDOWN((P$44-$B60)/$D$33,0)&lt;2,0.5,IF(ROUNDDOWN((P$44-$B60)/$D$33,0)&lt;3,0.75,IF(ROUNDDOWN((P$44-$B60)/$D$33,0)&lt;4,0.875,0.9375)))))+HLOOKUP($B60,$C$44:$Q$45,2,FALSE)*$C$34*(1-IF(ROUNDDOWN((P$44-$B60)/$D$34,0)&lt;1,0,IF(ROUNDDOWN((P$44-$B60)/$D$34,0)&lt;2,0.5,IF(ROUNDDOWN((P$44-$B60)/$D$34,0)&lt;3,0.75,IF(ROUNDDOWN((P$44-$B60)/$D$34,0)&lt;4,0.875,0.9375)))))+HLOOKUP($B60,$C$44:$Q$45,2,FALSE)*$C$35*(1-IF(ROUNDDOWN((P$44-$B60)/$D$35,0)&lt;1,0,IF(ROUNDDOWN((P$44-$B60)/$D$35,0)&lt;2,0.5,IF(ROUNDDOWN((P$44-$B60)/$D$35,0)&lt;3,0.75,IF(ROUNDDOWN((P$44-$B60)/$D$35,0)&lt;4,0.875,0.9375)))))+HLOOKUP($B60,$C$44:$Q$45,2,FALSE)*$C$36*(1-IF(ROUNDDOWN((P$44-$B60)/$D$36,0)&lt;1,0,IF(ROUNDDOWN((P$44-$B60)/$D$36,0)&lt;2,0.5,IF(ROUNDDOWN((P$44-$B60)/$D$36,0)&lt;3,0.75,IF(ROUNDDOWN((P$44-$B60)/$D$36,0)&lt;4,0.875,0.9375)))))+HLOOKUP($B60,$C$44:$Q$45,2,FALSE)*$C$37*(1-IF(ROUNDDOWN((P$44-$B60)/$D$37,0)&lt;1,0,IF(ROUNDDOWN((P$44-$B60)/$D$37,0)&lt;2,0.5,IF(ROUNDDOWN((P$44-$B60)/$D$37,0)&lt;3,0.75,IF(ROUNDDOWN((P$44-$B60)/$D$37,0)&lt;4,0.875,0.9375)))))</f>
        <v>265.69759724216374</v>
      </c>
      <c r="Q60" s="125">
        <f>HLOOKUP($B60,$C$44:$Q$45,2,FALSE)*$C$32*(1-IF(ROUNDDOWN((Q$44-$B60)/$D$32,0)&lt;1,0,IF(ROUNDDOWN((Q$44-$B60)/$D$32,0)&lt;2,0.5,IF(ROUNDDOWN((Q$44-$B60)/$D$32,0)&lt;3,0.75,IF(ROUNDDOWN((Q$44-$B60)/$D$32,0)&lt;4,0.875,0.9375)))))+HLOOKUP($B60,$C$44:$Q$45,2,FALSE)*$C$33*(1-IF(ROUNDDOWN((Q$44-$B60)/$D$33,0)&lt;1,0,IF(ROUNDDOWN((Q$44-$B60)/$D$33,0)&lt;2,0.5,IF(ROUNDDOWN((Q$44-$B60)/$D$33,0)&lt;3,0.75,IF(ROUNDDOWN((Q$44-$B60)/$D$33,0)&lt;4,0.875,0.9375)))))+HLOOKUP($B60,$C$44:$Q$45,2,FALSE)*$C$34*(1-IF(ROUNDDOWN((Q$44-$B60)/$D$34,0)&lt;1,0,IF(ROUNDDOWN((Q$44-$B60)/$D$34,0)&lt;2,0.5,IF(ROUNDDOWN((Q$44-$B60)/$D$34,0)&lt;3,0.75,IF(ROUNDDOWN((Q$44-$B60)/$D$34,0)&lt;4,0.875,0.9375)))))+HLOOKUP($B60,$C$44:$Q$45,2,FALSE)*$C$35*(1-IF(ROUNDDOWN((Q$44-$B60)/$D$35,0)&lt;1,0,IF(ROUNDDOWN((Q$44-$B60)/$D$35,0)&lt;2,0.5,IF(ROUNDDOWN((Q$44-$B60)/$D$35,0)&lt;3,0.75,IF(ROUNDDOWN((Q$44-$B60)/$D$35,0)&lt;4,0.875,0.9375)))))+HLOOKUP($B60,$C$44:$Q$45,2,FALSE)*$C$36*(1-IF(ROUNDDOWN((Q$44-$B60)/$D$36,0)&lt;1,0,IF(ROUNDDOWN((Q$44-$B60)/$D$36,0)&lt;2,0.5,IF(ROUNDDOWN((Q$44-$B60)/$D$36,0)&lt;3,0.75,IF(ROUNDDOWN((Q$44-$B60)/$D$36,0)&lt;4,0.875,0.9375)))))+HLOOKUP($B60,$C$44:$Q$45,2,FALSE)*$C$37*(1-IF(ROUNDDOWN((Q$44-$B60)/$D$37,0)&lt;1,0,IF(ROUNDDOWN((Q$44-$B60)/$D$37,0)&lt;2,0.5,IF(ROUNDDOWN((Q$44-$B60)/$D$37,0)&lt;3,0.75,IF(ROUNDDOWN((Q$44-$B60)/$D$37,0)&lt;4,0.875,0.9375)))))</f>
        <v>254.2726005607507</v>
      </c>
      <c r="R60" s="19"/>
    </row>
    <row r="61" spans="2:18" x14ac:dyDescent="0.3">
      <c r="B61" s="120">
        <f t="shared" si="6"/>
        <v>2027</v>
      </c>
      <c r="C61" s="125"/>
      <c r="D61" s="125"/>
      <c r="E61" s="125"/>
      <c r="F61" s="125"/>
      <c r="G61" s="125"/>
      <c r="H61" s="125"/>
      <c r="I61" s="125"/>
      <c r="J61" s="125"/>
      <c r="K61" s="125"/>
      <c r="L61" s="125"/>
      <c r="M61" s="125"/>
      <c r="N61" s="125"/>
      <c r="O61" s="125">
        <f>HLOOKUP($B61,$C$44:$Q$45,2,FALSE)*$C$32*(1-IF(ROUNDDOWN((O$44-$B61)/$D$32,0)&lt;1,0,IF(ROUNDDOWN((O$44-$B61)/$D$32,0)&lt;2,0.5,IF(ROUNDDOWN((O$44-$B61)/$D$32,0)&lt;3,0.75,IF(ROUNDDOWN((O$44-$B61)/$D$32,0)&lt;4,0.875,0.9375)))))+HLOOKUP($B61,$C$44:$Q$45,2,FALSE)*$C$33*(1-IF(ROUNDDOWN((O$44-$B61)/$D$33,0)&lt;1,0,IF(ROUNDDOWN((O$44-$B61)/$D$33,0)&lt;2,0.5,IF(ROUNDDOWN((O$44-$B61)/$D$33,0)&lt;3,0.75,IF(ROUNDDOWN((O$44-$B61)/$D$33,0)&lt;4,0.875,0.9375)))))+HLOOKUP($B61,$C$44:$Q$45,2,FALSE)*$C$34*(1-IF(ROUNDDOWN((O$44-$B61)/$D$34,0)&lt;1,0,IF(ROUNDDOWN((O$44-$B61)/$D$34,0)&lt;2,0.5,IF(ROUNDDOWN((O$44-$B61)/$D$34,0)&lt;3,0.75,IF(ROUNDDOWN((O$44-$B61)/$D$34,0)&lt;4,0.875,0.9375)))))+HLOOKUP($B61,$C$44:$Q$45,2,FALSE)*$C$35*(1-IF(ROUNDDOWN((O$44-$B61)/$D$35,0)&lt;1,0,IF(ROUNDDOWN((O$44-$B61)/$D$35,0)&lt;2,0.5,IF(ROUNDDOWN((O$44-$B61)/$D$35,0)&lt;3,0.75,IF(ROUNDDOWN((O$44-$B61)/$D$35,0)&lt;4,0.875,0.9375)))))+HLOOKUP($B61,$C$44:$Q$45,2,FALSE)*$C$36*(1-IF(ROUNDDOWN((O$44-$B61)/$D$36,0)&lt;1,0,IF(ROUNDDOWN((O$44-$B61)/$D$36,0)&lt;2,0.5,IF(ROUNDDOWN((O$44-$B61)/$D$36,0)&lt;3,0.75,IF(ROUNDDOWN((O$44-$B61)/$D$36,0)&lt;4,0.875,0.9375)))))+HLOOKUP($B61,$C$44:$Q$45,2,FALSE)*$C$37*(1-IF(ROUNDDOWN((O$44-$B61)/$D$37,0)&lt;1,0,IF(ROUNDDOWN((O$44-$B61)/$D$37,0)&lt;2,0.5,IF(ROUNDDOWN((O$44-$B61)/$D$37,0)&lt;3,0.75,IF(ROUNDDOWN((O$44-$B61)/$D$37,0)&lt;4,0.875,0.9375)))))</f>
        <v>265.69759724216374</v>
      </c>
      <c r="P61" s="125">
        <f>HLOOKUP($B61,$C$44:$Q$45,2,FALSE)*$C$32*(1-IF(ROUNDDOWN((P$44-$B61)/$D$32,0)&lt;1,0,IF(ROUNDDOWN((P$44-$B61)/$D$32,0)&lt;2,0.5,IF(ROUNDDOWN((P$44-$B61)/$D$32,0)&lt;3,0.75,IF(ROUNDDOWN((P$44-$B61)/$D$32,0)&lt;4,0.875,0.9375)))))+HLOOKUP($B61,$C$44:$Q$45,2,FALSE)*$C$33*(1-IF(ROUNDDOWN((P$44-$B61)/$D$33,0)&lt;1,0,IF(ROUNDDOWN((P$44-$B61)/$D$33,0)&lt;2,0.5,IF(ROUNDDOWN((P$44-$B61)/$D$33,0)&lt;3,0.75,IF(ROUNDDOWN((P$44-$B61)/$D$33,0)&lt;4,0.875,0.9375)))))+HLOOKUP($B61,$C$44:$Q$45,2,FALSE)*$C$34*(1-IF(ROUNDDOWN((P$44-$B61)/$D$34,0)&lt;1,0,IF(ROUNDDOWN((P$44-$B61)/$D$34,0)&lt;2,0.5,IF(ROUNDDOWN((P$44-$B61)/$D$34,0)&lt;3,0.75,IF(ROUNDDOWN((P$44-$B61)/$D$34,0)&lt;4,0.875,0.9375)))))+HLOOKUP($B61,$C$44:$Q$45,2,FALSE)*$C$35*(1-IF(ROUNDDOWN((P$44-$B61)/$D$35,0)&lt;1,0,IF(ROUNDDOWN((P$44-$B61)/$D$35,0)&lt;2,0.5,IF(ROUNDDOWN((P$44-$B61)/$D$35,0)&lt;3,0.75,IF(ROUNDDOWN((P$44-$B61)/$D$35,0)&lt;4,0.875,0.9375)))))+HLOOKUP($B61,$C$44:$Q$45,2,FALSE)*$C$36*(1-IF(ROUNDDOWN((P$44-$B61)/$D$36,0)&lt;1,0,IF(ROUNDDOWN((P$44-$B61)/$D$36,0)&lt;2,0.5,IF(ROUNDDOWN((P$44-$B61)/$D$36,0)&lt;3,0.75,IF(ROUNDDOWN((P$44-$B61)/$D$36,0)&lt;4,0.875,0.9375)))))+HLOOKUP($B61,$C$44:$Q$45,2,FALSE)*$C$37*(1-IF(ROUNDDOWN((P$44-$B61)/$D$37,0)&lt;1,0,IF(ROUNDDOWN((P$44-$B61)/$D$37,0)&lt;2,0.5,IF(ROUNDDOWN((P$44-$B61)/$D$37,0)&lt;3,0.75,IF(ROUNDDOWN((P$44-$B61)/$D$37,0)&lt;4,0.875,0.9375)))))</f>
        <v>265.69759724216374</v>
      </c>
      <c r="Q61" s="125">
        <f>HLOOKUP($B61,$C$44:$Q$45,2,FALSE)*$C$32*(1-IF(ROUNDDOWN((Q$44-$B61)/$D$32,0)&lt;1,0,IF(ROUNDDOWN((Q$44-$B61)/$D$32,0)&lt;2,0.5,IF(ROUNDDOWN((Q$44-$B61)/$D$32,0)&lt;3,0.75,IF(ROUNDDOWN((Q$44-$B61)/$D$32,0)&lt;4,0.875,0.9375)))))+HLOOKUP($B61,$C$44:$Q$45,2,FALSE)*$C$33*(1-IF(ROUNDDOWN((Q$44-$B61)/$D$33,0)&lt;1,0,IF(ROUNDDOWN((Q$44-$B61)/$D$33,0)&lt;2,0.5,IF(ROUNDDOWN((Q$44-$B61)/$D$33,0)&lt;3,0.75,IF(ROUNDDOWN((Q$44-$B61)/$D$33,0)&lt;4,0.875,0.9375)))))+HLOOKUP($B61,$C$44:$Q$45,2,FALSE)*$C$34*(1-IF(ROUNDDOWN((Q$44-$B61)/$D$34,0)&lt;1,0,IF(ROUNDDOWN((Q$44-$B61)/$D$34,0)&lt;2,0.5,IF(ROUNDDOWN((Q$44-$B61)/$D$34,0)&lt;3,0.75,IF(ROUNDDOWN((Q$44-$B61)/$D$34,0)&lt;4,0.875,0.9375)))))+HLOOKUP($B61,$C$44:$Q$45,2,FALSE)*$C$35*(1-IF(ROUNDDOWN((Q$44-$B61)/$D$35,0)&lt;1,0,IF(ROUNDDOWN((Q$44-$B61)/$D$35,0)&lt;2,0.5,IF(ROUNDDOWN((Q$44-$B61)/$D$35,0)&lt;3,0.75,IF(ROUNDDOWN((Q$44-$B61)/$D$35,0)&lt;4,0.875,0.9375)))))+HLOOKUP($B61,$C$44:$Q$45,2,FALSE)*$C$36*(1-IF(ROUNDDOWN((Q$44-$B61)/$D$36,0)&lt;1,0,IF(ROUNDDOWN((Q$44-$B61)/$D$36,0)&lt;2,0.5,IF(ROUNDDOWN((Q$44-$B61)/$D$36,0)&lt;3,0.75,IF(ROUNDDOWN((Q$44-$B61)/$D$36,0)&lt;4,0.875,0.9375)))))+HLOOKUP($B61,$C$44:$Q$45,2,FALSE)*$C$37*(1-IF(ROUNDDOWN((Q$44-$B61)/$D$37,0)&lt;1,0,IF(ROUNDDOWN((Q$44-$B61)/$D$37,0)&lt;2,0.5,IF(ROUNDDOWN((Q$44-$B61)/$D$37,0)&lt;3,0.75,IF(ROUNDDOWN((Q$44-$B61)/$D$37,0)&lt;4,0.875,0.9375)))))</f>
        <v>265.69759724216374</v>
      </c>
      <c r="R61" s="19"/>
    </row>
    <row r="62" spans="2:18" x14ac:dyDescent="0.3">
      <c r="B62" s="120">
        <f t="shared" si="6"/>
        <v>2028</v>
      </c>
      <c r="C62" s="125"/>
      <c r="D62" s="125"/>
      <c r="E62" s="125"/>
      <c r="F62" s="125"/>
      <c r="G62" s="125"/>
      <c r="H62" s="125"/>
      <c r="I62" s="125"/>
      <c r="J62" s="125"/>
      <c r="K62" s="125"/>
      <c r="L62" s="125"/>
      <c r="M62" s="125"/>
      <c r="N62" s="125"/>
      <c r="O62" s="125"/>
      <c r="P62" s="125">
        <f>HLOOKUP($B62,$C$44:$Q$45,2,FALSE)*$C$32*(1-IF(ROUNDDOWN((P$44-$B62)/$D$32,0)&lt;1,0,IF(ROUNDDOWN((P$44-$B62)/$D$32,0)&lt;2,0.5,IF(ROUNDDOWN((P$44-$B62)/$D$32,0)&lt;3,0.75,IF(ROUNDDOWN((P$44-$B62)/$D$32,0)&lt;4,0.875,0.9375)))))+HLOOKUP($B62,$C$44:$Q$45,2,FALSE)*$C$33*(1-IF(ROUNDDOWN((P$44-$B62)/$D$33,0)&lt;1,0,IF(ROUNDDOWN((P$44-$B62)/$D$33,0)&lt;2,0.5,IF(ROUNDDOWN((P$44-$B62)/$D$33,0)&lt;3,0.75,IF(ROUNDDOWN((P$44-$B62)/$D$33,0)&lt;4,0.875,0.9375)))))+HLOOKUP($B62,$C$44:$Q$45,2,FALSE)*$C$34*(1-IF(ROUNDDOWN((P$44-$B62)/$D$34,0)&lt;1,0,IF(ROUNDDOWN((P$44-$B62)/$D$34,0)&lt;2,0.5,IF(ROUNDDOWN((P$44-$B62)/$D$34,0)&lt;3,0.75,IF(ROUNDDOWN((P$44-$B62)/$D$34,0)&lt;4,0.875,0.9375)))))+HLOOKUP($B62,$C$44:$Q$45,2,FALSE)*$C$35*(1-IF(ROUNDDOWN((P$44-$B62)/$D$35,0)&lt;1,0,IF(ROUNDDOWN((P$44-$B62)/$D$35,0)&lt;2,0.5,IF(ROUNDDOWN((P$44-$B62)/$D$35,0)&lt;3,0.75,IF(ROUNDDOWN((P$44-$B62)/$D$35,0)&lt;4,0.875,0.9375)))))+HLOOKUP($B62,$C$44:$Q$45,2,FALSE)*$C$36*(1-IF(ROUNDDOWN((P$44-$B62)/$D$36,0)&lt;1,0,IF(ROUNDDOWN((P$44-$B62)/$D$36,0)&lt;2,0.5,IF(ROUNDDOWN((P$44-$B62)/$D$36,0)&lt;3,0.75,IF(ROUNDDOWN((P$44-$B62)/$D$36,0)&lt;4,0.875,0.9375)))))+HLOOKUP($B62,$C$44:$Q$45,2,FALSE)*$C$37*(1-IF(ROUNDDOWN((P$44-$B62)/$D$37,0)&lt;1,0,IF(ROUNDDOWN((P$44-$B62)/$D$37,0)&lt;2,0.5,IF(ROUNDDOWN((P$44-$B62)/$D$37,0)&lt;3,0.75,IF(ROUNDDOWN((P$44-$B62)/$D$37,0)&lt;4,0.875,0.9375)))))</f>
        <v>265.69759724216374</v>
      </c>
      <c r="Q62" s="125">
        <f>HLOOKUP($B62,$C$44:$Q$45,2,FALSE)*$C$32*(1-IF(ROUNDDOWN((Q$44-$B62)/$D$32,0)&lt;1,0,IF(ROUNDDOWN((Q$44-$B62)/$D$32,0)&lt;2,0.5,IF(ROUNDDOWN((Q$44-$B62)/$D$32,0)&lt;3,0.75,IF(ROUNDDOWN((Q$44-$B62)/$D$32,0)&lt;4,0.875,0.9375)))))+HLOOKUP($B62,$C$44:$Q$45,2,FALSE)*$C$33*(1-IF(ROUNDDOWN((Q$44-$B62)/$D$33,0)&lt;1,0,IF(ROUNDDOWN((Q$44-$B62)/$D$33,0)&lt;2,0.5,IF(ROUNDDOWN((Q$44-$B62)/$D$33,0)&lt;3,0.75,IF(ROUNDDOWN((Q$44-$B62)/$D$33,0)&lt;4,0.875,0.9375)))))+HLOOKUP($B62,$C$44:$Q$45,2,FALSE)*$C$34*(1-IF(ROUNDDOWN((Q$44-$B62)/$D$34,0)&lt;1,0,IF(ROUNDDOWN((Q$44-$B62)/$D$34,0)&lt;2,0.5,IF(ROUNDDOWN((Q$44-$B62)/$D$34,0)&lt;3,0.75,IF(ROUNDDOWN((Q$44-$B62)/$D$34,0)&lt;4,0.875,0.9375)))))+HLOOKUP($B62,$C$44:$Q$45,2,FALSE)*$C$35*(1-IF(ROUNDDOWN((Q$44-$B62)/$D$35,0)&lt;1,0,IF(ROUNDDOWN((Q$44-$B62)/$D$35,0)&lt;2,0.5,IF(ROUNDDOWN((Q$44-$B62)/$D$35,0)&lt;3,0.75,IF(ROUNDDOWN((Q$44-$B62)/$D$35,0)&lt;4,0.875,0.9375)))))+HLOOKUP($B62,$C$44:$Q$45,2,FALSE)*$C$36*(1-IF(ROUNDDOWN((Q$44-$B62)/$D$36,0)&lt;1,0,IF(ROUNDDOWN((Q$44-$B62)/$D$36,0)&lt;2,0.5,IF(ROUNDDOWN((Q$44-$B62)/$D$36,0)&lt;3,0.75,IF(ROUNDDOWN((Q$44-$B62)/$D$36,0)&lt;4,0.875,0.9375)))))+HLOOKUP($B62,$C$44:$Q$45,2,FALSE)*$C$37*(1-IF(ROUNDDOWN((Q$44-$B62)/$D$37,0)&lt;1,0,IF(ROUNDDOWN((Q$44-$B62)/$D$37,0)&lt;2,0.5,IF(ROUNDDOWN((Q$44-$B62)/$D$37,0)&lt;3,0.75,IF(ROUNDDOWN((Q$44-$B62)/$D$37,0)&lt;4,0.875,0.9375)))))</f>
        <v>265.69759724216374</v>
      </c>
      <c r="R62" s="19"/>
    </row>
    <row r="63" spans="2:18" x14ac:dyDescent="0.3">
      <c r="B63" s="120">
        <f t="shared" si="6"/>
        <v>2029</v>
      </c>
      <c r="C63" s="125"/>
      <c r="D63" s="125"/>
      <c r="E63" s="125"/>
      <c r="F63" s="125"/>
      <c r="G63" s="125"/>
      <c r="H63" s="125"/>
      <c r="I63" s="125"/>
      <c r="J63" s="125"/>
      <c r="K63" s="125"/>
      <c r="L63" s="125"/>
      <c r="M63" s="125"/>
      <c r="N63" s="125"/>
      <c r="O63" s="125"/>
      <c r="P63" s="125"/>
      <c r="Q63" s="125">
        <f>HLOOKUP($B63,$C$44:$Q$45,2,FALSE)*$C$32*(1-IF(ROUNDDOWN((Q$44-$B63)/$D$32,0)&lt;1,0,IF(ROUNDDOWN((Q$44-$B63)/$D$32,0)&lt;2,0.5,IF(ROUNDDOWN((Q$44-$B63)/$D$32,0)&lt;3,0.75,IF(ROUNDDOWN((Q$44-$B63)/$D$32,0)&lt;4,0.875,0.9375)))))+HLOOKUP($B63,$C$44:$Q$45,2,FALSE)*$C$33*(1-IF(ROUNDDOWN((Q$44-$B63)/$D$33,0)&lt;1,0,IF(ROUNDDOWN((Q$44-$B63)/$D$33,0)&lt;2,0.5,IF(ROUNDDOWN((Q$44-$B63)/$D$33,0)&lt;3,0.75,IF(ROUNDDOWN((Q$44-$B63)/$D$33,0)&lt;4,0.875,0.9375)))))+HLOOKUP($B63,$C$44:$Q$45,2,FALSE)*$C$34*(1-IF(ROUNDDOWN((Q$44-$B63)/$D$34,0)&lt;1,0,IF(ROUNDDOWN((Q$44-$B63)/$D$34,0)&lt;2,0.5,IF(ROUNDDOWN((Q$44-$B63)/$D$34,0)&lt;3,0.75,IF(ROUNDDOWN((Q$44-$B63)/$D$34,0)&lt;4,0.875,0.9375)))))+HLOOKUP($B63,$C$44:$Q$45,2,FALSE)*$C$35*(1-IF(ROUNDDOWN((Q$44-$B63)/$D$35,0)&lt;1,0,IF(ROUNDDOWN((Q$44-$B63)/$D$35,0)&lt;2,0.5,IF(ROUNDDOWN((Q$44-$B63)/$D$35,0)&lt;3,0.75,IF(ROUNDDOWN((Q$44-$B63)/$D$35,0)&lt;4,0.875,0.9375)))))+HLOOKUP($B63,$C$44:$Q$45,2,FALSE)*$C$36*(1-IF(ROUNDDOWN((Q$44-$B63)/$D$36,0)&lt;1,0,IF(ROUNDDOWN((Q$44-$B63)/$D$36,0)&lt;2,0.5,IF(ROUNDDOWN((Q$44-$B63)/$D$36,0)&lt;3,0.75,IF(ROUNDDOWN((Q$44-$B63)/$D$36,0)&lt;4,0.875,0.9375)))))+HLOOKUP($B63,$C$44:$Q$45,2,FALSE)*$C$37*(1-IF(ROUNDDOWN((Q$44-$B63)/$D$37,0)&lt;1,0,IF(ROUNDDOWN((Q$44-$B63)/$D$37,0)&lt;2,0.5,IF(ROUNDDOWN((Q$44-$B63)/$D$37,0)&lt;3,0.75,IF(ROUNDDOWN((Q$44-$B63)/$D$37,0)&lt;4,0.875,0.9375)))))</f>
        <v>265.69759724216374</v>
      </c>
      <c r="R63" s="19"/>
    </row>
    <row r="64" spans="2:18" x14ac:dyDescent="0.3">
      <c r="B64" s="120">
        <f t="shared" si="6"/>
        <v>2030</v>
      </c>
      <c r="C64" s="125"/>
      <c r="D64" s="125"/>
      <c r="E64" s="125"/>
      <c r="F64" s="125"/>
      <c r="G64" s="125"/>
      <c r="H64" s="125"/>
      <c r="I64" s="125"/>
      <c r="J64" s="125"/>
      <c r="K64" s="125"/>
      <c r="L64" s="125"/>
      <c r="M64" s="125"/>
      <c r="N64" s="125"/>
      <c r="O64" s="125"/>
      <c r="P64" s="125"/>
      <c r="Q64" s="125"/>
      <c r="R64" s="19"/>
    </row>
    <row r="65" spans="2:18" x14ac:dyDescent="0.3">
      <c r="B65" s="20"/>
      <c r="C65" s="126"/>
      <c r="D65" s="126"/>
      <c r="E65" s="126"/>
      <c r="F65" s="126"/>
      <c r="G65" s="126"/>
      <c r="H65" s="126"/>
      <c r="I65" s="126"/>
      <c r="J65" s="126"/>
      <c r="K65" s="126"/>
      <c r="L65" s="126"/>
      <c r="M65" s="126"/>
      <c r="N65" s="126"/>
      <c r="O65" s="126"/>
      <c r="P65" s="126"/>
      <c r="Q65" s="126"/>
      <c r="R65" s="19"/>
    </row>
    <row r="66" spans="2:18" x14ac:dyDescent="0.3">
      <c r="B66" s="127" t="s">
        <v>176</v>
      </c>
      <c r="C66" s="128">
        <f t="shared" ref="C66:Q66" si="8">SUM(C49:C64)</f>
        <v>265.69759724216374</v>
      </c>
      <c r="D66" s="128">
        <f t="shared" si="8"/>
        <v>531.39519448432748</v>
      </c>
      <c r="E66" s="128">
        <f t="shared" si="8"/>
        <v>797.09279172649121</v>
      </c>
      <c r="F66" s="128">
        <f t="shared" si="8"/>
        <v>1051.3653922872418</v>
      </c>
      <c r="G66" s="128">
        <f>SUM(G49:G64)</f>
        <v>1305.6379928479926</v>
      </c>
      <c r="H66" s="128">
        <f t="shared" si="8"/>
        <v>1559.9105934087434</v>
      </c>
      <c r="I66" s="128">
        <f t="shared" si="8"/>
        <v>1808.4706956287873</v>
      </c>
      <c r="J66" s="128">
        <f t="shared" si="8"/>
        <v>2057.0307978488318</v>
      </c>
      <c r="K66" s="128">
        <f t="shared" si="8"/>
        <v>2294.9629961791893</v>
      </c>
      <c r="L66" s="128">
        <f t="shared" si="8"/>
        <v>2530.038945339194</v>
      </c>
      <c r="M66" s="128">
        <f t="shared" si="8"/>
        <v>2754.4869906095118</v>
      </c>
      <c r="N66" s="128">
        <f t="shared" si="8"/>
        <v>2978.9350358798297</v>
      </c>
      <c r="O66" s="128">
        <f t="shared" si="8"/>
        <v>3201.9549565649704</v>
      </c>
      <c r="P66" s="128">
        <f t="shared" si="8"/>
        <v>3424.9748772501116</v>
      </c>
      <c r="Q66" s="128">
        <f t="shared" si="8"/>
        <v>3647.9947979352523</v>
      </c>
      <c r="R66" s="19"/>
    </row>
    <row r="67" spans="2:18" x14ac:dyDescent="0.3">
      <c r="B67" s="20"/>
      <c r="C67" s="3"/>
      <c r="D67" s="3"/>
      <c r="E67" s="3"/>
      <c r="F67" s="3"/>
      <c r="G67" s="3"/>
      <c r="H67" s="3"/>
      <c r="I67" s="3"/>
      <c r="J67" s="3"/>
      <c r="K67" s="3"/>
      <c r="L67" s="3"/>
      <c r="M67" s="3"/>
      <c r="N67" s="3"/>
      <c r="O67" s="3"/>
      <c r="P67" s="3"/>
      <c r="Q67" s="3"/>
      <c r="R67" s="19"/>
    </row>
    <row r="68" spans="2:18" x14ac:dyDescent="0.3">
      <c r="B68" s="20"/>
      <c r="C68" s="3"/>
      <c r="D68" s="3"/>
      <c r="E68" s="3"/>
      <c r="F68" s="3"/>
      <c r="G68" s="3"/>
      <c r="H68" s="3"/>
      <c r="I68" s="3"/>
      <c r="J68" s="3"/>
      <c r="K68" s="3"/>
      <c r="L68" s="3"/>
      <c r="M68" s="3"/>
      <c r="N68" s="3"/>
      <c r="O68" s="3"/>
      <c r="P68" s="3"/>
      <c r="Q68" s="3"/>
      <c r="R68" s="19"/>
    </row>
    <row r="69" spans="2:18" x14ac:dyDescent="0.3">
      <c r="B69" s="20" t="s">
        <v>174</v>
      </c>
      <c r="C69" s="3" t="s">
        <v>177</v>
      </c>
      <c r="D69" s="3"/>
      <c r="E69" s="3"/>
      <c r="F69" s="3"/>
      <c r="G69" s="3"/>
      <c r="H69" s="3"/>
      <c r="I69" s="3"/>
      <c r="J69" s="3"/>
      <c r="K69" s="3"/>
      <c r="L69" s="3"/>
      <c r="M69" s="3"/>
      <c r="N69" s="3"/>
      <c r="O69" s="3"/>
      <c r="P69" s="3"/>
      <c r="Q69" s="3"/>
      <c r="R69" s="19"/>
    </row>
    <row r="70" spans="2:18" x14ac:dyDescent="0.3">
      <c r="B70" s="20"/>
      <c r="C70" s="41">
        <f t="shared" ref="C70:Q70" si="9">C73</f>
        <v>2015</v>
      </c>
      <c r="D70" s="41">
        <f t="shared" si="9"/>
        <v>2016</v>
      </c>
      <c r="E70" s="41">
        <f t="shared" si="9"/>
        <v>2017</v>
      </c>
      <c r="F70" s="41">
        <f t="shared" si="9"/>
        <v>2018</v>
      </c>
      <c r="G70" s="41">
        <f t="shared" si="9"/>
        <v>2019</v>
      </c>
      <c r="H70" s="41">
        <f t="shared" si="9"/>
        <v>2020</v>
      </c>
      <c r="I70" s="41">
        <f t="shared" si="9"/>
        <v>2021</v>
      </c>
      <c r="J70" s="41">
        <f t="shared" si="9"/>
        <v>2022</v>
      </c>
      <c r="K70" s="41">
        <f t="shared" si="9"/>
        <v>2023</v>
      </c>
      <c r="L70" s="41">
        <f t="shared" si="9"/>
        <v>2024</v>
      </c>
      <c r="M70" s="41">
        <f t="shared" si="9"/>
        <v>2025</v>
      </c>
      <c r="N70" s="41">
        <f t="shared" si="9"/>
        <v>2026</v>
      </c>
      <c r="O70" s="41">
        <f t="shared" si="9"/>
        <v>2027</v>
      </c>
      <c r="P70" s="41">
        <f t="shared" si="9"/>
        <v>2028</v>
      </c>
      <c r="Q70" s="41">
        <f t="shared" si="9"/>
        <v>2029</v>
      </c>
      <c r="R70" s="19"/>
    </row>
    <row r="71" spans="2:18" x14ac:dyDescent="0.3">
      <c r="B71" s="20"/>
      <c r="C71" s="124">
        <f>C26</f>
        <v>0.40656844576748163</v>
      </c>
      <c r="D71" s="124">
        <f t="shared" ref="D71:Q71" si="10">D26</f>
        <v>0.40656844576748163</v>
      </c>
      <c r="E71" s="124">
        <f t="shared" si="10"/>
        <v>0.40656844576748163</v>
      </c>
      <c r="F71" s="124">
        <f t="shared" si="10"/>
        <v>0.40656844576748163</v>
      </c>
      <c r="G71" s="124">
        <f t="shared" si="10"/>
        <v>0.40656844576748163</v>
      </c>
      <c r="H71" s="124">
        <f t="shared" si="10"/>
        <v>0.40656844576748163</v>
      </c>
      <c r="I71" s="124">
        <f t="shared" si="10"/>
        <v>0.40656844576748163</v>
      </c>
      <c r="J71" s="124">
        <f t="shared" si="10"/>
        <v>0.40656844576748163</v>
      </c>
      <c r="K71" s="124">
        <f t="shared" si="10"/>
        <v>0.40656844576748163</v>
      </c>
      <c r="L71" s="124">
        <f t="shared" si="10"/>
        <v>0.40656844576748163</v>
      </c>
      <c r="M71" s="124">
        <f t="shared" si="10"/>
        <v>0.40656844576748163</v>
      </c>
      <c r="N71" s="124">
        <f t="shared" si="10"/>
        <v>0.40656844576748163</v>
      </c>
      <c r="O71" s="124">
        <f t="shared" si="10"/>
        <v>0.40656844576748163</v>
      </c>
      <c r="P71" s="124">
        <f t="shared" si="10"/>
        <v>0.40656844576748163</v>
      </c>
      <c r="Q71" s="124">
        <f t="shared" si="10"/>
        <v>0.40656844576748163</v>
      </c>
      <c r="R71" s="19"/>
    </row>
    <row r="72" spans="2:18" x14ac:dyDescent="0.3">
      <c r="B72" s="20"/>
      <c r="C72" s="3"/>
      <c r="D72" s="3"/>
      <c r="E72" s="3"/>
      <c r="F72" s="3"/>
      <c r="G72" s="3"/>
      <c r="H72" s="3"/>
      <c r="I72" s="3"/>
      <c r="J72" s="3"/>
      <c r="K72" s="3"/>
      <c r="L72" s="3"/>
      <c r="M72" s="3"/>
      <c r="N72" s="3"/>
      <c r="O72" s="3"/>
      <c r="P72" s="3"/>
      <c r="Q72" s="3"/>
      <c r="R72" s="19"/>
    </row>
    <row r="73" spans="2:18" x14ac:dyDescent="0.3">
      <c r="B73" s="120" t="s">
        <v>99</v>
      </c>
      <c r="C73" s="41">
        <v>2015</v>
      </c>
      <c r="D73" s="41">
        <f t="shared" ref="D73:Q73" si="11">C73+1</f>
        <v>2016</v>
      </c>
      <c r="E73" s="41">
        <f t="shared" si="11"/>
        <v>2017</v>
      </c>
      <c r="F73" s="41">
        <f t="shared" si="11"/>
        <v>2018</v>
      </c>
      <c r="G73" s="41">
        <f t="shared" si="11"/>
        <v>2019</v>
      </c>
      <c r="H73" s="41">
        <f t="shared" si="11"/>
        <v>2020</v>
      </c>
      <c r="I73" s="41">
        <f t="shared" si="11"/>
        <v>2021</v>
      </c>
      <c r="J73" s="41">
        <f t="shared" si="11"/>
        <v>2022</v>
      </c>
      <c r="K73" s="41">
        <f t="shared" si="11"/>
        <v>2023</v>
      </c>
      <c r="L73" s="41">
        <f t="shared" si="11"/>
        <v>2024</v>
      </c>
      <c r="M73" s="41">
        <f t="shared" si="11"/>
        <v>2025</v>
      </c>
      <c r="N73" s="41">
        <f t="shared" si="11"/>
        <v>2026</v>
      </c>
      <c r="O73" s="41">
        <f t="shared" si="11"/>
        <v>2027</v>
      </c>
      <c r="P73" s="41">
        <f t="shared" si="11"/>
        <v>2028</v>
      </c>
      <c r="Q73" s="41">
        <f t="shared" si="11"/>
        <v>2029</v>
      </c>
      <c r="R73" s="19"/>
    </row>
    <row r="74" spans="2:18" x14ac:dyDescent="0.3">
      <c r="B74" s="120">
        <v>2015</v>
      </c>
      <c r="C74" s="125">
        <f t="shared" ref="C74:Q83" si="12">HLOOKUP($B74,$C$70:$Q$71,2,FALSE)*$C$32*(1-IF(ROUNDDOWN((C$70-$B74)/$D$32,0)&lt;1,0,IF(ROUNDDOWN((C$70-$B74)/$D$32,0)&lt;2,0.5,IF(ROUNDDOWN((C$70-$B74)/$D$32,0)&lt;3,0.75,IF(ROUNDDOWN((C$70-$B74)/$D$32,0)&lt;4,0.875,0.9375)))))+HLOOKUP($B74,$C$70:$Q$71,2,FALSE)*$C$33*(1-IF(ROUNDDOWN((C$70-$B74)/$D$33,0)&lt;1,0,IF(ROUNDDOWN((C$70-$B74)/$D$33,0)&lt;2,0.5,IF(ROUNDDOWN((C$70-$B74)/$D$33,0)&lt;3,0.75,IF(ROUNDDOWN((C$70-$B74)/$D$33,0)&lt;4,0.875,0.9375)))))+HLOOKUP($B74,$C$70:$Q$71,2,FALSE)*$C$34*(1-IF(ROUNDDOWN((C$70-$B74)/$D$34,0)&lt;1,0,IF(ROUNDDOWN((C$70-$B74)/$D$34,0)&lt;2,0.5,IF(ROUNDDOWN((C$70-$B74)/$D$34,0)&lt;3,0.75,IF(ROUNDDOWN((C$70-$B74)/$D$34,0)&lt;4,0.875,0.9375)))))+HLOOKUP($B74,$C$70:$Q$71,2,FALSE)*$C$35*(1-IF(ROUNDDOWN((C$70-$B74)/$D$35,0)&lt;1,0,IF(ROUNDDOWN((C$70-$B74)/$D$35,0)&lt;2,0.5,IF(ROUNDDOWN((C$70-$B74)/$D$35,0)&lt;3,0.75,IF(ROUNDDOWN((C$70-$B74)/$D$35,0)&lt;4,0.875,0.9375)))))+HLOOKUP($B74,$C$70:$Q$71,2,FALSE)*$C$36*(1-IF(ROUNDDOWN((C$70-$B74)/$D$36,0)&lt;1,0,IF(ROUNDDOWN((C$70-$B74)/$D$36,0)&lt;2,0.5,IF(ROUNDDOWN((C$70-$B74)/$D$36,0)&lt;3,0.75,IF(ROUNDDOWN((C$70-$B74)/$D$36,0)&lt;4,0.875,0.9375)))))+HLOOKUP($B74,$C$70:$Q$71,2,FALSE)*$C$37*(1-IF(ROUNDDOWN((C$70-$B74)/$D$37,0)&lt;1,0,IF(ROUNDDOWN((C$70-$B74)/$D$37,0)&lt;2,0.5,IF(ROUNDDOWN((C$70-$B74)/$D$37,0)&lt;3,0.75,IF(ROUNDDOWN((C$70-$B74)/$D$37,0)&lt;4,0.875,0.9375)))))</f>
        <v>0.40656844576748163</v>
      </c>
      <c r="D74" s="125">
        <f t="shared" si="12"/>
        <v>0.40656844576748163</v>
      </c>
      <c r="E74" s="125">
        <f t="shared" si="12"/>
        <v>0.40656844576748163</v>
      </c>
      <c r="F74" s="125">
        <f t="shared" si="12"/>
        <v>0.3890860025994799</v>
      </c>
      <c r="G74" s="125">
        <f t="shared" si="12"/>
        <v>0.3890860025994799</v>
      </c>
      <c r="H74" s="125">
        <f t="shared" si="12"/>
        <v>0.3890860025994799</v>
      </c>
      <c r="I74" s="125">
        <f t="shared" si="12"/>
        <v>0.38034478101547903</v>
      </c>
      <c r="J74" s="125">
        <f t="shared" si="12"/>
        <v>0.38034478101547903</v>
      </c>
      <c r="K74" s="125">
        <f t="shared" si="12"/>
        <v>0.36408204318477977</v>
      </c>
      <c r="L74" s="125">
        <f t="shared" si="12"/>
        <v>0.35971143239277936</v>
      </c>
      <c r="M74" s="125">
        <f t="shared" si="12"/>
        <v>0.3434486945620801</v>
      </c>
      <c r="N74" s="125">
        <f t="shared" si="12"/>
        <v>0.3434486945620801</v>
      </c>
      <c r="O74" s="125">
        <f t="shared" si="12"/>
        <v>0.3412633891660799</v>
      </c>
      <c r="P74" s="125">
        <f t="shared" si="12"/>
        <v>0.3412633891660799</v>
      </c>
      <c r="Q74" s="125">
        <f t="shared" si="12"/>
        <v>0.3412633891660799</v>
      </c>
      <c r="R74" s="19"/>
    </row>
    <row r="75" spans="2:18" x14ac:dyDescent="0.3">
      <c r="B75" s="120">
        <f t="shared" ref="B75:B89" si="13">B74+1</f>
        <v>2016</v>
      </c>
      <c r="C75" s="125"/>
      <c r="D75" s="125">
        <f t="shared" si="12"/>
        <v>0.40656844576748163</v>
      </c>
      <c r="E75" s="125">
        <f t="shared" si="12"/>
        <v>0.40656844576748163</v>
      </c>
      <c r="F75" s="125">
        <f t="shared" si="12"/>
        <v>0.40656844576748163</v>
      </c>
      <c r="G75" s="125">
        <f t="shared" si="12"/>
        <v>0.3890860025994799</v>
      </c>
      <c r="H75" s="125">
        <f t="shared" si="12"/>
        <v>0.3890860025994799</v>
      </c>
      <c r="I75" s="125">
        <f t="shared" si="12"/>
        <v>0.3890860025994799</v>
      </c>
      <c r="J75" s="125">
        <f t="shared" si="12"/>
        <v>0.38034478101547903</v>
      </c>
      <c r="K75" s="125">
        <f t="shared" si="12"/>
        <v>0.38034478101547903</v>
      </c>
      <c r="L75" s="125">
        <f t="shared" si="12"/>
        <v>0.36408204318477977</v>
      </c>
      <c r="M75" s="125">
        <f t="shared" si="12"/>
        <v>0.35971143239277936</v>
      </c>
      <c r="N75" s="125">
        <f t="shared" si="12"/>
        <v>0.3434486945620801</v>
      </c>
      <c r="O75" s="125">
        <f t="shared" si="12"/>
        <v>0.3434486945620801</v>
      </c>
      <c r="P75" s="125">
        <f t="shared" si="12"/>
        <v>0.3412633891660799</v>
      </c>
      <c r="Q75" s="125">
        <f t="shared" si="12"/>
        <v>0.3412633891660799</v>
      </c>
      <c r="R75" s="19"/>
    </row>
    <row r="76" spans="2:18" x14ac:dyDescent="0.3">
      <c r="B76" s="120">
        <f t="shared" si="13"/>
        <v>2017</v>
      </c>
      <c r="C76" s="125"/>
      <c r="D76" s="125"/>
      <c r="E76" s="125">
        <f t="shared" si="12"/>
        <v>0.40656844576748163</v>
      </c>
      <c r="F76" s="125">
        <f t="shared" si="12"/>
        <v>0.40656844576748163</v>
      </c>
      <c r="G76" s="125">
        <f t="shared" si="12"/>
        <v>0.40656844576748163</v>
      </c>
      <c r="H76" s="125">
        <f t="shared" si="12"/>
        <v>0.3890860025994799</v>
      </c>
      <c r="I76" s="125">
        <f t="shared" si="12"/>
        <v>0.3890860025994799</v>
      </c>
      <c r="J76" s="125">
        <f t="shared" si="12"/>
        <v>0.3890860025994799</v>
      </c>
      <c r="K76" s="125">
        <f t="shared" si="12"/>
        <v>0.38034478101547903</v>
      </c>
      <c r="L76" s="125">
        <f t="shared" si="12"/>
        <v>0.38034478101547903</v>
      </c>
      <c r="M76" s="125">
        <f t="shared" si="12"/>
        <v>0.36408204318477977</v>
      </c>
      <c r="N76" s="125">
        <f t="shared" si="12"/>
        <v>0.35971143239277936</v>
      </c>
      <c r="O76" s="125">
        <f t="shared" si="12"/>
        <v>0.3434486945620801</v>
      </c>
      <c r="P76" s="125">
        <f t="shared" si="12"/>
        <v>0.3434486945620801</v>
      </c>
      <c r="Q76" s="125">
        <f t="shared" si="12"/>
        <v>0.3412633891660799</v>
      </c>
      <c r="R76" s="19"/>
    </row>
    <row r="77" spans="2:18" x14ac:dyDescent="0.3">
      <c r="B77" s="120">
        <f t="shared" si="13"/>
        <v>2018</v>
      </c>
      <c r="C77" s="125"/>
      <c r="D77" s="125"/>
      <c r="E77" s="125"/>
      <c r="F77" s="125">
        <f t="shared" si="12"/>
        <v>0.40656844576748163</v>
      </c>
      <c r="G77" s="125">
        <f t="shared" si="12"/>
        <v>0.40656844576748163</v>
      </c>
      <c r="H77" s="125">
        <f t="shared" si="12"/>
        <v>0.40656844576748163</v>
      </c>
      <c r="I77" s="125">
        <f t="shared" si="12"/>
        <v>0.3890860025994799</v>
      </c>
      <c r="J77" s="125">
        <f t="shared" si="12"/>
        <v>0.3890860025994799</v>
      </c>
      <c r="K77" s="125">
        <f t="shared" si="12"/>
        <v>0.3890860025994799</v>
      </c>
      <c r="L77" s="125">
        <f t="shared" si="12"/>
        <v>0.38034478101547903</v>
      </c>
      <c r="M77" s="125">
        <f t="shared" si="12"/>
        <v>0.38034478101547903</v>
      </c>
      <c r="N77" s="125">
        <f t="shared" si="12"/>
        <v>0.36408204318477977</v>
      </c>
      <c r="O77" s="125">
        <f t="shared" si="12"/>
        <v>0.35971143239277936</v>
      </c>
      <c r="P77" s="125">
        <f t="shared" si="12"/>
        <v>0.3434486945620801</v>
      </c>
      <c r="Q77" s="125">
        <f t="shared" si="12"/>
        <v>0.3434486945620801</v>
      </c>
      <c r="R77" s="19"/>
    </row>
    <row r="78" spans="2:18" x14ac:dyDescent="0.3">
      <c r="B78" s="120">
        <f t="shared" si="13"/>
        <v>2019</v>
      </c>
      <c r="C78" s="125"/>
      <c r="D78" s="125"/>
      <c r="E78" s="125"/>
      <c r="F78" s="125"/>
      <c r="G78" s="125">
        <f t="shared" si="12"/>
        <v>0.40656844576748163</v>
      </c>
      <c r="H78" s="125">
        <f t="shared" si="12"/>
        <v>0.40656844576748163</v>
      </c>
      <c r="I78" s="125">
        <f t="shared" si="12"/>
        <v>0.40656844576748163</v>
      </c>
      <c r="J78" s="125">
        <f t="shared" si="12"/>
        <v>0.3890860025994799</v>
      </c>
      <c r="K78" s="125">
        <f t="shared" si="12"/>
        <v>0.3890860025994799</v>
      </c>
      <c r="L78" s="125">
        <f t="shared" si="12"/>
        <v>0.3890860025994799</v>
      </c>
      <c r="M78" s="125">
        <f t="shared" si="12"/>
        <v>0.38034478101547903</v>
      </c>
      <c r="N78" s="125">
        <f t="shared" si="12"/>
        <v>0.38034478101547903</v>
      </c>
      <c r="O78" s="125">
        <f t="shared" si="12"/>
        <v>0.36408204318477977</v>
      </c>
      <c r="P78" s="125">
        <f t="shared" si="12"/>
        <v>0.35971143239277936</v>
      </c>
      <c r="Q78" s="125">
        <f t="shared" si="12"/>
        <v>0.3434486945620801</v>
      </c>
      <c r="R78" s="19"/>
    </row>
    <row r="79" spans="2:18" x14ac:dyDescent="0.3">
      <c r="B79" s="120">
        <f t="shared" si="13"/>
        <v>2020</v>
      </c>
      <c r="C79" s="125"/>
      <c r="D79" s="125"/>
      <c r="E79" s="125"/>
      <c r="F79" s="125"/>
      <c r="G79" s="125"/>
      <c r="H79" s="125">
        <f t="shared" si="12"/>
        <v>0.40656844576748163</v>
      </c>
      <c r="I79" s="125">
        <f t="shared" si="12"/>
        <v>0.40656844576748163</v>
      </c>
      <c r="J79" s="125">
        <f t="shared" si="12"/>
        <v>0.40656844576748163</v>
      </c>
      <c r="K79" s="125">
        <f t="shared" si="12"/>
        <v>0.3890860025994799</v>
      </c>
      <c r="L79" s="125">
        <f t="shared" si="12"/>
        <v>0.3890860025994799</v>
      </c>
      <c r="M79" s="125">
        <f t="shared" si="12"/>
        <v>0.3890860025994799</v>
      </c>
      <c r="N79" s="125">
        <f t="shared" si="12"/>
        <v>0.38034478101547903</v>
      </c>
      <c r="O79" s="125">
        <f t="shared" si="12"/>
        <v>0.38034478101547903</v>
      </c>
      <c r="P79" s="125">
        <f t="shared" si="12"/>
        <v>0.36408204318477977</v>
      </c>
      <c r="Q79" s="125">
        <f t="shared" si="12"/>
        <v>0.35971143239277936</v>
      </c>
      <c r="R79" s="19"/>
    </row>
    <row r="80" spans="2:18" x14ac:dyDescent="0.3">
      <c r="B80" s="120">
        <f t="shared" si="13"/>
        <v>2021</v>
      </c>
      <c r="C80" s="125"/>
      <c r="D80" s="125"/>
      <c r="E80" s="125"/>
      <c r="F80" s="125"/>
      <c r="G80" s="125"/>
      <c r="H80" s="125"/>
      <c r="I80" s="125">
        <f t="shared" si="12"/>
        <v>0.40656844576748163</v>
      </c>
      <c r="J80" s="125">
        <f t="shared" si="12"/>
        <v>0.40656844576748163</v>
      </c>
      <c r="K80" s="125">
        <f t="shared" si="12"/>
        <v>0.40656844576748163</v>
      </c>
      <c r="L80" s="125">
        <f t="shared" si="12"/>
        <v>0.3890860025994799</v>
      </c>
      <c r="M80" s="125">
        <f t="shared" si="12"/>
        <v>0.3890860025994799</v>
      </c>
      <c r="N80" s="125">
        <f t="shared" si="12"/>
        <v>0.3890860025994799</v>
      </c>
      <c r="O80" s="125">
        <f t="shared" si="12"/>
        <v>0.38034478101547903</v>
      </c>
      <c r="P80" s="125">
        <f t="shared" si="12"/>
        <v>0.38034478101547903</v>
      </c>
      <c r="Q80" s="125">
        <f t="shared" si="12"/>
        <v>0.36408204318477977</v>
      </c>
      <c r="R80" s="19"/>
    </row>
    <row r="81" spans="2:18" x14ac:dyDescent="0.3">
      <c r="B81" s="120">
        <f t="shared" si="13"/>
        <v>2022</v>
      </c>
      <c r="C81" s="125"/>
      <c r="D81" s="125"/>
      <c r="E81" s="125"/>
      <c r="F81" s="125"/>
      <c r="G81" s="125"/>
      <c r="H81" s="125"/>
      <c r="I81" s="125"/>
      <c r="J81" s="125">
        <f t="shared" si="12"/>
        <v>0.40656844576748163</v>
      </c>
      <c r="K81" s="125">
        <f t="shared" si="12"/>
        <v>0.40656844576748163</v>
      </c>
      <c r="L81" s="125">
        <f t="shared" si="12"/>
        <v>0.40656844576748163</v>
      </c>
      <c r="M81" s="125">
        <f t="shared" si="12"/>
        <v>0.3890860025994799</v>
      </c>
      <c r="N81" s="125">
        <f t="shared" si="12"/>
        <v>0.3890860025994799</v>
      </c>
      <c r="O81" s="125">
        <f t="shared" si="12"/>
        <v>0.3890860025994799</v>
      </c>
      <c r="P81" s="125">
        <f t="shared" si="12"/>
        <v>0.38034478101547903</v>
      </c>
      <c r="Q81" s="125">
        <f t="shared" si="12"/>
        <v>0.38034478101547903</v>
      </c>
      <c r="R81" s="19"/>
    </row>
    <row r="82" spans="2:18" x14ac:dyDescent="0.3">
      <c r="B82" s="120">
        <f t="shared" si="13"/>
        <v>2023</v>
      </c>
      <c r="C82" s="125"/>
      <c r="D82" s="125"/>
      <c r="E82" s="125"/>
      <c r="F82" s="125"/>
      <c r="G82" s="125"/>
      <c r="H82" s="125"/>
      <c r="I82" s="125"/>
      <c r="J82" s="125"/>
      <c r="K82" s="125">
        <f t="shared" si="12"/>
        <v>0.40656844576748163</v>
      </c>
      <c r="L82" s="125">
        <f t="shared" si="12"/>
        <v>0.40656844576748163</v>
      </c>
      <c r="M82" s="125">
        <f t="shared" si="12"/>
        <v>0.40656844576748163</v>
      </c>
      <c r="N82" s="125">
        <f t="shared" si="12"/>
        <v>0.3890860025994799</v>
      </c>
      <c r="O82" s="125">
        <f t="shared" si="12"/>
        <v>0.3890860025994799</v>
      </c>
      <c r="P82" s="125">
        <f t="shared" si="12"/>
        <v>0.3890860025994799</v>
      </c>
      <c r="Q82" s="125">
        <f t="shared" si="12"/>
        <v>0.38034478101547903</v>
      </c>
      <c r="R82" s="19"/>
    </row>
    <row r="83" spans="2:18" x14ac:dyDescent="0.3">
      <c r="B83" s="120">
        <f t="shared" si="13"/>
        <v>2024</v>
      </c>
      <c r="C83" s="125"/>
      <c r="D83" s="125"/>
      <c r="E83" s="125"/>
      <c r="F83" s="125"/>
      <c r="G83" s="125"/>
      <c r="H83" s="125"/>
      <c r="I83" s="125"/>
      <c r="J83" s="125"/>
      <c r="K83" s="125"/>
      <c r="L83" s="125">
        <f t="shared" si="12"/>
        <v>0.40656844576748163</v>
      </c>
      <c r="M83" s="125">
        <f t="shared" si="12"/>
        <v>0.40656844576748163</v>
      </c>
      <c r="N83" s="125">
        <f t="shared" si="12"/>
        <v>0.40656844576748163</v>
      </c>
      <c r="O83" s="125">
        <f t="shared" si="12"/>
        <v>0.3890860025994799</v>
      </c>
      <c r="P83" s="125">
        <f t="shared" si="12"/>
        <v>0.3890860025994799</v>
      </c>
      <c r="Q83" s="125">
        <f t="shared" si="12"/>
        <v>0.3890860025994799</v>
      </c>
      <c r="R83" s="19"/>
    </row>
    <row r="84" spans="2:18" x14ac:dyDescent="0.3">
      <c r="B84" s="120">
        <f t="shared" si="13"/>
        <v>2025</v>
      </c>
      <c r="C84" s="125"/>
      <c r="D84" s="125"/>
      <c r="E84" s="125"/>
      <c r="F84" s="125"/>
      <c r="G84" s="125"/>
      <c r="H84" s="125"/>
      <c r="I84" s="125"/>
      <c r="J84" s="125"/>
      <c r="K84" s="125"/>
      <c r="L84" s="125"/>
      <c r="M84" s="125">
        <f>HLOOKUP($B84,$C$70:$Q$71,2,FALSE)*$C$32*(1-IF(ROUNDDOWN((M$70-$B84)/$D$32,0)&lt;1,0,IF(ROUNDDOWN((M$70-$B84)/$D$32,0)&lt;2,0.5,IF(ROUNDDOWN((M$70-$B84)/$D$32,0)&lt;3,0.75,IF(ROUNDDOWN((M$70-$B84)/$D$32,0)&lt;4,0.875,0.9375)))))+HLOOKUP($B84,$C$70:$Q$71,2,FALSE)*$C$33*(1-IF(ROUNDDOWN((M$70-$B84)/$D$33,0)&lt;1,0,IF(ROUNDDOWN((M$70-$B84)/$D$33,0)&lt;2,0.5,IF(ROUNDDOWN((M$70-$B84)/$D$33,0)&lt;3,0.75,IF(ROUNDDOWN((M$70-$B84)/$D$33,0)&lt;4,0.875,0.9375)))))+HLOOKUP($B84,$C$70:$Q$71,2,FALSE)*$C$34*(1-IF(ROUNDDOWN((M$70-$B84)/$D$34,0)&lt;1,0,IF(ROUNDDOWN((M$70-$B84)/$D$34,0)&lt;2,0.5,IF(ROUNDDOWN((M$70-$B84)/$D$34,0)&lt;3,0.75,IF(ROUNDDOWN((M$70-$B84)/$D$34,0)&lt;4,0.875,0.9375)))))+HLOOKUP($B84,$C$70:$Q$71,2,FALSE)*$C$35*(1-IF(ROUNDDOWN((M$70-$B84)/$D$35,0)&lt;1,0,IF(ROUNDDOWN((M$70-$B84)/$D$35,0)&lt;2,0.5,IF(ROUNDDOWN((M$70-$B84)/$D$35,0)&lt;3,0.75,IF(ROUNDDOWN((M$70-$B84)/$D$35,0)&lt;4,0.875,0.9375)))))+HLOOKUP($B84,$C$70:$Q$71,2,FALSE)*$C$36*(1-IF(ROUNDDOWN((M$70-$B84)/$D$36,0)&lt;1,0,IF(ROUNDDOWN((M$70-$B84)/$D$36,0)&lt;2,0.5,IF(ROUNDDOWN((M$70-$B84)/$D$36,0)&lt;3,0.75,IF(ROUNDDOWN((M$70-$B84)/$D$36,0)&lt;4,0.875,0.9375)))))+HLOOKUP($B84,$C$70:$Q$71,2,FALSE)*$C$37*(1-IF(ROUNDDOWN((M$70-$B84)/$D$37,0)&lt;1,0,IF(ROUNDDOWN((M$70-$B84)/$D$37,0)&lt;2,0.5,IF(ROUNDDOWN((M$70-$B84)/$D$37,0)&lt;3,0.75,IF(ROUNDDOWN((M$70-$B84)/$D$37,0)&lt;4,0.875,0.9375)))))</f>
        <v>0.40656844576748163</v>
      </c>
      <c r="N84" s="125">
        <f>HLOOKUP($B84,$C$70:$Q$71,2,FALSE)*$C$32*(1-IF(ROUNDDOWN((N$70-$B84)/$D$32,0)&lt;1,0,IF(ROUNDDOWN((N$70-$B84)/$D$32,0)&lt;2,0.5,IF(ROUNDDOWN((N$70-$B84)/$D$32,0)&lt;3,0.75,IF(ROUNDDOWN((N$70-$B84)/$D$32,0)&lt;4,0.875,0.9375)))))+HLOOKUP($B84,$C$70:$Q$71,2,FALSE)*$C$33*(1-IF(ROUNDDOWN((N$70-$B84)/$D$33,0)&lt;1,0,IF(ROUNDDOWN((N$70-$B84)/$D$33,0)&lt;2,0.5,IF(ROUNDDOWN((N$70-$B84)/$D$33,0)&lt;3,0.75,IF(ROUNDDOWN((N$70-$B84)/$D$33,0)&lt;4,0.875,0.9375)))))+HLOOKUP($B84,$C$70:$Q$71,2,FALSE)*$C$34*(1-IF(ROUNDDOWN((N$70-$B84)/$D$34,0)&lt;1,0,IF(ROUNDDOWN((N$70-$B84)/$D$34,0)&lt;2,0.5,IF(ROUNDDOWN((N$70-$B84)/$D$34,0)&lt;3,0.75,IF(ROUNDDOWN((N$70-$B84)/$D$34,0)&lt;4,0.875,0.9375)))))+HLOOKUP($B84,$C$70:$Q$71,2,FALSE)*$C$35*(1-IF(ROUNDDOWN((N$70-$B84)/$D$35,0)&lt;1,0,IF(ROUNDDOWN((N$70-$B84)/$D$35,0)&lt;2,0.5,IF(ROUNDDOWN((N$70-$B84)/$D$35,0)&lt;3,0.75,IF(ROUNDDOWN((N$70-$B84)/$D$35,0)&lt;4,0.875,0.9375)))))+HLOOKUP($B84,$C$70:$Q$71,2,FALSE)*$C$36*(1-IF(ROUNDDOWN((N$70-$B84)/$D$36,0)&lt;1,0,IF(ROUNDDOWN((N$70-$B84)/$D$36,0)&lt;2,0.5,IF(ROUNDDOWN((N$70-$B84)/$D$36,0)&lt;3,0.75,IF(ROUNDDOWN((N$70-$B84)/$D$36,0)&lt;4,0.875,0.9375)))))+HLOOKUP($B84,$C$70:$Q$71,2,FALSE)*$C$37*(1-IF(ROUNDDOWN((N$70-$B84)/$D$37,0)&lt;1,0,IF(ROUNDDOWN((N$70-$B84)/$D$37,0)&lt;2,0.5,IF(ROUNDDOWN((N$70-$B84)/$D$37,0)&lt;3,0.75,IF(ROUNDDOWN((N$70-$B84)/$D$37,0)&lt;4,0.875,0.9375)))))</f>
        <v>0.40656844576748163</v>
      </c>
      <c r="O84" s="125">
        <f>HLOOKUP($B84,$C$70:$Q$71,2,FALSE)*$C$32*(1-IF(ROUNDDOWN((O$70-$B84)/$D$32,0)&lt;1,0,IF(ROUNDDOWN((O$70-$B84)/$D$32,0)&lt;2,0.5,IF(ROUNDDOWN((O$70-$B84)/$D$32,0)&lt;3,0.75,IF(ROUNDDOWN((O$70-$B84)/$D$32,0)&lt;4,0.875,0.9375)))))+HLOOKUP($B84,$C$70:$Q$71,2,FALSE)*$C$33*(1-IF(ROUNDDOWN((O$70-$B84)/$D$33,0)&lt;1,0,IF(ROUNDDOWN((O$70-$B84)/$D$33,0)&lt;2,0.5,IF(ROUNDDOWN((O$70-$B84)/$D$33,0)&lt;3,0.75,IF(ROUNDDOWN((O$70-$B84)/$D$33,0)&lt;4,0.875,0.9375)))))+HLOOKUP($B84,$C$70:$Q$71,2,FALSE)*$C$34*(1-IF(ROUNDDOWN((O$70-$B84)/$D$34,0)&lt;1,0,IF(ROUNDDOWN((O$70-$B84)/$D$34,0)&lt;2,0.5,IF(ROUNDDOWN((O$70-$B84)/$D$34,0)&lt;3,0.75,IF(ROUNDDOWN((O$70-$B84)/$D$34,0)&lt;4,0.875,0.9375)))))+HLOOKUP($B84,$C$70:$Q$71,2,FALSE)*$C$35*(1-IF(ROUNDDOWN((O$70-$B84)/$D$35,0)&lt;1,0,IF(ROUNDDOWN((O$70-$B84)/$D$35,0)&lt;2,0.5,IF(ROUNDDOWN((O$70-$B84)/$D$35,0)&lt;3,0.75,IF(ROUNDDOWN((O$70-$B84)/$D$35,0)&lt;4,0.875,0.9375)))))+HLOOKUP($B84,$C$70:$Q$71,2,FALSE)*$C$36*(1-IF(ROUNDDOWN((O$70-$B84)/$D$36,0)&lt;1,0,IF(ROUNDDOWN((O$70-$B84)/$D$36,0)&lt;2,0.5,IF(ROUNDDOWN((O$70-$B84)/$D$36,0)&lt;3,0.75,IF(ROUNDDOWN((O$70-$B84)/$D$36,0)&lt;4,0.875,0.9375)))))+HLOOKUP($B84,$C$70:$Q$71,2,FALSE)*$C$37*(1-IF(ROUNDDOWN((O$70-$B84)/$D$37,0)&lt;1,0,IF(ROUNDDOWN((O$70-$B84)/$D$37,0)&lt;2,0.5,IF(ROUNDDOWN((O$70-$B84)/$D$37,0)&lt;3,0.75,IF(ROUNDDOWN((O$70-$B84)/$D$37,0)&lt;4,0.875,0.9375)))))</f>
        <v>0.40656844576748163</v>
      </c>
      <c r="P84" s="125">
        <f>HLOOKUP($B84,$C$70:$Q$71,2,FALSE)*$C$32*(1-IF(ROUNDDOWN((P$70-$B84)/$D$32,0)&lt;1,0,IF(ROUNDDOWN((P$70-$B84)/$D$32,0)&lt;2,0.5,IF(ROUNDDOWN((P$70-$B84)/$D$32,0)&lt;3,0.75,IF(ROUNDDOWN((P$70-$B84)/$D$32,0)&lt;4,0.875,0.9375)))))+HLOOKUP($B84,$C$70:$Q$71,2,FALSE)*$C$33*(1-IF(ROUNDDOWN((P$70-$B84)/$D$33,0)&lt;1,0,IF(ROUNDDOWN((P$70-$B84)/$D$33,0)&lt;2,0.5,IF(ROUNDDOWN((P$70-$B84)/$D$33,0)&lt;3,0.75,IF(ROUNDDOWN((P$70-$B84)/$D$33,0)&lt;4,0.875,0.9375)))))+HLOOKUP($B84,$C$70:$Q$71,2,FALSE)*$C$34*(1-IF(ROUNDDOWN((P$70-$B84)/$D$34,0)&lt;1,0,IF(ROUNDDOWN((P$70-$B84)/$D$34,0)&lt;2,0.5,IF(ROUNDDOWN((P$70-$B84)/$D$34,0)&lt;3,0.75,IF(ROUNDDOWN((P$70-$B84)/$D$34,0)&lt;4,0.875,0.9375)))))+HLOOKUP($B84,$C$70:$Q$71,2,FALSE)*$C$35*(1-IF(ROUNDDOWN((P$70-$B84)/$D$35,0)&lt;1,0,IF(ROUNDDOWN((P$70-$B84)/$D$35,0)&lt;2,0.5,IF(ROUNDDOWN((P$70-$B84)/$D$35,0)&lt;3,0.75,IF(ROUNDDOWN((P$70-$B84)/$D$35,0)&lt;4,0.875,0.9375)))))+HLOOKUP($B84,$C$70:$Q$71,2,FALSE)*$C$36*(1-IF(ROUNDDOWN((P$70-$B84)/$D$36,0)&lt;1,0,IF(ROUNDDOWN((P$70-$B84)/$D$36,0)&lt;2,0.5,IF(ROUNDDOWN((P$70-$B84)/$D$36,0)&lt;3,0.75,IF(ROUNDDOWN((P$70-$B84)/$D$36,0)&lt;4,0.875,0.9375)))))+HLOOKUP($B84,$C$70:$Q$71,2,FALSE)*$C$37*(1-IF(ROUNDDOWN((P$70-$B84)/$D$37,0)&lt;1,0,IF(ROUNDDOWN((P$70-$B84)/$D$37,0)&lt;2,0.5,IF(ROUNDDOWN((P$70-$B84)/$D$37,0)&lt;3,0.75,IF(ROUNDDOWN((P$70-$B84)/$D$37,0)&lt;4,0.875,0.9375)))))</f>
        <v>0.3890860025994799</v>
      </c>
      <c r="Q84" s="125">
        <f>HLOOKUP($B84,$C$70:$Q$71,2,FALSE)*$C$32*(1-IF(ROUNDDOWN((Q$70-$B84)/$D$32,0)&lt;1,0,IF(ROUNDDOWN((Q$70-$B84)/$D$32,0)&lt;2,0.5,IF(ROUNDDOWN((Q$70-$B84)/$D$32,0)&lt;3,0.75,IF(ROUNDDOWN((Q$70-$B84)/$D$32,0)&lt;4,0.875,0.9375)))))+HLOOKUP($B84,$C$70:$Q$71,2,FALSE)*$C$33*(1-IF(ROUNDDOWN((Q$70-$B84)/$D$33,0)&lt;1,0,IF(ROUNDDOWN((Q$70-$B84)/$D$33,0)&lt;2,0.5,IF(ROUNDDOWN((Q$70-$B84)/$D$33,0)&lt;3,0.75,IF(ROUNDDOWN((Q$70-$B84)/$D$33,0)&lt;4,0.875,0.9375)))))+HLOOKUP($B84,$C$70:$Q$71,2,FALSE)*$C$34*(1-IF(ROUNDDOWN((Q$70-$B84)/$D$34,0)&lt;1,0,IF(ROUNDDOWN((Q$70-$B84)/$D$34,0)&lt;2,0.5,IF(ROUNDDOWN((Q$70-$B84)/$D$34,0)&lt;3,0.75,IF(ROUNDDOWN((Q$70-$B84)/$D$34,0)&lt;4,0.875,0.9375)))))+HLOOKUP($B84,$C$70:$Q$71,2,FALSE)*$C$35*(1-IF(ROUNDDOWN((Q$70-$B84)/$D$35,0)&lt;1,0,IF(ROUNDDOWN((Q$70-$B84)/$D$35,0)&lt;2,0.5,IF(ROUNDDOWN((Q$70-$B84)/$D$35,0)&lt;3,0.75,IF(ROUNDDOWN((Q$70-$B84)/$D$35,0)&lt;4,0.875,0.9375)))))+HLOOKUP($B84,$C$70:$Q$71,2,FALSE)*$C$36*(1-IF(ROUNDDOWN((Q$70-$B84)/$D$36,0)&lt;1,0,IF(ROUNDDOWN((Q$70-$B84)/$D$36,0)&lt;2,0.5,IF(ROUNDDOWN((Q$70-$B84)/$D$36,0)&lt;3,0.75,IF(ROUNDDOWN((Q$70-$B84)/$D$36,0)&lt;4,0.875,0.9375)))))+HLOOKUP($B84,$C$70:$Q$71,2,FALSE)*$C$37*(1-IF(ROUNDDOWN((Q$70-$B84)/$D$37,0)&lt;1,0,IF(ROUNDDOWN((Q$70-$B84)/$D$37,0)&lt;2,0.5,IF(ROUNDDOWN((Q$70-$B84)/$D$37,0)&lt;3,0.75,IF(ROUNDDOWN((Q$70-$B84)/$D$37,0)&lt;4,0.875,0.9375)))))</f>
        <v>0.3890860025994799</v>
      </c>
      <c r="R84" s="19"/>
    </row>
    <row r="85" spans="2:18" x14ac:dyDescent="0.3">
      <c r="B85" s="120">
        <f t="shared" si="13"/>
        <v>2026</v>
      </c>
      <c r="C85" s="125"/>
      <c r="D85" s="125"/>
      <c r="E85" s="125"/>
      <c r="F85" s="125"/>
      <c r="G85" s="125"/>
      <c r="H85" s="125"/>
      <c r="I85" s="125"/>
      <c r="J85" s="125"/>
      <c r="K85" s="125"/>
      <c r="L85" s="125"/>
      <c r="M85" s="125"/>
      <c r="N85" s="125">
        <f>HLOOKUP($B85,$C$70:$Q$71,2,FALSE)*$C$32*(1-IF(ROUNDDOWN((N$70-$B85)/$D$32,0)&lt;1,0,IF(ROUNDDOWN((N$70-$B85)/$D$32,0)&lt;2,0.5,IF(ROUNDDOWN((N$70-$B85)/$D$32,0)&lt;3,0.75,IF(ROUNDDOWN((N$70-$B85)/$D$32,0)&lt;4,0.875,0.9375)))))+HLOOKUP($B85,$C$70:$Q$71,2,FALSE)*$C$33*(1-IF(ROUNDDOWN((N$70-$B85)/$D$33,0)&lt;1,0,IF(ROUNDDOWN((N$70-$B85)/$D$33,0)&lt;2,0.5,IF(ROUNDDOWN((N$70-$B85)/$D$33,0)&lt;3,0.75,IF(ROUNDDOWN((N$70-$B85)/$D$33,0)&lt;4,0.875,0.9375)))))+HLOOKUP($B85,$C$70:$Q$71,2,FALSE)*$C$34*(1-IF(ROUNDDOWN((N$70-$B85)/$D$34,0)&lt;1,0,IF(ROUNDDOWN((N$70-$B85)/$D$34,0)&lt;2,0.5,IF(ROUNDDOWN((N$70-$B85)/$D$34,0)&lt;3,0.75,IF(ROUNDDOWN((N$70-$B85)/$D$34,0)&lt;4,0.875,0.9375)))))+HLOOKUP($B85,$C$70:$Q$71,2,FALSE)*$C$35*(1-IF(ROUNDDOWN((N$70-$B85)/$D$35,0)&lt;1,0,IF(ROUNDDOWN((N$70-$B85)/$D$35,0)&lt;2,0.5,IF(ROUNDDOWN((N$70-$B85)/$D$35,0)&lt;3,0.75,IF(ROUNDDOWN((N$70-$B85)/$D$35,0)&lt;4,0.875,0.9375)))))+HLOOKUP($B85,$C$70:$Q$71,2,FALSE)*$C$36*(1-IF(ROUNDDOWN((N$70-$B85)/$D$36,0)&lt;1,0,IF(ROUNDDOWN((N$70-$B85)/$D$36,0)&lt;2,0.5,IF(ROUNDDOWN((N$70-$B85)/$D$36,0)&lt;3,0.75,IF(ROUNDDOWN((N$70-$B85)/$D$36,0)&lt;4,0.875,0.9375)))))+HLOOKUP($B85,$C$70:$Q$71,2,FALSE)*$C$37*(1-IF(ROUNDDOWN((N$70-$B85)/$D$37,0)&lt;1,0,IF(ROUNDDOWN((N$70-$B85)/$D$37,0)&lt;2,0.5,IF(ROUNDDOWN((N$70-$B85)/$D$37,0)&lt;3,0.75,IF(ROUNDDOWN((N$70-$B85)/$D$37,0)&lt;4,0.875,0.9375)))))</f>
        <v>0.40656844576748163</v>
      </c>
      <c r="O85" s="125">
        <f>HLOOKUP($B85,$C$70:$Q$71,2,FALSE)*$C$32*(1-IF(ROUNDDOWN((O$70-$B85)/$D$32,0)&lt;1,0,IF(ROUNDDOWN((O$70-$B85)/$D$32,0)&lt;2,0.5,IF(ROUNDDOWN((O$70-$B85)/$D$32,0)&lt;3,0.75,IF(ROUNDDOWN((O$70-$B85)/$D$32,0)&lt;4,0.875,0.9375)))))+HLOOKUP($B85,$C$70:$Q$71,2,FALSE)*$C$33*(1-IF(ROUNDDOWN((O$70-$B85)/$D$33,0)&lt;1,0,IF(ROUNDDOWN((O$70-$B85)/$D$33,0)&lt;2,0.5,IF(ROUNDDOWN((O$70-$B85)/$D$33,0)&lt;3,0.75,IF(ROUNDDOWN((O$70-$B85)/$D$33,0)&lt;4,0.875,0.9375)))))+HLOOKUP($B85,$C$70:$Q$71,2,FALSE)*$C$34*(1-IF(ROUNDDOWN((O$70-$B85)/$D$34,0)&lt;1,0,IF(ROUNDDOWN((O$70-$B85)/$D$34,0)&lt;2,0.5,IF(ROUNDDOWN((O$70-$B85)/$D$34,0)&lt;3,0.75,IF(ROUNDDOWN((O$70-$B85)/$D$34,0)&lt;4,0.875,0.9375)))))+HLOOKUP($B85,$C$70:$Q$71,2,FALSE)*$C$35*(1-IF(ROUNDDOWN((O$70-$B85)/$D$35,0)&lt;1,0,IF(ROUNDDOWN((O$70-$B85)/$D$35,0)&lt;2,0.5,IF(ROUNDDOWN((O$70-$B85)/$D$35,0)&lt;3,0.75,IF(ROUNDDOWN((O$70-$B85)/$D$35,0)&lt;4,0.875,0.9375)))))+HLOOKUP($B85,$C$70:$Q$71,2,FALSE)*$C$36*(1-IF(ROUNDDOWN((O$70-$B85)/$D$36,0)&lt;1,0,IF(ROUNDDOWN((O$70-$B85)/$D$36,0)&lt;2,0.5,IF(ROUNDDOWN((O$70-$B85)/$D$36,0)&lt;3,0.75,IF(ROUNDDOWN((O$70-$B85)/$D$36,0)&lt;4,0.875,0.9375)))))+HLOOKUP($B85,$C$70:$Q$71,2,FALSE)*$C$37*(1-IF(ROUNDDOWN((O$70-$B85)/$D$37,0)&lt;1,0,IF(ROUNDDOWN((O$70-$B85)/$D$37,0)&lt;2,0.5,IF(ROUNDDOWN((O$70-$B85)/$D$37,0)&lt;3,0.75,IF(ROUNDDOWN((O$70-$B85)/$D$37,0)&lt;4,0.875,0.9375)))))</f>
        <v>0.40656844576748163</v>
      </c>
      <c r="P85" s="125">
        <f>HLOOKUP($B85,$C$70:$Q$71,2,FALSE)*$C$32*(1-IF(ROUNDDOWN((P$70-$B85)/$D$32,0)&lt;1,0,IF(ROUNDDOWN((P$70-$B85)/$D$32,0)&lt;2,0.5,IF(ROUNDDOWN((P$70-$B85)/$D$32,0)&lt;3,0.75,IF(ROUNDDOWN((P$70-$B85)/$D$32,0)&lt;4,0.875,0.9375)))))+HLOOKUP($B85,$C$70:$Q$71,2,FALSE)*$C$33*(1-IF(ROUNDDOWN((P$70-$B85)/$D$33,0)&lt;1,0,IF(ROUNDDOWN((P$70-$B85)/$D$33,0)&lt;2,0.5,IF(ROUNDDOWN((P$70-$B85)/$D$33,0)&lt;3,0.75,IF(ROUNDDOWN((P$70-$B85)/$D$33,0)&lt;4,0.875,0.9375)))))+HLOOKUP($B85,$C$70:$Q$71,2,FALSE)*$C$34*(1-IF(ROUNDDOWN((P$70-$B85)/$D$34,0)&lt;1,0,IF(ROUNDDOWN((P$70-$B85)/$D$34,0)&lt;2,0.5,IF(ROUNDDOWN((P$70-$B85)/$D$34,0)&lt;3,0.75,IF(ROUNDDOWN((P$70-$B85)/$D$34,0)&lt;4,0.875,0.9375)))))+HLOOKUP($B85,$C$70:$Q$71,2,FALSE)*$C$35*(1-IF(ROUNDDOWN((P$70-$B85)/$D$35,0)&lt;1,0,IF(ROUNDDOWN((P$70-$B85)/$D$35,0)&lt;2,0.5,IF(ROUNDDOWN((P$70-$B85)/$D$35,0)&lt;3,0.75,IF(ROUNDDOWN((P$70-$B85)/$D$35,0)&lt;4,0.875,0.9375)))))+HLOOKUP($B85,$C$70:$Q$71,2,FALSE)*$C$36*(1-IF(ROUNDDOWN((P$70-$B85)/$D$36,0)&lt;1,0,IF(ROUNDDOWN((P$70-$B85)/$D$36,0)&lt;2,0.5,IF(ROUNDDOWN((P$70-$B85)/$D$36,0)&lt;3,0.75,IF(ROUNDDOWN((P$70-$B85)/$D$36,0)&lt;4,0.875,0.9375)))))+HLOOKUP($B85,$C$70:$Q$71,2,FALSE)*$C$37*(1-IF(ROUNDDOWN((P$70-$B85)/$D$37,0)&lt;1,0,IF(ROUNDDOWN((P$70-$B85)/$D$37,0)&lt;2,0.5,IF(ROUNDDOWN((P$70-$B85)/$D$37,0)&lt;3,0.75,IF(ROUNDDOWN((P$70-$B85)/$D$37,0)&lt;4,0.875,0.9375)))))</f>
        <v>0.40656844576748163</v>
      </c>
      <c r="Q85" s="125">
        <f>HLOOKUP($B85,$C$70:$Q$71,2,FALSE)*$C$32*(1-IF(ROUNDDOWN((Q$70-$B85)/$D$32,0)&lt;1,0,IF(ROUNDDOWN((Q$70-$B85)/$D$32,0)&lt;2,0.5,IF(ROUNDDOWN((Q$70-$B85)/$D$32,0)&lt;3,0.75,IF(ROUNDDOWN((Q$70-$B85)/$D$32,0)&lt;4,0.875,0.9375)))))+HLOOKUP($B85,$C$70:$Q$71,2,FALSE)*$C$33*(1-IF(ROUNDDOWN((Q$70-$B85)/$D$33,0)&lt;1,0,IF(ROUNDDOWN((Q$70-$B85)/$D$33,0)&lt;2,0.5,IF(ROUNDDOWN((Q$70-$B85)/$D$33,0)&lt;3,0.75,IF(ROUNDDOWN((Q$70-$B85)/$D$33,0)&lt;4,0.875,0.9375)))))+HLOOKUP($B85,$C$70:$Q$71,2,FALSE)*$C$34*(1-IF(ROUNDDOWN((Q$70-$B85)/$D$34,0)&lt;1,0,IF(ROUNDDOWN((Q$70-$B85)/$D$34,0)&lt;2,0.5,IF(ROUNDDOWN((Q$70-$B85)/$D$34,0)&lt;3,0.75,IF(ROUNDDOWN((Q$70-$B85)/$D$34,0)&lt;4,0.875,0.9375)))))+HLOOKUP($B85,$C$70:$Q$71,2,FALSE)*$C$35*(1-IF(ROUNDDOWN((Q$70-$B85)/$D$35,0)&lt;1,0,IF(ROUNDDOWN((Q$70-$B85)/$D$35,0)&lt;2,0.5,IF(ROUNDDOWN((Q$70-$B85)/$D$35,0)&lt;3,0.75,IF(ROUNDDOWN((Q$70-$B85)/$D$35,0)&lt;4,0.875,0.9375)))))+HLOOKUP($B85,$C$70:$Q$71,2,FALSE)*$C$36*(1-IF(ROUNDDOWN((Q$70-$B85)/$D$36,0)&lt;1,0,IF(ROUNDDOWN((Q$70-$B85)/$D$36,0)&lt;2,0.5,IF(ROUNDDOWN((Q$70-$B85)/$D$36,0)&lt;3,0.75,IF(ROUNDDOWN((Q$70-$B85)/$D$36,0)&lt;4,0.875,0.9375)))))+HLOOKUP($B85,$C$70:$Q$71,2,FALSE)*$C$37*(1-IF(ROUNDDOWN((Q$70-$B85)/$D$37,0)&lt;1,0,IF(ROUNDDOWN((Q$70-$B85)/$D$37,0)&lt;2,0.5,IF(ROUNDDOWN((Q$70-$B85)/$D$37,0)&lt;3,0.75,IF(ROUNDDOWN((Q$70-$B85)/$D$37,0)&lt;4,0.875,0.9375)))))</f>
        <v>0.3890860025994799</v>
      </c>
      <c r="R85" s="19"/>
    </row>
    <row r="86" spans="2:18" x14ac:dyDescent="0.3">
      <c r="B86" s="120">
        <f t="shared" si="13"/>
        <v>2027</v>
      </c>
      <c r="C86" s="125"/>
      <c r="D86" s="125"/>
      <c r="E86" s="125"/>
      <c r="F86" s="125"/>
      <c r="G86" s="125"/>
      <c r="H86" s="125"/>
      <c r="I86" s="125"/>
      <c r="J86" s="125"/>
      <c r="K86" s="125"/>
      <c r="L86" s="125"/>
      <c r="M86" s="125"/>
      <c r="N86" s="125"/>
      <c r="O86" s="125">
        <f>HLOOKUP($B86,$C$70:$Q$71,2,FALSE)*$C$32*(1-IF(ROUNDDOWN((O$70-$B86)/$D$32,0)&lt;1,0,IF(ROUNDDOWN((O$70-$B86)/$D$32,0)&lt;2,0.5,IF(ROUNDDOWN((O$70-$B86)/$D$32,0)&lt;3,0.75,IF(ROUNDDOWN((O$70-$B86)/$D$32,0)&lt;4,0.875,0.9375)))))+HLOOKUP($B86,$C$70:$Q$71,2,FALSE)*$C$33*(1-IF(ROUNDDOWN((O$70-$B86)/$D$33,0)&lt;1,0,IF(ROUNDDOWN((O$70-$B86)/$D$33,0)&lt;2,0.5,IF(ROUNDDOWN((O$70-$B86)/$D$33,0)&lt;3,0.75,IF(ROUNDDOWN((O$70-$B86)/$D$33,0)&lt;4,0.875,0.9375)))))+HLOOKUP($B86,$C$70:$Q$71,2,FALSE)*$C$34*(1-IF(ROUNDDOWN((O$70-$B86)/$D$34,0)&lt;1,0,IF(ROUNDDOWN((O$70-$B86)/$D$34,0)&lt;2,0.5,IF(ROUNDDOWN((O$70-$B86)/$D$34,0)&lt;3,0.75,IF(ROUNDDOWN((O$70-$B86)/$D$34,0)&lt;4,0.875,0.9375)))))+HLOOKUP($B86,$C$70:$Q$71,2,FALSE)*$C$35*(1-IF(ROUNDDOWN((O$70-$B86)/$D$35,0)&lt;1,0,IF(ROUNDDOWN((O$70-$B86)/$D$35,0)&lt;2,0.5,IF(ROUNDDOWN((O$70-$B86)/$D$35,0)&lt;3,0.75,IF(ROUNDDOWN((O$70-$B86)/$D$35,0)&lt;4,0.875,0.9375)))))+HLOOKUP($B86,$C$70:$Q$71,2,FALSE)*$C$36*(1-IF(ROUNDDOWN((O$70-$B86)/$D$36,0)&lt;1,0,IF(ROUNDDOWN((O$70-$B86)/$D$36,0)&lt;2,0.5,IF(ROUNDDOWN((O$70-$B86)/$D$36,0)&lt;3,0.75,IF(ROUNDDOWN((O$70-$B86)/$D$36,0)&lt;4,0.875,0.9375)))))+HLOOKUP($B86,$C$70:$Q$71,2,FALSE)*$C$37*(1-IF(ROUNDDOWN((O$70-$B86)/$D$37,0)&lt;1,0,IF(ROUNDDOWN((O$70-$B86)/$D$37,0)&lt;2,0.5,IF(ROUNDDOWN((O$70-$B86)/$D$37,0)&lt;3,0.75,IF(ROUNDDOWN((O$70-$B86)/$D$37,0)&lt;4,0.875,0.9375)))))</f>
        <v>0.40656844576748163</v>
      </c>
      <c r="P86" s="125">
        <f>HLOOKUP($B86,$C$70:$Q$71,2,FALSE)*$C$32*(1-IF(ROUNDDOWN((P$70-$B86)/$D$32,0)&lt;1,0,IF(ROUNDDOWN((P$70-$B86)/$D$32,0)&lt;2,0.5,IF(ROUNDDOWN((P$70-$B86)/$D$32,0)&lt;3,0.75,IF(ROUNDDOWN((P$70-$B86)/$D$32,0)&lt;4,0.875,0.9375)))))+HLOOKUP($B86,$C$70:$Q$71,2,FALSE)*$C$33*(1-IF(ROUNDDOWN((P$70-$B86)/$D$33,0)&lt;1,0,IF(ROUNDDOWN((P$70-$B86)/$D$33,0)&lt;2,0.5,IF(ROUNDDOWN((P$70-$B86)/$D$33,0)&lt;3,0.75,IF(ROUNDDOWN((P$70-$B86)/$D$33,0)&lt;4,0.875,0.9375)))))+HLOOKUP($B86,$C$70:$Q$71,2,FALSE)*$C$34*(1-IF(ROUNDDOWN((P$70-$B86)/$D$34,0)&lt;1,0,IF(ROUNDDOWN((P$70-$B86)/$D$34,0)&lt;2,0.5,IF(ROUNDDOWN((P$70-$B86)/$D$34,0)&lt;3,0.75,IF(ROUNDDOWN((P$70-$B86)/$D$34,0)&lt;4,0.875,0.9375)))))+HLOOKUP($B86,$C$70:$Q$71,2,FALSE)*$C$35*(1-IF(ROUNDDOWN((P$70-$B86)/$D$35,0)&lt;1,0,IF(ROUNDDOWN((P$70-$B86)/$D$35,0)&lt;2,0.5,IF(ROUNDDOWN((P$70-$B86)/$D$35,0)&lt;3,0.75,IF(ROUNDDOWN((P$70-$B86)/$D$35,0)&lt;4,0.875,0.9375)))))+HLOOKUP($B86,$C$70:$Q$71,2,FALSE)*$C$36*(1-IF(ROUNDDOWN((P$70-$B86)/$D$36,0)&lt;1,0,IF(ROUNDDOWN((P$70-$B86)/$D$36,0)&lt;2,0.5,IF(ROUNDDOWN((P$70-$B86)/$D$36,0)&lt;3,0.75,IF(ROUNDDOWN((P$70-$B86)/$D$36,0)&lt;4,0.875,0.9375)))))+HLOOKUP($B86,$C$70:$Q$71,2,FALSE)*$C$37*(1-IF(ROUNDDOWN((P$70-$B86)/$D$37,0)&lt;1,0,IF(ROUNDDOWN((P$70-$B86)/$D$37,0)&lt;2,0.5,IF(ROUNDDOWN((P$70-$B86)/$D$37,0)&lt;3,0.75,IF(ROUNDDOWN((P$70-$B86)/$D$37,0)&lt;4,0.875,0.9375)))))</f>
        <v>0.40656844576748163</v>
      </c>
      <c r="Q86" s="125">
        <f>HLOOKUP($B86,$C$70:$Q$71,2,FALSE)*$C$32*(1-IF(ROUNDDOWN((Q$70-$B86)/$D$32,0)&lt;1,0,IF(ROUNDDOWN((Q$70-$B86)/$D$32,0)&lt;2,0.5,IF(ROUNDDOWN((Q$70-$B86)/$D$32,0)&lt;3,0.75,IF(ROUNDDOWN((Q$70-$B86)/$D$32,0)&lt;4,0.875,0.9375)))))+HLOOKUP($B86,$C$70:$Q$71,2,FALSE)*$C$33*(1-IF(ROUNDDOWN((Q$70-$B86)/$D$33,0)&lt;1,0,IF(ROUNDDOWN((Q$70-$B86)/$D$33,0)&lt;2,0.5,IF(ROUNDDOWN((Q$70-$B86)/$D$33,0)&lt;3,0.75,IF(ROUNDDOWN((Q$70-$B86)/$D$33,0)&lt;4,0.875,0.9375)))))+HLOOKUP($B86,$C$70:$Q$71,2,FALSE)*$C$34*(1-IF(ROUNDDOWN((Q$70-$B86)/$D$34,0)&lt;1,0,IF(ROUNDDOWN((Q$70-$B86)/$D$34,0)&lt;2,0.5,IF(ROUNDDOWN((Q$70-$B86)/$D$34,0)&lt;3,0.75,IF(ROUNDDOWN((Q$70-$B86)/$D$34,0)&lt;4,0.875,0.9375)))))+HLOOKUP($B86,$C$70:$Q$71,2,FALSE)*$C$35*(1-IF(ROUNDDOWN((Q$70-$B86)/$D$35,0)&lt;1,0,IF(ROUNDDOWN((Q$70-$B86)/$D$35,0)&lt;2,0.5,IF(ROUNDDOWN((Q$70-$B86)/$D$35,0)&lt;3,0.75,IF(ROUNDDOWN((Q$70-$B86)/$D$35,0)&lt;4,0.875,0.9375)))))+HLOOKUP($B86,$C$70:$Q$71,2,FALSE)*$C$36*(1-IF(ROUNDDOWN((Q$70-$B86)/$D$36,0)&lt;1,0,IF(ROUNDDOWN((Q$70-$B86)/$D$36,0)&lt;2,0.5,IF(ROUNDDOWN((Q$70-$B86)/$D$36,0)&lt;3,0.75,IF(ROUNDDOWN((Q$70-$B86)/$D$36,0)&lt;4,0.875,0.9375)))))+HLOOKUP($B86,$C$70:$Q$71,2,FALSE)*$C$37*(1-IF(ROUNDDOWN((Q$70-$B86)/$D$37,0)&lt;1,0,IF(ROUNDDOWN((Q$70-$B86)/$D$37,0)&lt;2,0.5,IF(ROUNDDOWN((Q$70-$B86)/$D$37,0)&lt;3,0.75,IF(ROUNDDOWN((Q$70-$B86)/$D$37,0)&lt;4,0.875,0.9375)))))</f>
        <v>0.40656844576748163</v>
      </c>
      <c r="R86" s="19"/>
    </row>
    <row r="87" spans="2:18" x14ac:dyDescent="0.3">
      <c r="B87" s="120">
        <f t="shared" si="13"/>
        <v>2028</v>
      </c>
      <c r="C87" s="125"/>
      <c r="D87" s="125"/>
      <c r="E87" s="125"/>
      <c r="F87" s="125"/>
      <c r="G87" s="125"/>
      <c r="H87" s="125"/>
      <c r="I87" s="125"/>
      <c r="J87" s="125"/>
      <c r="K87" s="125"/>
      <c r="L87" s="125"/>
      <c r="M87" s="125"/>
      <c r="N87" s="125"/>
      <c r="O87" s="125"/>
      <c r="P87" s="125">
        <f>HLOOKUP($B87,$C$70:$Q$71,2,FALSE)*$C$32*(1-IF(ROUNDDOWN((P$70-$B87)/$D$32,0)&lt;1,0,IF(ROUNDDOWN((P$70-$B87)/$D$32,0)&lt;2,0.5,IF(ROUNDDOWN((P$70-$B87)/$D$32,0)&lt;3,0.75,IF(ROUNDDOWN((P$70-$B87)/$D$32,0)&lt;4,0.875,0.9375)))))+HLOOKUP($B87,$C$70:$Q$71,2,FALSE)*$C$33*(1-IF(ROUNDDOWN((P$70-$B87)/$D$33,0)&lt;1,0,IF(ROUNDDOWN((P$70-$B87)/$D$33,0)&lt;2,0.5,IF(ROUNDDOWN((P$70-$B87)/$D$33,0)&lt;3,0.75,IF(ROUNDDOWN((P$70-$B87)/$D$33,0)&lt;4,0.875,0.9375)))))+HLOOKUP($B87,$C$70:$Q$71,2,FALSE)*$C$34*(1-IF(ROUNDDOWN((P$70-$B87)/$D$34,0)&lt;1,0,IF(ROUNDDOWN((P$70-$B87)/$D$34,0)&lt;2,0.5,IF(ROUNDDOWN((P$70-$B87)/$D$34,0)&lt;3,0.75,IF(ROUNDDOWN((P$70-$B87)/$D$34,0)&lt;4,0.875,0.9375)))))+HLOOKUP($B87,$C$70:$Q$71,2,FALSE)*$C$35*(1-IF(ROUNDDOWN((P$70-$B87)/$D$35,0)&lt;1,0,IF(ROUNDDOWN((P$70-$B87)/$D$35,0)&lt;2,0.5,IF(ROUNDDOWN((P$70-$B87)/$D$35,0)&lt;3,0.75,IF(ROUNDDOWN((P$70-$B87)/$D$35,0)&lt;4,0.875,0.9375)))))+HLOOKUP($B87,$C$70:$Q$71,2,FALSE)*$C$36*(1-IF(ROUNDDOWN((P$70-$B87)/$D$36,0)&lt;1,0,IF(ROUNDDOWN((P$70-$B87)/$D$36,0)&lt;2,0.5,IF(ROUNDDOWN((P$70-$B87)/$D$36,0)&lt;3,0.75,IF(ROUNDDOWN((P$70-$B87)/$D$36,0)&lt;4,0.875,0.9375)))))+HLOOKUP($B87,$C$70:$Q$71,2,FALSE)*$C$37*(1-IF(ROUNDDOWN((P$70-$B87)/$D$37,0)&lt;1,0,IF(ROUNDDOWN((P$70-$B87)/$D$37,0)&lt;2,0.5,IF(ROUNDDOWN((P$70-$B87)/$D$37,0)&lt;3,0.75,IF(ROUNDDOWN((P$70-$B87)/$D$37,0)&lt;4,0.875,0.9375)))))</f>
        <v>0.40656844576748163</v>
      </c>
      <c r="Q87" s="125">
        <f>HLOOKUP($B87,$C$70:$Q$71,2,FALSE)*$C$32*(1-IF(ROUNDDOWN((Q$70-$B87)/$D$32,0)&lt;1,0,IF(ROUNDDOWN((Q$70-$B87)/$D$32,0)&lt;2,0.5,IF(ROUNDDOWN((Q$70-$B87)/$D$32,0)&lt;3,0.75,IF(ROUNDDOWN((Q$70-$B87)/$D$32,0)&lt;4,0.875,0.9375)))))+HLOOKUP($B87,$C$70:$Q$71,2,FALSE)*$C$33*(1-IF(ROUNDDOWN((Q$70-$B87)/$D$33,0)&lt;1,0,IF(ROUNDDOWN((Q$70-$B87)/$D$33,0)&lt;2,0.5,IF(ROUNDDOWN((Q$70-$B87)/$D$33,0)&lt;3,0.75,IF(ROUNDDOWN((Q$70-$B87)/$D$33,0)&lt;4,0.875,0.9375)))))+HLOOKUP($B87,$C$70:$Q$71,2,FALSE)*$C$34*(1-IF(ROUNDDOWN((Q$70-$B87)/$D$34,0)&lt;1,0,IF(ROUNDDOWN((Q$70-$B87)/$D$34,0)&lt;2,0.5,IF(ROUNDDOWN((Q$70-$B87)/$D$34,0)&lt;3,0.75,IF(ROUNDDOWN((Q$70-$B87)/$D$34,0)&lt;4,0.875,0.9375)))))+HLOOKUP($B87,$C$70:$Q$71,2,FALSE)*$C$35*(1-IF(ROUNDDOWN((Q$70-$B87)/$D$35,0)&lt;1,0,IF(ROUNDDOWN((Q$70-$B87)/$D$35,0)&lt;2,0.5,IF(ROUNDDOWN((Q$70-$B87)/$D$35,0)&lt;3,0.75,IF(ROUNDDOWN((Q$70-$B87)/$D$35,0)&lt;4,0.875,0.9375)))))+HLOOKUP($B87,$C$70:$Q$71,2,FALSE)*$C$36*(1-IF(ROUNDDOWN((Q$70-$B87)/$D$36,0)&lt;1,0,IF(ROUNDDOWN((Q$70-$B87)/$D$36,0)&lt;2,0.5,IF(ROUNDDOWN((Q$70-$B87)/$D$36,0)&lt;3,0.75,IF(ROUNDDOWN((Q$70-$B87)/$D$36,0)&lt;4,0.875,0.9375)))))+HLOOKUP($B87,$C$70:$Q$71,2,FALSE)*$C$37*(1-IF(ROUNDDOWN((Q$70-$B87)/$D$37,0)&lt;1,0,IF(ROUNDDOWN((Q$70-$B87)/$D$37,0)&lt;2,0.5,IF(ROUNDDOWN((Q$70-$B87)/$D$37,0)&lt;3,0.75,IF(ROUNDDOWN((Q$70-$B87)/$D$37,0)&lt;4,0.875,0.9375)))))</f>
        <v>0.40656844576748163</v>
      </c>
      <c r="R87" s="19"/>
    </row>
    <row r="88" spans="2:18" x14ac:dyDescent="0.3">
      <c r="B88" s="120">
        <f t="shared" si="13"/>
        <v>2029</v>
      </c>
      <c r="C88" s="125"/>
      <c r="D88" s="125"/>
      <c r="E88" s="125"/>
      <c r="F88" s="125"/>
      <c r="G88" s="125"/>
      <c r="H88" s="125"/>
      <c r="I88" s="125"/>
      <c r="J88" s="125"/>
      <c r="K88" s="125"/>
      <c r="L88" s="125"/>
      <c r="M88" s="125"/>
      <c r="N88" s="125"/>
      <c r="O88" s="125"/>
      <c r="P88" s="125"/>
      <c r="Q88" s="125">
        <f>HLOOKUP($B88,$C$70:$Q$71,2,FALSE)*$C$32*(1-IF(ROUNDDOWN((Q$70-$B88)/$D$32,0)&lt;1,0,IF(ROUNDDOWN((Q$70-$B88)/$D$32,0)&lt;2,0.5,IF(ROUNDDOWN((Q$70-$B88)/$D$32,0)&lt;3,0.75,IF(ROUNDDOWN((Q$70-$B88)/$D$32,0)&lt;4,0.875,0.9375)))))+HLOOKUP($B88,$C$70:$Q$71,2,FALSE)*$C$33*(1-IF(ROUNDDOWN((Q$70-$B88)/$D$33,0)&lt;1,0,IF(ROUNDDOWN((Q$70-$B88)/$D$33,0)&lt;2,0.5,IF(ROUNDDOWN((Q$70-$B88)/$D$33,0)&lt;3,0.75,IF(ROUNDDOWN((Q$70-$B88)/$D$33,0)&lt;4,0.875,0.9375)))))+HLOOKUP($B88,$C$70:$Q$71,2,FALSE)*$C$34*(1-IF(ROUNDDOWN((Q$70-$B88)/$D$34,0)&lt;1,0,IF(ROUNDDOWN((Q$70-$B88)/$D$34,0)&lt;2,0.5,IF(ROUNDDOWN((Q$70-$B88)/$D$34,0)&lt;3,0.75,IF(ROUNDDOWN((Q$70-$B88)/$D$34,0)&lt;4,0.875,0.9375)))))+HLOOKUP($B88,$C$70:$Q$71,2,FALSE)*$C$35*(1-IF(ROUNDDOWN((Q$70-$B88)/$D$35,0)&lt;1,0,IF(ROUNDDOWN((Q$70-$B88)/$D$35,0)&lt;2,0.5,IF(ROUNDDOWN((Q$70-$B88)/$D$35,0)&lt;3,0.75,IF(ROUNDDOWN((Q$70-$B88)/$D$35,0)&lt;4,0.875,0.9375)))))+HLOOKUP($B88,$C$70:$Q$71,2,FALSE)*$C$36*(1-IF(ROUNDDOWN((Q$70-$B88)/$D$36,0)&lt;1,0,IF(ROUNDDOWN((Q$70-$B88)/$D$36,0)&lt;2,0.5,IF(ROUNDDOWN((Q$70-$B88)/$D$36,0)&lt;3,0.75,IF(ROUNDDOWN((Q$70-$B88)/$D$36,0)&lt;4,0.875,0.9375)))))+HLOOKUP($B88,$C$70:$Q$71,2,FALSE)*$C$37*(1-IF(ROUNDDOWN((Q$70-$B88)/$D$37,0)&lt;1,0,IF(ROUNDDOWN((Q$70-$B88)/$D$37,0)&lt;2,0.5,IF(ROUNDDOWN((Q$70-$B88)/$D$37,0)&lt;3,0.75,IF(ROUNDDOWN((Q$70-$B88)/$D$37,0)&lt;4,0.875,0.9375)))))</f>
        <v>0.40656844576748163</v>
      </c>
      <c r="R88" s="19"/>
    </row>
    <row r="89" spans="2:18" x14ac:dyDescent="0.3">
      <c r="B89" s="120">
        <f t="shared" si="13"/>
        <v>2030</v>
      </c>
      <c r="C89" s="125"/>
      <c r="D89" s="125"/>
      <c r="E89" s="125"/>
      <c r="F89" s="125"/>
      <c r="G89" s="125"/>
      <c r="H89" s="125"/>
      <c r="I89" s="125"/>
      <c r="J89" s="125"/>
      <c r="K89" s="125"/>
      <c r="L89" s="125"/>
      <c r="M89" s="125"/>
      <c r="N89" s="125"/>
      <c r="O89" s="125"/>
      <c r="P89" s="125"/>
      <c r="Q89" s="125"/>
      <c r="R89" s="19"/>
    </row>
    <row r="90" spans="2:18" x14ac:dyDescent="0.3">
      <c r="B90" s="20"/>
      <c r="C90" s="126"/>
      <c r="D90" s="126"/>
      <c r="E90" s="126"/>
      <c r="F90" s="126"/>
      <c r="G90" s="126"/>
      <c r="H90" s="126"/>
      <c r="I90" s="126"/>
      <c r="J90" s="126"/>
      <c r="K90" s="126"/>
      <c r="L90" s="126"/>
      <c r="M90" s="126"/>
      <c r="N90" s="126"/>
      <c r="O90" s="126"/>
      <c r="P90" s="126"/>
      <c r="Q90" s="126"/>
      <c r="R90" s="19"/>
    </row>
    <row r="91" spans="2:18" x14ac:dyDescent="0.3">
      <c r="B91" s="127" t="s">
        <v>178</v>
      </c>
      <c r="C91" s="128">
        <f t="shared" ref="C91:Q91" si="14">SUM(C74:C89)</f>
        <v>0.40656844576748163</v>
      </c>
      <c r="D91" s="128">
        <f t="shared" si="14"/>
        <v>0.81313689153496327</v>
      </c>
      <c r="E91" s="128">
        <f t="shared" si="14"/>
        <v>1.2197053373024449</v>
      </c>
      <c r="F91" s="128">
        <f t="shared" si="14"/>
        <v>1.6087913399019249</v>
      </c>
      <c r="G91" s="128">
        <f t="shared" si="14"/>
        <v>1.9978773425014047</v>
      </c>
      <c r="H91" s="128">
        <f t="shared" si="14"/>
        <v>2.3869633451008845</v>
      </c>
      <c r="I91" s="128">
        <f t="shared" si="14"/>
        <v>2.7673081261163639</v>
      </c>
      <c r="J91" s="128">
        <f t="shared" si="14"/>
        <v>3.1476529071318429</v>
      </c>
      <c r="K91" s="128">
        <f t="shared" si="14"/>
        <v>3.5117349503166224</v>
      </c>
      <c r="L91" s="128">
        <f t="shared" si="14"/>
        <v>3.8714463827094021</v>
      </c>
      <c r="M91" s="128">
        <f t="shared" si="14"/>
        <v>4.2148950772714819</v>
      </c>
      <c r="N91" s="128">
        <f t="shared" si="14"/>
        <v>4.5583437718335622</v>
      </c>
      <c r="O91" s="128">
        <f t="shared" si="14"/>
        <v>4.8996071609996417</v>
      </c>
      <c r="P91" s="128">
        <f t="shared" si="14"/>
        <v>5.2408705501657211</v>
      </c>
      <c r="Q91" s="128">
        <f t="shared" si="14"/>
        <v>5.5821339393318015</v>
      </c>
      <c r="R91" s="19"/>
    </row>
    <row r="92" spans="2:18" ht="15" thickBot="1" x14ac:dyDescent="0.35">
      <c r="B92" s="26"/>
      <c r="C92" s="27"/>
      <c r="D92" s="27"/>
      <c r="E92" s="27"/>
      <c r="F92" s="27"/>
      <c r="G92" s="27"/>
      <c r="H92" s="27"/>
      <c r="I92" s="27"/>
      <c r="J92" s="27"/>
      <c r="K92" s="27"/>
      <c r="L92" s="27"/>
      <c r="M92" s="27"/>
      <c r="N92" s="27"/>
      <c r="O92" s="27"/>
      <c r="P92" s="27"/>
      <c r="Q92" s="27"/>
      <c r="R92" s="28"/>
    </row>
  </sheetData>
  <mergeCells count="1">
    <mergeCell ref="F32:O3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92"/>
  <sheetViews>
    <sheetView zoomScale="70" zoomScaleNormal="70" workbookViewId="0">
      <selection activeCell="Y60" sqref="Y60"/>
    </sheetView>
  </sheetViews>
  <sheetFormatPr defaultRowHeight="14.4" x14ac:dyDescent="0.3"/>
  <cols>
    <col min="2" max="2" width="29.6640625" customWidth="1"/>
  </cols>
  <sheetData>
    <row r="1" spans="1:29" ht="23.4" x14ac:dyDescent="0.45">
      <c r="B1" s="79" t="s">
        <v>26</v>
      </c>
      <c r="C1" s="79" t="str">
        <f>'Program Analysis'!C3</f>
        <v>PACE Financing</v>
      </c>
      <c r="D1" s="3"/>
    </row>
    <row r="2" spans="1:29" ht="23.4" x14ac:dyDescent="0.45">
      <c r="B2" s="79" t="s">
        <v>149</v>
      </c>
      <c r="C2" s="79" t="s">
        <v>153</v>
      </c>
      <c r="D2" s="3"/>
    </row>
    <row r="4" spans="1:29" ht="15" thickBot="1" x14ac:dyDescent="0.35"/>
    <row r="5" spans="1:29" ht="18" x14ac:dyDescent="0.35">
      <c r="A5" s="1"/>
      <c r="B5" s="165" t="s">
        <v>247</v>
      </c>
      <c r="C5" s="163"/>
      <c r="D5" s="163"/>
      <c r="E5" s="164"/>
      <c r="F5" s="164"/>
      <c r="G5" s="164"/>
      <c r="H5" s="164"/>
      <c r="I5" s="164"/>
      <c r="J5" s="164"/>
      <c r="K5" s="164"/>
      <c r="L5" s="164"/>
      <c r="M5" s="164"/>
      <c r="N5" s="164"/>
      <c r="O5" s="164"/>
      <c r="P5" s="164"/>
      <c r="Q5" s="164"/>
      <c r="R5" s="166"/>
      <c r="S5" s="3"/>
      <c r="T5" s="110"/>
      <c r="U5" t="s">
        <v>157</v>
      </c>
      <c r="V5" s="3"/>
      <c r="W5" s="3"/>
      <c r="X5" s="3"/>
      <c r="Y5" s="3"/>
      <c r="Z5" s="3"/>
    </row>
    <row r="6" spans="1:29" x14ac:dyDescent="0.3">
      <c r="B6" s="20" t="s">
        <v>158</v>
      </c>
      <c r="C6" s="118" t="s">
        <v>252</v>
      </c>
      <c r="D6" s="118"/>
      <c r="E6" s="12"/>
      <c r="F6" s="12"/>
      <c r="G6" s="12"/>
      <c r="H6" s="3"/>
      <c r="I6" s="3"/>
      <c r="J6" s="3"/>
      <c r="K6" s="3"/>
      <c r="L6" s="3"/>
      <c r="M6" s="3"/>
      <c r="N6" s="3"/>
      <c r="O6" s="3"/>
      <c r="P6" s="3"/>
      <c r="Q6" s="3"/>
      <c r="R6" s="19"/>
      <c r="S6" s="3"/>
      <c r="T6" s="112"/>
      <c r="U6" t="s">
        <v>159</v>
      </c>
      <c r="V6" s="3"/>
      <c r="W6" s="3"/>
      <c r="X6" s="3"/>
      <c r="Y6" s="3"/>
      <c r="Z6" s="3"/>
    </row>
    <row r="7" spans="1:29" x14ac:dyDescent="0.3">
      <c r="B7" s="30"/>
      <c r="C7" s="12"/>
      <c r="D7" s="18"/>
      <c r="E7" s="12"/>
      <c r="F7" s="12"/>
      <c r="G7" s="12"/>
      <c r="H7" s="3"/>
      <c r="I7" s="3"/>
      <c r="J7" s="3"/>
      <c r="K7" s="3"/>
      <c r="L7" s="3"/>
      <c r="M7" s="3"/>
      <c r="N7" s="3"/>
      <c r="O7" s="3"/>
      <c r="P7" s="3"/>
      <c r="Q7" s="3"/>
      <c r="R7" s="19"/>
      <c r="S7" s="3"/>
      <c r="T7" s="113"/>
      <c r="U7" t="s">
        <v>160</v>
      </c>
      <c r="V7" s="3"/>
      <c r="W7" s="3"/>
      <c r="X7" s="3"/>
      <c r="Y7" s="3"/>
      <c r="Z7" s="3"/>
    </row>
    <row r="8" spans="1:29" s="8" customFormat="1" ht="18" x14ac:dyDescent="0.35">
      <c r="B8" s="114"/>
      <c r="C8" s="21">
        <v>2015</v>
      </c>
      <c r="D8" s="21">
        <v>2016</v>
      </c>
      <c r="E8" s="21">
        <v>2017</v>
      </c>
      <c r="F8" s="21">
        <v>2018</v>
      </c>
      <c r="G8" s="21">
        <v>2019</v>
      </c>
      <c r="H8" s="21">
        <v>2020</v>
      </c>
      <c r="I8" s="21">
        <v>2021</v>
      </c>
      <c r="J8" s="21">
        <v>2022</v>
      </c>
      <c r="K8" s="21">
        <v>2023</v>
      </c>
      <c r="L8" s="21">
        <v>2024</v>
      </c>
      <c r="M8" s="21">
        <v>2025</v>
      </c>
      <c r="N8" s="21">
        <v>2026</v>
      </c>
      <c r="O8" s="22">
        <v>2027</v>
      </c>
      <c r="P8" s="22">
        <v>2028</v>
      </c>
      <c r="Q8" s="22">
        <v>2029</v>
      </c>
      <c r="R8" s="24"/>
      <c r="S8" s="23"/>
      <c r="T8" s="23"/>
      <c r="U8" s="23"/>
      <c r="V8" s="23"/>
      <c r="W8" s="23"/>
      <c r="X8" s="23"/>
      <c r="Y8" s="23"/>
      <c r="Z8" s="23"/>
      <c r="AB8" s="14"/>
      <c r="AC8" s="14"/>
    </row>
    <row r="9" spans="1:29" ht="14.4" customHeight="1" x14ac:dyDescent="0.3">
      <c r="B9" s="115" t="s">
        <v>0</v>
      </c>
      <c r="C9" s="10">
        <f>'NR PACE Data'!F21</f>
        <v>544.55156017823367</v>
      </c>
      <c r="D9" s="10">
        <f>'NR PACE Data'!G21</f>
        <v>544.55156017823367</v>
      </c>
      <c r="E9" s="10">
        <f>'NR PACE Data'!H21</f>
        <v>544.55156017823367</v>
      </c>
      <c r="F9" s="10">
        <f>'NR PACE Data'!I21</f>
        <v>638.63439917441224</v>
      </c>
      <c r="G9" s="10">
        <f>'NR PACE Data'!J21</f>
        <v>732.71723817063105</v>
      </c>
      <c r="H9" s="10">
        <f>'NR PACE Data'!K21</f>
        <v>826.80007716680961</v>
      </c>
      <c r="I9" s="10">
        <f>'NR PACE Data'!L21</f>
        <v>920.88291616302854</v>
      </c>
      <c r="J9" s="10">
        <f>'NR PACE Data'!M21</f>
        <v>1014.9657551592072</v>
      </c>
      <c r="K9" s="10">
        <f>'NR PACE Data'!N21</f>
        <v>1109.0485941554261</v>
      </c>
      <c r="L9" s="10">
        <f>'NR PACE Data'!O21</f>
        <v>1203.1314331516048</v>
      </c>
      <c r="M9" s="10">
        <f>'NR PACE Data'!P21</f>
        <v>1297.2142721478237</v>
      </c>
      <c r="N9" s="10">
        <f>'NR PACE Data'!Q21</f>
        <v>1391.2971111440022</v>
      </c>
      <c r="O9" s="10">
        <f>'NR PACE Data'!R21</f>
        <v>1485.3799501402211</v>
      </c>
      <c r="P9" s="10">
        <f>'NR PACE Data'!S21</f>
        <v>1579.4627891363998</v>
      </c>
      <c r="Q9" s="10">
        <f>'NR PACE Data'!T21</f>
        <v>1673.5456281326187</v>
      </c>
      <c r="R9" s="19"/>
      <c r="S9" s="3"/>
      <c r="T9" s="3"/>
      <c r="U9" s="3"/>
      <c r="V9" s="3"/>
      <c r="W9" s="29"/>
      <c r="X9" s="3"/>
      <c r="Y9" s="3"/>
      <c r="Z9" s="3"/>
      <c r="AB9" s="5"/>
      <c r="AC9" s="5"/>
    </row>
    <row r="10" spans="1:29" ht="15" thickBot="1" x14ac:dyDescent="0.35">
      <c r="B10" s="116" t="s">
        <v>4</v>
      </c>
      <c r="C10" s="117">
        <f>'NR PACE Data'!F22</f>
        <v>0.83326866241900643</v>
      </c>
      <c r="D10" s="117">
        <f>'NR PACE Data'!G22</f>
        <v>0.83326866241900643</v>
      </c>
      <c r="E10" s="117">
        <f>'NR PACE Data'!H22</f>
        <v>0.83326866241900643</v>
      </c>
      <c r="F10" s="117">
        <f>'NR PACE Data'!I22</f>
        <v>0.97723350824787347</v>
      </c>
      <c r="G10" s="117">
        <f>'NR PACE Data'!J22</f>
        <v>1.121198354076802</v>
      </c>
      <c r="H10" s="117">
        <f>'NR PACE Data'!K22</f>
        <v>1.2651631999056692</v>
      </c>
      <c r="I10" s="117">
        <f>'NR PACE Data'!L22</f>
        <v>1.409128045734598</v>
      </c>
      <c r="J10" s="117">
        <f>'NR PACE Data'!M22</f>
        <v>1.5530928915634652</v>
      </c>
      <c r="K10" s="117">
        <f>'NR PACE Data'!N22</f>
        <v>1.6970577373923941</v>
      </c>
      <c r="L10" s="117">
        <f>'NR PACE Data'!O22</f>
        <v>1.8410225832212612</v>
      </c>
      <c r="M10" s="117">
        <f>'NR PACE Data'!P22</f>
        <v>1.9849874290501901</v>
      </c>
      <c r="N10" s="117">
        <f>'NR PACE Data'!Q22</f>
        <v>2.1289522748790572</v>
      </c>
      <c r="O10" s="117">
        <f>'NR PACE Data'!R22</f>
        <v>2.2729171207079859</v>
      </c>
      <c r="P10" s="117">
        <f>'NR PACE Data'!S22</f>
        <v>2.4168819665368533</v>
      </c>
      <c r="Q10" s="117">
        <f>'NR PACE Data'!T22</f>
        <v>2.5608468123657824</v>
      </c>
      <c r="R10" s="28"/>
      <c r="S10" s="3"/>
      <c r="T10" s="3"/>
      <c r="U10" s="3"/>
      <c r="V10" s="3"/>
      <c r="W10" s="29"/>
      <c r="X10" s="3"/>
      <c r="Y10" s="3"/>
      <c r="Z10" s="3"/>
    </row>
    <row r="11" spans="1:29" x14ac:dyDescent="0.3">
      <c r="B11" s="7"/>
      <c r="C11" s="7"/>
      <c r="D11" s="7"/>
      <c r="E11" s="7"/>
      <c r="F11" s="31"/>
      <c r="G11" s="31"/>
      <c r="H11" s="32"/>
      <c r="I11" s="32"/>
      <c r="J11" s="32"/>
      <c r="K11" s="32"/>
      <c r="L11" s="32"/>
      <c r="M11" s="32"/>
      <c r="N11" s="32"/>
      <c r="O11" s="32"/>
      <c r="P11" s="32"/>
      <c r="Q11" s="32"/>
      <c r="R11" s="32"/>
      <c r="S11" s="32"/>
      <c r="T11" s="32"/>
      <c r="U11" s="32"/>
      <c r="V11" s="32"/>
      <c r="W11" s="29"/>
      <c r="X11" s="3"/>
      <c r="Y11" s="3"/>
      <c r="Z11" s="3"/>
    </row>
    <row r="12" spans="1:29" ht="15" thickBot="1" x14ac:dyDescent="0.35">
      <c r="B12" s="3"/>
      <c r="C12" s="3"/>
      <c r="D12" s="3"/>
      <c r="E12" s="3"/>
      <c r="F12" s="3"/>
      <c r="G12" s="3"/>
      <c r="H12" s="3"/>
      <c r="I12" s="3"/>
      <c r="J12" s="3"/>
      <c r="K12" s="3"/>
      <c r="L12" s="3"/>
      <c r="M12" s="3"/>
      <c r="N12" s="3"/>
      <c r="O12" s="3"/>
      <c r="P12" s="3"/>
      <c r="Q12" s="3"/>
      <c r="R12" s="3"/>
      <c r="S12" s="3"/>
      <c r="T12" s="3"/>
      <c r="U12" s="3"/>
      <c r="V12" s="3"/>
      <c r="W12" s="3"/>
      <c r="X12" s="3"/>
      <c r="Y12" s="3"/>
      <c r="Z12" s="3"/>
    </row>
    <row r="13" spans="1:29" ht="18" x14ac:dyDescent="0.35">
      <c r="A13" s="1"/>
      <c r="B13" s="167" t="s">
        <v>248</v>
      </c>
      <c r="C13" s="168"/>
      <c r="D13" s="168"/>
      <c r="E13" s="169"/>
      <c r="F13" s="169"/>
      <c r="G13" s="169"/>
      <c r="H13" s="169"/>
      <c r="I13" s="169"/>
      <c r="J13" s="169"/>
      <c r="K13" s="169"/>
      <c r="L13" s="169"/>
      <c r="M13" s="169"/>
      <c r="N13" s="169"/>
      <c r="O13" s="169"/>
      <c r="P13" s="169"/>
      <c r="Q13" s="169"/>
      <c r="R13" s="170"/>
      <c r="S13" s="3"/>
      <c r="T13" s="3"/>
      <c r="U13" s="3"/>
      <c r="V13" s="3"/>
      <c r="W13" s="3"/>
      <c r="X13" s="3"/>
      <c r="Y13" s="3"/>
      <c r="Z13" s="3"/>
    </row>
    <row r="14" spans="1:29" x14ac:dyDescent="0.3">
      <c r="B14" s="20" t="s">
        <v>161</v>
      </c>
      <c r="C14" s="118" t="s">
        <v>251</v>
      </c>
      <c r="D14" s="119"/>
      <c r="E14" s="3"/>
      <c r="F14" s="3"/>
      <c r="G14" s="3"/>
      <c r="H14" s="3"/>
      <c r="I14" s="3"/>
      <c r="J14" s="3"/>
      <c r="K14" s="3"/>
      <c r="L14" s="3"/>
      <c r="M14" s="3"/>
      <c r="N14" s="3"/>
      <c r="O14" s="3"/>
      <c r="P14" s="3"/>
      <c r="Q14" s="3"/>
      <c r="R14" s="19"/>
      <c r="S14" s="3"/>
      <c r="T14" s="3"/>
      <c r="U14" s="3"/>
      <c r="V14" s="3"/>
      <c r="W14" s="3"/>
      <c r="X14" s="3"/>
      <c r="Y14" s="3"/>
      <c r="Z14" s="3"/>
    </row>
    <row r="15" spans="1:29" x14ac:dyDescent="0.3">
      <c r="B15" s="20"/>
      <c r="C15" s="111"/>
      <c r="D15" s="3"/>
      <c r="E15" s="3"/>
      <c r="F15" s="3"/>
      <c r="G15" s="3"/>
      <c r="H15" s="3"/>
      <c r="I15" s="3"/>
      <c r="J15" s="3"/>
      <c r="K15" s="3"/>
      <c r="L15" s="3"/>
      <c r="M15" s="3"/>
      <c r="N15" s="3"/>
      <c r="O15" s="3"/>
      <c r="P15" s="3"/>
      <c r="Q15" s="3"/>
      <c r="R15" s="19"/>
      <c r="S15" s="3"/>
      <c r="T15" s="3"/>
      <c r="U15" s="3"/>
      <c r="V15" s="3"/>
      <c r="W15" s="3"/>
      <c r="X15" s="3"/>
      <c r="Y15" s="3"/>
      <c r="Z15" s="3"/>
    </row>
    <row r="16" spans="1:29" s="8" customFormat="1" ht="18" x14ac:dyDescent="0.35">
      <c r="B16" s="114"/>
      <c r="C16" s="21">
        <v>2015</v>
      </c>
      <c r="D16" s="21">
        <v>2016</v>
      </c>
      <c r="E16" s="21">
        <v>2017</v>
      </c>
      <c r="F16" s="21">
        <v>2018</v>
      </c>
      <c r="G16" s="21">
        <v>2019</v>
      </c>
      <c r="H16" s="21">
        <v>2020</v>
      </c>
      <c r="I16" s="21">
        <v>2021</v>
      </c>
      <c r="J16" s="21">
        <v>2022</v>
      </c>
      <c r="K16" s="21">
        <v>2023</v>
      </c>
      <c r="L16" s="21">
        <v>2024</v>
      </c>
      <c r="M16" s="21">
        <v>2025</v>
      </c>
      <c r="N16" s="21">
        <v>2026</v>
      </c>
      <c r="O16" s="22">
        <v>2027</v>
      </c>
      <c r="P16" s="22">
        <v>2028</v>
      </c>
      <c r="Q16" s="22">
        <v>2029</v>
      </c>
      <c r="R16" s="24"/>
      <c r="S16" s="23"/>
      <c r="T16" s="23"/>
      <c r="U16" s="23"/>
      <c r="V16" s="23"/>
      <c r="W16" s="23"/>
      <c r="X16" s="23"/>
      <c r="Y16" s="23"/>
      <c r="Z16" s="23"/>
      <c r="AB16" s="14"/>
      <c r="AC16" s="14"/>
    </row>
    <row r="17" spans="1:29" ht="14.4" customHeight="1" x14ac:dyDescent="0.3">
      <c r="B17" s="115" t="s">
        <v>0</v>
      </c>
      <c r="C17" s="10">
        <f>'NR PACE Data'!F13</f>
        <v>8.9851007429408565</v>
      </c>
      <c r="D17" s="10">
        <f>'NR PACE Data'!G13</f>
        <v>8.9851007429408565</v>
      </c>
      <c r="E17" s="10">
        <f>'NR PACE Data'!H13</f>
        <v>8.9851007429408565</v>
      </c>
      <c r="F17" s="10">
        <f>'NR PACE Data'!I13</f>
        <v>10.450723425884828</v>
      </c>
      <c r="G17" s="10">
        <f>'NR PACE Data'!J13</f>
        <v>11.916346108829222</v>
      </c>
      <c r="H17" s="10">
        <f>'NR PACE Data'!K13</f>
        <v>13.381968791773193</v>
      </c>
      <c r="I17" s="10">
        <f>'NR PACE Data'!L13</f>
        <v>14.847591474717166</v>
      </c>
      <c r="J17" s="10">
        <f>'NR PACE Data'!M13</f>
        <v>16.313214157661136</v>
      </c>
      <c r="K17" s="10">
        <f>'NR PACE Data'!N13</f>
        <v>17.778836840605106</v>
      </c>
      <c r="L17" s="10">
        <f>'NR PACE Data'!O13</f>
        <v>19.244459523549075</v>
      </c>
      <c r="M17" s="10">
        <f>'NR PACE Data'!P13</f>
        <v>20.710082206493048</v>
      </c>
      <c r="N17" s="10">
        <f>'NR PACE Data'!Q13</f>
        <v>22.175704889437444</v>
      </c>
      <c r="O17" s="10">
        <f>'NR PACE Data'!R13</f>
        <v>23.641327572381414</v>
      </c>
      <c r="P17" s="10">
        <f>'NR PACE Data'!S13</f>
        <v>25.106950255325383</v>
      </c>
      <c r="Q17" s="10">
        <f>'NR PACE Data'!T13</f>
        <v>26.572572938269357</v>
      </c>
      <c r="R17" s="19"/>
      <c r="S17" s="3"/>
      <c r="T17" s="3"/>
      <c r="U17" s="3"/>
      <c r="V17" s="3"/>
      <c r="W17" s="25"/>
      <c r="X17" s="3"/>
      <c r="Y17" s="3"/>
      <c r="Z17" s="3"/>
      <c r="AB17" s="5"/>
      <c r="AC17" s="5"/>
    </row>
    <row r="18" spans="1:29" ht="14.4" customHeight="1" thickBot="1" x14ac:dyDescent="0.35">
      <c r="B18" s="116" t="s">
        <v>4</v>
      </c>
      <c r="C18" s="117">
        <f>'NR PACE Data'!F14</f>
        <v>1.3748932929913606E-2</v>
      </c>
      <c r="D18" s="117">
        <f>'NR PACE Data'!G14</f>
        <v>1.3748932929913606E-2</v>
      </c>
      <c r="E18" s="117">
        <f>'NR PACE Data'!H14</f>
        <v>1.3748932929913606E-2</v>
      </c>
      <c r="F18" s="117">
        <f>'NR PACE Data'!I14</f>
        <v>1.5991617630381559E-2</v>
      </c>
      <c r="G18" s="117">
        <f>'NR PACE Data'!J14</f>
        <v>1.8234302330850157E-2</v>
      </c>
      <c r="H18" s="117">
        <f>'NR PACE Data'!K14</f>
        <v>2.047698703131811E-2</v>
      </c>
      <c r="I18" s="117">
        <f>'NR PACE Data'!L14</f>
        <v>2.2719671731786066E-2</v>
      </c>
      <c r="J18" s="117">
        <f>'NR PACE Data'!M14</f>
        <v>2.4962356432254019E-2</v>
      </c>
      <c r="K18" s="117">
        <f>'NR PACE Data'!N14</f>
        <v>2.7205041132721972E-2</v>
      </c>
      <c r="L18" s="117">
        <f>'NR PACE Data'!O14</f>
        <v>2.9447725833189924E-2</v>
      </c>
      <c r="M18" s="117">
        <f>'NR PACE Data'!P14</f>
        <v>3.1690410533657877E-2</v>
      </c>
      <c r="N18" s="117">
        <f>'NR PACE Data'!Q14</f>
        <v>3.3933095234126479E-2</v>
      </c>
      <c r="O18" s="117">
        <f>'NR PACE Data'!R14</f>
        <v>3.6175779934594428E-2</v>
      </c>
      <c r="P18" s="117">
        <f>'NR PACE Data'!S14</f>
        <v>3.8418464635062377E-2</v>
      </c>
      <c r="Q18" s="117">
        <f>'NR PACE Data'!T14</f>
        <v>4.0661149335530333E-2</v>
      </c>
      <c r="R18" s="28"/>
      <c r="S18" s="3"/>
      <c r="T18" s="3"/>
      <c r="U18" s="3"/>
      <c r="V18" s="3"/>
      <c r="W18" s="25"/>
      <c r="X18" s="3"/>
      <c r="Y18" s="3"/>
      <c r="Z18" s="3"/>
      <c r="AB18" s="5"/>
      <c r="AC18" s="5"/>
    </row>
    <row r="19" spans="1:29" x14ac:dyDescent="0.3">
      <c r="B19" s="3"/>
      <c r="C19" s="3"/>
      <c r="D19" s="3"/>
      <c r="E19" s="3"/>
      <c r="F19" s="3"/>
      <c r="G19" s="3"/>
      <c r="H19" s="3"/>
      <c r="I19" s="3"/>
      <c r="J19" s="3"/>
      <c r="K19" s="3"/>
      <c r="L19" s="3"/>
      <c r="M19" s="3"/>
      <c r="N19" s="3"/>
      <c r="O19" s="3"/>
      <c r="P19" s="3"/>
      <c r="Q19" s="3"/>
      <c r="R19" s="3"/>
      <c r="S19" s="3"/>
      <c r="T19" s="3"/>
      <c r="U19" s="3"/>
      <c r="V19" s="3"/>
      <c r="W19" s="3"/>
      <c r="X19" s="3"/>
      <c r="Y19" s="3"/>
      <c r="Z19" s="3"/>
    </row>
    <row r="20" spans="1:29" ht="15" thickBot="1" x14ac:dyDescent="0.35">
      <c r="B20" s="3"/>
      <c r="C20" s="3"/>
      <c r="D20" s="3"/>
      <c r="E20" s="3"/>
      <c r="F20" s="3"/>
      <c r="G20" s="3"/>
      <c r="H20" s="3"/>
      <c r="I20" s="3"/>
      <c r="J20" s="3"/>
      <c r="K20" s="3"/>
      <c r="L20" s="3"/>
      <c r="M20" s="3"/>
      <c r="N20" s="3"/>
      <c r="O20" s="3"/>
      <c r="P20" s="3"/>
      <c r="Q20" s="3"/>
      <c r="R20" s="3"/>
      <c r="S20" s="3"/>
      <c r="T20" s="3"/>
      <c r="U20" s="3"/>
      <c r="V20" s="3"/>
      <c r="W20" s="3"/>
      <c r="X20" s="3"/>
      <c r="Y20" s="3"/>
      <c r="Z20" s="3"/>
    </row>
    <row r="21" spans="1:29" ht="18" x14ac:dyDescent="0.35">
      <c r="A21" s="1"/>
      <c r="B21" s="33" t="s">
        <v>179</v>
      </c>
      <c r="C21" s="16"/>
      <c r="D21" s="16"/>
      <c r="E21" s="16"/>
      <c r="F21" s="16"/>
      <c r="G21" s="16"/>
      <c r="H21" s="16"/>
      <c r="I21" s="16"/>
      <c r="J21" s="16"/>
      <c r="K21" s="16"/>
      <c r="L21" s="16"/>
      <c r="M21" s="16"/>
      <c r="N21" s="16"/>
      <c r="O21" s="16"/>
      <c r="P21" s="16"/>
      <c r="Q21" s="16"/>
      <c r="R21" s="17"/>
      <c r="S21" s="3"/>
      <c r="T21" s="3"/>
      <c r="U21" s="3"/>
      <c r="V21" s="3"/>
      <c r="W21" s="3"/>
      <c r="X21" s="3"/>
      <c r="Y21" s="3"/>
      <c r="Z21" s="3"/>
    </row>
    <row r="22" spans="1:29" x14ac:dyDescent="0.3">
      <c r="B22" s="20" t="s">
        <v>161</v>
      </c>
      <c r="C22" s="118">
        <v>0.04</v>
      </c>
      <c r="D22" s="119" t="s">
        <v>163</v>
      </c>
      <c r="E22" s="3"/>
      <c r="F22" s="3"/>
      <c r="G22" s="3"/>
      <c r="H22" s="3"/>
      <c r="I22" s="3"/>
      <c r="J22" s="3"/>
      <c r="K22" s="3"/>
      <c r="L22" s="3"/>
      <c r="M22" s="3"/>
      <c r="N22" s="3"/>
      <c r="O22" s="3"/>
      <c r="P22" s="3"/>
      <c r="Q22" s="3"/>
      <c r="R22" s="19"/>
      <c r="S22" s="3"/>
      <c r="T22" s="3"/>
      <c r="U22" s="3"/>
      <c r="V22" s="3"/>
      <c r="W22" s="3"/>
      <c r="X22" s="3"/>
      <c r="Y22" s="3"/>
      <c r="Z22" s="3"/>
    </row>
    <row r="23" spans="1:29" x14ac:dyDescent="0.3">
      <c r="B23" s="20"/>
      <c r="C23" s="111"/>
      <c r="D23" s="3"/>
      <c r="E23" s="3"/>
      <c r="F23" s="3"/>
      <c r="G23" s="3"/>
      <c r="H23" s="3"/>
      <c r="I23" s="3"/>
      <c r="J23" s="3"/>
      <c r="K23" s="3"/>
      <c r="L23" s="3"/>
      <c r="M23" s="3"/>
      <c r="N23" s="3"/>
      <c r="O23" s="3"/>
      <c r="P23" s="3"/>
      <c r="Q23" s="3"/>
      <c r="R23" s="19"/>
      <c r="S23" s="3"/>
      <c r="T23" s="3"/>
      <c r="U23" s="3"/>
      <c r="V23" s="3"/>
      <c r="W23" s="3"/>
      <c r="X23" s="3"/>
      <c r="Y23" s="3"/>
      <c r="Z23" s="3"/>
    </row>
    <row r="24" spans="1:29" s="8" customFormat="1" ht="18" x14ac:dyDescent="0.35">
      <c r="B24" s="114"/>
      <c r="C24" s="21">
        <v>2015</v>
      </c>
      <c r="D24" s="21">
        <v>2016</v>
      </c>
      <c r="E24" s="21">
        <v>2017</v>
      </c>
      <c r="F24" s="21">
        <v>2018</v>
      </c>
      <c r="G24" s="21">
        <v>2019</v>
      </c>
      <c r="H24" s="21">
        <v>2020</v>
      </c>
      <c r="I24" s="21">
        <v>2021</v>
      </c>
      <c r="J24" s="21">
        <v>2022</v>
      </c>
      <c r="K24" s="21">
        <v>2023</v>
      </c>
      <c r="L24" s="21">
        <v>2024</v>
      </c>
      <c r="M24" s="21">
        <v>2025</v>
      </c>
      <c r="N24" s="21">
        <v>2026</v>
      </c>
      <c r="O24" s="22">
        <v>2027</v>
      </c>
      <c r="P24" s="22">
        <v>2028</v>
      </c>
      <c r="Q24" s="22">
        <v>2029</v>
      </c>
      <c r="R24" s="24"/>
      <c r="S24" s="23"/>
      <c r="T24" s="23"/>
      <c r="U24" s="23"/>
      <c r="V24" s="23"/>
      <c r="W24" s="23"/>
      <c r="X24" s="23"/>
      <c r="Y24" s="23"/>
      <c r="Z24" s="23"/>
      <c r="AB24" s="14"/>
      <c r="AC24" s="14"/>
    </row>
    <row r="25" spans="1:29" ht="14.4" customHeight="1" x14ac:dyDescent="0.3">
      <c r="B25" s="115" t="s">
        <v>0</v>
      </c>
      <c r="C25" s="10">
        <f>SUM(C9,C17)*(1-$C$22)</f>
        <v>531.39519448432748</v>
      </c>
      <c r="D25" s="10">
        <f t="shared" ref="D25:Q25" si="0">SUM(D9,D17)*(1-$C$22)</f>
        <v>531.39519448432748</v>
      </c>
      <c r="E25" s="10">
        <f t="shared" si="0"/>
        <v>531.39519448432748</v>
      </c>
      <c r="F25" s="10">
        <f t="shared" si="0"/>
        <v>623.12171769628515</v>
      </c>
      <c r="G25" s="10">
        <f t="shared" si="0"/>
        <v>714.84824090828181</v>
      </c>
      <c r="H25" s="10">
        <f t="shared" si="0"/>
        <v>806.57476412023937</v>
      </c>
      <c r="I25" s="10">
        <f t="shared" si="0"/>
        <v>898.30128733223592</v>
      </c>
      <c r="J25" s="10">
        <f t="shared" si="0"/>
        <v>990.02781054419358</v>
      </c>
      <c r="K25" s="10">
        <f t="shared" si="0"/>
        <v>1081.7543337561901</v>
      </c>
      <c r="L25" s="10">
        <f t="shared" si="0"/>
        <v>1173.4808569681477</v>
      </c>
      <c r="M25" s="10">
        <f t="shared" si="0"/>
        <v>1265.2073801801441</v>
      </c>
      <c r="N25" s="10">
        <f t="shared" si="0"/>
        <v>1356.9339033921019</v>
      </c>
      <c r="O25" s="10">
        <f t="shared" si="0"/>
        <v>1448.6604266040983</v>
      </c>
      <c r="P25" s="10">
        <f t="shared" si="0"/>
        <v>1540.3869498160561</v>
      </c>
      <c r="Q25" s="10">
        <f t="shared" si="0"/>
        <v>1632.1134730280526</v>
      </c>
      <c r="R25" s="19"/>
      <c r="S25" s="3"/>
      <c r="T25" s="3"/>
      <c r="U25" s="3"/>
      <c r="V25" s="3"/>
      <c r="W25" s="25"/>
      <c r="X25" s="3"/>
      <c r="Y25" s="3"/>
      <c r="Z25" s="3"/>
      <c r="AB25" s="5"/>
      <c r="AC25" s="5"/>
    </row>
    <row r="26" spans="1:29" ht="14.4" customHeight="1" thickBot="1" x14ac:dyDescent="0.35">
      <c r="B26" s="116" t="s">
        <v>4</v>
      </c>
      <c r="C26" s="117">
        <f t="shared" ref="C26:Q26" si="1">SUM(C10,C18)*(1-$C$22)</f>
        <v>0.81313689153496327</v>
      </c>
      <c r="D26" s="117">
        <f t="shared" si="1"/>
        <v>0.81313689153496327</v>
      </c>
      <c r="E26" s="117">
        <f t="shared" si="1"/>
        <v>0.81313689153496327</v>
      </c>
      <c r="F26" s="117">
        <f t="shared" si="1"/>
        <v>0.95349612084312485</v>
      </c>
      <c r="G26" s="117">
        <f t="shared" si="1"/>
        <v>1.0938553501513462</v>
      </c>
      <c r="H26" s="117">
        <f t="shared" si="1"/>
        <v>1.2342145794595079</v>
      </c>
      <c r="I26" s="117">
        <f t="shared" si="1"/>
        <v>1.3745738087677288</v>
      </c>
      <c r="J26" s="117">
        <f t="shared" si="1"/>
        <v>1.5149330380758905</v>
      </c>
      <c r="K26" s="117">
        <f t="shared" si="1"/>
        <v>1.6552922673841115</v>
      </c>
      <c r="L26" s="117">
        <f t="shared" si="1"/>
        <v>1.7956514966922732</v>
      </c>
      <c r="M26" s="117">
        <f t="shared" si="1"/>
        <v>1.936010726000494</v>
      </c>
      <c r="N26" s="117">
        <f t="shared" si="1"/>
        <v>2.0763699553086563</v>
      </c>
      <c r="O26" s="117">
        <f t="shared" si="1"/>
        <v>2.2167291846168768</v>
      </c>
      <c r="P26" s="117">
        <f t="shared" si="1"/>
        <v>2.3570884139250392</v>
      </c>
      <c r="Q26" s="117">
        <f t="shared" si="1"/>
        <v>2.4974476432332602</v>
      </c>
      <c r="R26" s="28"/>
      <c r="S26" s="3"/>
      <c r="T26" s="3"/>
      <c r="U26" s="3"/>
      <c r="V26" s="3"/>
      <c r="W26" s="25"/>
      <c r="X26" s="3"/>
      <c r="Y26" s="3"/>
      <c r="Z26" s="3"/>
      <c r="AB26" s="5"/>
      <c r="AC26" s="5"/>
    </row>
    <row r="27" spans="1:29" x14ac:dyDescent="0.3">
      <c r="B27" s="3"/>
      <c r="C27" s="3"/>
      <c r="D27" s="3"/>
      <c r="E27" s="3"/>
      <c r="F27" s="3"/>
      <c r="G27" s="3"/>
      <c r="H27" s="3"/>
      <c r="I27" s="3"/>
      <c r="J27" s="3"/>
      <c r="K27" s="3"/>
      <c r="L27" s="3"/>
      <c r="M27" s="3"/>
      <c r="N27" s="3"/>
      <c r="O27" s="3"/>
      <c r="P27" s="3"/>
      <c r="Q27" s="3"/>
      <c r="R27" s="3"/>
      <c r="S27" s="3"/>
      <c r="T27" s="3"/>
      <c r="U27" s="3"/>
      <c r="V27" s="3"/>
      <c r="W27" s="3"/>
      <c r="X27" s="3"/>
      <c r="Y27" s="3"/>
      <c r="Z27" s="3"/>
    </row>
    <row r="28" spans="1:29" ht="15" thickBot="1" x14ac:dyDescent="0.35">
      <c r="B28" s="3"/>
      <c r="C28" s="3"/>
      <c r="D28" s="3"/>
      <c r="E28" s="3"/>
      <c r="F28" s="3"/>
      <c r="G28" s="3"/>
      <c r="H28" s="3"/>
      <c r="I28" s="3"/>
      <c r="J28" s="3"/>
      <c r="K28" s="3"/>
      <c r="L28" s="3"/>
      <c r="M28" s="3"/>
      <c r="N28" s="3"/>
      <c r="O28" s="3"/>
      <c r="P28" s="3"/>
      <c r="Q28" s="3"/>
      <c r="R28" s="3"/>
      <c r="S28" s="3"/>
      <c r="T28" s="3"/>
      <c r="U28" s="3"/>
      <c r="V28" s="3"/>
      <c r="W28" s="3"/>
      <c r="X28" s="3"/>
      <c r="Y28" s="3"/>
      <c r="Z28" s="3"/>
    </row>
    <row r="29" spans="1:29" ht="18" x14ac:dyDescent="0.35">
      <c r="A29" s="1"/>
      <c r="B29" s="33" t="s">
        <v>164</v>
      </c>
      <c r="C29" s="16"/>
      <c r="D29" s="16"/>
      <c r="E29" s="16"/>
      <c r="F29" s="16"/>
      <c r="G29" s="16"/>
      <c r="H29" s="16"/>
      <c r="I29" s="16"/>
      <c r="J29" s="16"/>
      <c r="K29" s="16"/>
      <c r="L29" s="16"/>
      <c r="M29" s="16"/>
      <c r="N29" s="16"/>
      <c r="O29" s="16"/>
      <c r="P29" s="16"/>
      <c r="Q29" s="16"/>
      <c r="R29" s="17"/>
      <c r="S29" s="3"/>
      <c r="T29" s="3"/>
      <c r="U29" s="3"/>
      <c r="V29" s="3"/>
      <c r="W29" s="3"/>
      <c r="X29" s="3"/>
      <c r="Y29" s="3"/>
      <c r="Z29" s="3"/>
    </row>
    <row r="30" spans="1:29" x14ac:dyDescent="0.3">
      <c r="B30" s="20"/>
      <c r="C30" s="3"/>
      <c r="D30" s="3"/>
      <c r="E30" s="3"/>
      <c r="F30" s="3"/>
      <c r="G30" s="3"/>
      <c r="H30" s="3"/>
      <c r="I30" s="3"/>
      <c r="J30" s="3"/>
      <c r="K30" s="3"/>
      <c r="L30" s="3"/>
      <c r="M30" s="3"/>
      <c r="N30" s="3"/>
      <c r="O30" s="3"/>
      <c r="P30" s="3"/>
      <c r="Q30" s="3"/>
      <c r="R30" s="19"/>
    </row>
    <row r="31" spans="1:29" x14ac:dyDescent="0.3">
      <c r="B31" s="120" t="s">
        <v>28</v>
      </c>
      <c r="C31" s="41" t="s">
        <v>165</v>
      </c>
      <c r="D31" s="41" t="s">
        <v>166</v>
      </c>
      <c r="E31" s="3"/>
      <c r="F31" s="3"/>
      <c r="G31" s="3"/>
      <c r="H31" s="3"/>
      <c r="I31" s="3"/>
      <c r="J31" s="3"/>
      <c r="K31" s="3"/>
      <c r="L31" s="3"/>
      <c r="M31" s="3"/>
      <c r="N31" s="3"/>
      <c r="O31" s="3"/>
      <c r="P31" s="3"/>
      <c r="Q31" s="3"/>
      <c r="R31" s="19"/>
    </row>
    <row r="32" spans="1:29" x14ac:dyDescent="0.3">
      <c r="B32" s="120" t="s">
        <v>167</v>
      </c>
      <c r="C32" s="121">
        <v>0.215</v>
      </c>
      <c r="D32" s="122">
        <v>15</v>
      </c>
      <c r="E32" s="3"/>
      <c r="F32" s="191" t="s">
        <v>168</v>
      </c>
      <c r="G32" s="191"/>
      <c r="H32" s="191"/>
      <c r="I32" s="191"/>
      <c r="J32" s="191"/>
      <c r="K32" s="191"/>
      <c r="L32" s="191"/>
      <c r="M32" s="191"/>
      <c r="N32" s="191"/>
      <c r="O32" s="191"/>
      <c r="P32" s="3"/>
      <c r="Q32" s="3"/>
      <c r="R32" s="19"/>
    </row>
    <row r="33" spans="2:18" x14ac:dyDescent="0.3">
      <c r="B33" s="120" t="s">
        <v>169</v>
      </c>
      <c r="C33" s="121">
        <v>3.2000000000000001E-2</v>
      </c>
      <c r="D33" s="122">
        <v>8</v>
      </c>
      <c r="E33" s="3"/>
      <c r="F33" s="191"/>
      <c r="G33" s="191"/>
      <c r="H33" s="191"/>
      <c r="I33" s="191"/>
      <c r="J33" s="191"/>
      <c r="K33" s="191"/>
      <c r="L33" s="191"/>
      <c r="M33" s="191"/>
      <c r="N33" s="191"/>
      <c r="O33" s="191"/>
      <c r="P33" s="3"/>
      <c r="Q33" s="3"/>
      <c r="R33" s="19"/>
    </row>
    <row r="34" spans="2:18" x14ac:dyDescent="0.3">
      <c r="B34" s="120" t="s">
        <v>170</v>
      </c>
      <c r="C34" s="121">
        <v>8.5999999999999993E-2</v>
      </c>
      <c r="D34" s="122">
        <v>3</v>
      </c>
      <c r="E34" s="3"/>
      <c r="F34" s="191"/>
      <c r="G34" s="191"/>
      <c r="H34" s="191"/>
      <c r="I34" s="191"/>
      <c r="J34" s="191"/>
      <c r="K34" s="191"/>
      <c r="L34" s="191"/>
      <c r="M34" s="191"/>
      <c r="N34" s="191"/>
      <c r="O34" s="191"/>
      <c r="P34" s="3"/>
      <c r="Q34" s="3"/>
      <c r="R34" s="19"/>
    </row>
    <row r="35" spans="2:18" x14ac:dyDescent="0.3">
      <c r="B35" s="120" t="s">
        <v>171</v>
      </c>
      <c r="C35" s="121">
        <v>0.53900000000000003</v>
      </c>
      <c r="D35" s="122">
        <v>15</v>
      </c>
      <c r="E35" s="3"/>
      <c r="F35" s="191"/>
      <c r="G35" s="191"/>
      <c r="H35" s="191"/>
      <c r="I35" s="191"/>
      <c r="J35" s="191"/>
      <c r="K35" s="191"/>
      <c r="L35" s="191"/>
      <c r="M35" s="191"/>
      <c r="N35" s="191"/>
      <c r="O35" s="191"/>
      <c r="P35" s="3"/>
      <c r="Q35" s="3"/>
      <c r="R35" s="19"/>
    </row>
    <row r="36" spans="2:18" x14ac:dyDescent="0.3">
      <c r="B36" s="120" t="s">
        <v>172</v>
      </c>
      <c r="C36" s="121">
        <v>4.8000000000000001E-2</v>
      </c>
      <c r="D36" s="122">
        <v>8</v>
      </c>
      <c r="E36" s="3"/>
      <c r="F36" s="191"/>
      <c r="G36" s="191"/>
      <c r="H36" s="191"/>
      <c r="I36" s="191"/>
      <c r="J36" s="191"/>
      <c r="K36" s="191"/>
      <c r="L36" s="191"/>
      <c r="M36" s="191"/>
      <c r="N36" s="191"/>
      <c r="O36" s="191"/>
      <c r="P36" s="3"/>
      <c r="Q36" s="3"/>
      <c r="R36" s="19"/>
    </row>
    <row r="37" spans="2:18" x14ac:dyDescent="0.3">
      <c r="B37" s="120" t="s">
        <v>173</v>
      </c>
      <c r="C37" s="121">
        <v>0.08</v>
      </c>
      <c r="D37" s="122">
        <v>10</v>
      </c>
      <c r="E37" s="3"/>
      <c r="F37" s="191"/>
      <c r="G37" s="191"/>
      <c r="H37" s="191"/>
      <c r="I37" s="191"/>
      <c r="J37" s="191"/>
      <c r="K37" s="191"/>
      <c r="L37" s="191"/>
      <c r="M37" s="191"/>
      <c r="N37" s="191"/>
      <c r="O37" s="191"/>
      <c r="P37" s="3"/>
      <c r="Q37" s="3"/>
      <c r="R37" s="19"/>
    </row>
    <row r="38" spans="2:18" x14ac:dyDescent="0.3">
      <c r="B38" s="120" t="s">
        <v>136</v>
      </c>
      <c r="C38" s="41"/>
      <c r="D38" s="41"/>
      <c r="E38" s="3"/>
      <c r="F38" s="191"/>
      <c r="G38" s="191"/>
      <c r="H38" s="191"/>
      <c r="I38" s="191"/>
      <c r="J38" s="191"/>
      <c r="K38" s="191"/>
      <c r="L38" s="191"/>
      <c r="M38" s="191"/>
      <c r="N38" s="191"/>
      <c r="O38" s="191"/>
      <c r="P38" s="3"/>
      <c r="Q38" s="3"/>
      <c r="R38" s="19"/>
    </row>
    <row r="39" spans="2:18" ht="15" thickBot="1" x14ac:dyDescent="0.35">
      <c r="B39" s="26"/>
      <c r="C39" s="27"/>
      <c r="D39" s="27"/>
      <c r="E39" s="27"/>
      <c r="F39" s="27"/>
      <c r="G39" s="27"/>
      <c r="H39" s="27"/>
      <c r="I39" s="27"/>
      <c r="J39" s="27"/>
      <c r="K39" s="27"/>
      <c r="L39" s="27"/>
      <c r="M39" s="27"/>
      <c r="N39" s="27"/>
      <c r="O39" s="27"/>
      <c r="P39" s="27"/>
      <c r="Q39" s="27"/>
      <c r="R39" s="28"/>
    </row>
    <row r="40" spans="2:18" x14ac:dyDescent="0.3">
      <c r="B40" s="3"/>
      <c r="C40" s="3"/>
      <c r="D40" s="3"/>
      <c r="E40" s="3"/>
      <c r="F40" s="3"/>
      <c r="G40" s="3"/>
      <c r="H40" s="3"/>
      <c r="I40" s="3"/>
      <c r="J40" s="3"/>
      <c r="K40" s="3"/>
      <c r="L40" s="3"/>
      <c r="M40" s="3"/>
      <c r="N40" s="3"/>
      <c r="O40" s="3"/>
      <c r="P40" s="3"/>
      <c r="Q40" s="3"/>
      <c r="R40" s="3"/>
    </row>
    <row r="41" spans="2:18" ht="15" thickBot="1" x14ac:dyDescent="0.35">
      <c r="B41" s="3"/>
      <c r="C41" s="3"/>
      <c r="D41" s="3"/>
      <c r="E41" s="3"/>
      <c r="F41" s="3"/>
      <c r="G41" s="3"/>
      <c r="H41" s="3"/>
      <c r="I41" s="3"/>
      <c r="J41" s="3"/>
      <c r="K41" s="3"/>
      <c r="L41" s="3"/>
      <c r="M41" s="3"/>
      <c r="N41" s="3"/>
      <c r="O41" s="3"/>
      <c r="P41" s="3"/>
      <c r="Q41" s="3"/>
      <c r="R41" s="3"/>
    </row>
    <row r="42" spans="2:18" ht="18" x14ac:dyDescent="0.35">
      <c r="B42" s="33" t="s">
        <v>174</v>
      </c>
      <c r="C42" s="16"/>
      <c r="D42" s="16"/>
      <c r="E42" s="16"/>
      <c r="F42" s="16"/>
      <c r="G42" s="16"/>
      <c r="H42" s="16"/>
      <c r="I42" s="16"/>
      <c r="J42" s="16"/>
      <c r="K42" s="16"/>
      <c r="L42" s="16"/>
      <c r="M42" s="16"/>
      <c r="N42" s="16"/>
      <c r="O42" s="16"/>
      <c r="P42" s="16"/>
      <c r="Q42" s="16"/>
      <c r="R42" s="17"/>
    </row>
    <row r="43" spans="2:18" ht="18" x14ac:dyDescent="0.35">
      <c r="B43" s="123"/>
      <c r="C43" s="3" t="s">
        <v>175</v>
      </c>
      <c r="D43" s="3"/>
      <c r="E43" s="3"/>
      <c r="F43" s="3"/>
      <c r="G43" s="3"/>
      <c r="H43" s="3"/>
      <c r="I43" s="3"/>
      <c r="J43" s="3"/>
      <c r="K43" s="3"/>
      <c r="L43" s="3"/>
      <c r="M43" s="3"/>
      <c r="N43" s="3"/>
      <c r="O43" s="3"/>
      <c r="P43" s="3"/>
      <c r="Q43" s="3"/>
      <c r="R43" s="19"/>
    </row>
    <row r="44" spans="2:18" x14ac:dyDescent="0.3">
      <c r="B44" s="20"/>
      <c r="C44" s="41">
        <f t="shared" ref="C44:Q44" si="2">C48</f>
        <v>2015</v>
      </c>
      <c r="D44" s="41">
        <f t="shared" si="2"/>
        <v>2016</v>
      </c>
      <c r="E44" s="41">
        <f t="shared" si="2"/>
        <v>2017</v>
      </c>
      <c r="F44" s="41">
        <f t="shared" si="2"/>
        <v>2018</v>
      </c>
      <c r="G44" s="41">
        <f t="shared" si="2"/>
        <v>2019</v>
      </c>
      <c r="H44" s="41">
        <f t="shared" si="2"/>
        <v>2020</v>
      </c>
      <c r="I44" s="41">
        <f t="shared" si="2"/>
        <v>2021</v>
      </c>
      <c r="J44" s="41">
        <f t="shared" si="2"/>
        <v>2022</v>
      </c>
      <c r="K44" s="41">
        <f t="shared" si="2"/>
        <v>2023</v>
      </c>
      <c r="L44" s="41">
        <f t="shared" si="2"/>
        <v>2024</v>
      </c>
      <c r="M44" s="41">
        <f t="shared" si="2"/>
        <v>2025</v>
      </c>
      <c r="N44" s="41">
        <f t="shared" si="2"/>
        <v>2026</v>
      </c>
      <c r="O44" s="41">
        <f t="shared" si="2"/>
        <v>2027</v>
      </c>
      <c r="P44" s="41">
        <f t="shared" si="2"/>
        <v>2028</v>
      </c>
      <c r="Q44" s="41">
        <f t="shared" si="2"/>
        <v>2029</v>
      </c>
      <c r="R44" s="19"/>
    </row>
    <row r="45" spans="2:18" x14ac:dyDescent="0.3">
      <c r="B45" s="20"/>
      <c r="C45" s="124">
        <f>C25</f>
        <v>531.39519448432748</v>
      </c>
      <c r="D45" s="124">
        <f t="shared" ref="D45:Q45" si="3">D25</f>
        <v>531.39519448432748</v>
      </c>
      <c r="E45" s="124">
        <f t="shared" si="3"/>
        <v>531.39519448432748</v>
      </c>
      <c r="F45" s="124">
        <f t="shared" si="3"/>
        <v>623.12171769628515</v>
      </c>
      <c r="G45" s="124">
        <f t="shared" si="3"/>
        <v>714.84824090828181</v>
      </c>
      <c r="H45" s="124">
        <f t="shared" si="3"/>
        <v>806.57476412023937</v>
      </c>
      <c r="I45" s="124">
        <f t="shared" si="3"/>
        <v>898.30128733223592</v>
      </c>
      <c r="J45" s="124">
        <f t="shared" si="3"/>
        <v>990.02781054419358</v>
      </c>
      <c r="K45" s="124">
        <f t="shared" si="3"/>
        <v>1081.7543337561901</v>
      </c>
      <c r="L45" s="124">
        <f t="shared" si="3"/>
        <v>1173.4808569681477</v>
      </c>
      <c r="M45" s="124">
        <f t="shared" si="3"/>
        <v>1265.2073801801441</v>
      </c>
      <c r="N45" s="124">
        <f t="shared" si="3"/>
        <v>1356.9339033921019</v>
      </c>
      <c r="O45" s="124">
        <f t="shared" si="3"/>
        <v>1448.6604266040983</v>
      </c>
      <c r="P45" s="124">
        <f t="shared" si="3"/>
        <v>1540.3869498160561</v>
      </c>
      <c r="Q45" s="124">
        <f t="shared" si="3"/>
        <v>1632.1134730280526</v>
      </c>
      <c r="R45" s="19"/>
    </row>
    <row r="46" spans="2:18" x14ac:dyDescent="0.3">
      <c r="B46" s="20"/>
      <c r="C46" s="3"/>
      <c r="D46" s="3"/>
      <c r="E46" s="3"/>
      <c r="F46" s="3"/>
      <c r="G46" s="3"/>
      <c r="H46" s="3"/>
      <c r="I46" s="3"/>
      <c r="J46" s="3"/>
      <c r="K46" s="3"/>
      <c r="L46" s="3"/>
      <c r="M46" s="3"/>
      <c r="N46" s="3"/>
      <c r="O46" s="3"/>
      <c r="P46" s="3"/>
      <c r="Q46" s="3"/>
      <c r="R46" s="19"/>
    </row>
    <row r="47" spans="2:18" x14ac:dyDescent="0.3">
      <c r="B47" s="20"/>
      <c r="C47" s="3"/>
      <c r="D47" s="3"/>
      <c r="E47" s="3"/>
      <c r="F47" s="3"/>
      <c r="G47" s="3"/>
      <c r="H47" s="3"/>
      <c r="I47" s="3"/>
      <c r="J47" s="3"/>
      <c r="K47" s="3"/>
      <c r="L47" s="3"/>
      <c r="M47" s="3"/>
      <c r="N47" s="3"/>
      <c r="O47" s="3"/>
      <c r="P47" s="3"/>
      <c r="Q47" s="3"/>
      <c r="R47" s="19"/>
    </row>
    <row r="48" spans="2:18" x14ac:dyDescent="0.3">
      <c r="B48" s="120" t="s">
        <v>99</v>
      </c>
      <c r="C48" s="41">
        <v>2015</v>
      </c>
      <c r="D48" s="41">
        <f t="shared" ref="D48:Q48" si="4">C48+1</f>
        <v>2016</v>
      </c>
      <c r="E48" s="41">
        <f t="shared" si="4"/>
        <v>2017</v>
      </c>
      <c r="F48" s="41">
        <f t="shared" si="4"/>
        <v>2018</v>
      </c>
      <c r="G48" s="41">
        <f t="shared" si="4"/>
        <v>2019</v>
      </c>
      <c r="H48" s="41">
        <f t="shared" si="4"/>
        <v>2020</v>
      </c>
      <c r="I48" s="41">
        <f t="shared" si="4"/>
        <v>2021</v>
      </c>
      <c r="J48" s="41">
        <f t="shared" si="4"/>
        <v>2022</v>
      </c>
      <c r="K48" s="41">
        <f t="shared" si="4"/>
        <v>2023</v>
      </c>
      <c r="L48" s="41">
        <f t="shared" si="4"/>
        <v>2024</v>
      </c>
      <c r="M48" s="41">
        <f t="shared" si="4"/>
        <v>2025</v>
      </c>
      <c r="N48" s="41">
        <f t="shared" si="4"/>
        <v>2026</v>
      </c>
      <c r="O48" s="41">
        <f t="shared" si="4"/>
        <v>2027</v>
      </c>
      <c r="P48" s="41">
        <f t="shared" si="4"/>
        <v>2028</v>
      </c>
      <c r="Q48" s="41">
        <f t="shared" si="4"/>
        <v>2029</v>
      </c>
      <c r="R48" s="19"/>
    </row>
    <row r="49" spans="2:18" x14ac:dyDescent="0.3">
      <c r="B49" s="120">
        <v>2015</v>
      </c>
      <c r="C49" s="125">
        <f t="shared" ref="C49:Q49" si="5">HLOOKUP($B49,$C$44:$Q$45,2,FALSE)*$C$32*(1-IF(ROUNDDOWN((C$44-$B49)/$D$32,0)&lt;1,0,IF(ROUNDDOWN((C$44-$B49)/$D$32,0)&lt;2,0.5,IF(ROUNDDOWN((C$44-$B49)/$D$32,0)&lt;3,0.75,IF(ROUNDDOWN((C$44-$B49)/$D$32,0)&lt;4,0.875,0.9375)))))+HLOOKUP($B49,$C$44:$Q$45,2,FALSE)*$C$33*(1-IF(ROUNDDOWN((C$44-$B49)/$D$33,0)&lt;1,0,IF(ROUNDDOWN((C$44-$B49)/$D$33,0)&lt;2,0.5,IF(ROUNDDOWN((C$44-$B49)/$D$33,0)&lt;3,0.75,IF(ROUNDDOWN((C$44-$B49)/$D$33,0)&lt;4,0.875,0.9375)))))+HLOOKUP($B49,$C$44:$Q$45,2,FALSE)*$C$34*(1-IF(ROUNDDOWN((C$44-$B49)/$D$34,0)&lt;1,0,IF(ROUNDDOWN((C$44-$B49)/$D$34,0)&lt;2,0.5,IF(ROUNDDOWN((C$44-$B49)/$D$34,0)&lt;3,0.75,IF(ROUNDDOWN((C$44-$B49)/$D$34,0)&lt;4,0.875,0.9375)))))+HLOOKUP($B49,$C$44:$Q$45,2,FALSE)*$C$35*(1-IF(ROUNDDOWN((C$44-$B49)/$D$35,0)&lt;1,0,IF(ROUNDDOWN((C$44-$B49)/$D$35,0)&lt;2,0.5,IF(ROUNDDOWN((C$44-$B49)/$D$35,0)&lt;3,0.75,IF(ROUNDDOWN((C$44-$B49)/$D$35,0)&lt;4,0.875,0.9375)))))+HLOOKUP($B49,$C$44:$Q$45,2,FALSE)*$C$36*(1-IF(ROUNDDOWN((C$44-$B49)/$D$36,0)&lt;1,0,IF(ROUNDDOWN((C$44-$B49)/$D$36,0)&lt;2,0.5,IF(ROUNDDOWN((C$44-$B49)/$D$36,0)&lt;3,0.75,IF(ROUNDDOWN((C$44-$B49)/$D$36,0)&lt;4,0.875,0.9375)))))+HLOOKUP($B49,$C$44:$Q$45,2,FALSE)*$C$37*(1-IF(ROUNDDOWN((C$44-$B49)/$D$37,0)&lt;1,0,IF(ROUNDDOWN((C$44-$B49)/$D$37,0)&lt;2,0.5,IF(ROUNDDOWN((C$44-$B49)/$D$37,0)&lt;3,0.75,IF(ROUNDDOWN((C$44-$B49)/$D$37,0)&lt;4,0.875,0.9375)))))</f>
        <v>531.39519448432748</v>
      </c>
      <c r="D49" s="125">
        <f>HLOOKUP($B49,$C$44:$Q$45,2,FALSE)*$C$32*(1-IF(ROUNDDOWN((D$44-$B49)/$D$32,0)&lt;1,0,IF(ROUNDDOWN((D$44-$B49)/$D$32,0)&lt;2,0.5,IF(ROUNDDOWN((D$44-$B49)/$D$32,0)&lt;3,0.75,IF(ROUNDDOWN((D$44-$B49)/$D$32,0)&lt;4,0.875,0.9375)))))+HLOOKUP($B49,$C$44:$Q$45,2,FALSE)*$C$33*(1-IF(ROUNDDOWN((D$44-$B49)/$D$33,0)&lt;1,0,IF(ROUNDDOWN((D$44-$B49)/$D$33,0)&lt;2,0.5,IF(ROUNDDOWN((D$44-$B49)/$D$33,0)&lt;3,0.75,IF(ROUNDDOWN((D$44-$B49)/$D$33,0)&lt;4,0.875,0.9375)))))+HLOOKUP($B49,$C$44:$Q$45,2,FALSE)*$C$34*(1-IF(ROUNDDOWN((D$44-$B49)/$D$34,0)&lt;1,0,IF(ROUNDDOWN((D$44-$B49)/$D$34,0)&lt;2,0.5,IF(ROUNDDOWN((D$44-$B49)/$D$34,0)&lt;3,0.75,IF(ROUNDDOWN((D$44-$B49)/$D$34,0)&lt;4,0.875,0.9375)))))+HLOOKUP($B49,$C$44:$Q$45,2,FALSE)*$C$35*(1-IF(ROUNDDOWN((D$44-$B49)/$D$35,0)&lt;1,0,IF(ROUNDDOWN((D$44-$B49)/$D$35,0)&lt;2,0.5,IF(ROUNDDOWN((D$44-$B49)/$D$35,0)&lt;3,0.75,IF(ROUNDDOWN((D$44-$B49)/$D$35,0)&lt;4,0.875,0.9375)))))+HLOOKUP($B49,$C$44:$Q$45,2,FALSE)*$C$36*(1-IF(ROUNDDOWN((D$44-$B49)/$D$36,0)&lt;1,0,IF(ROUNDDOWN((D$44-$B49)/$D$36,0)&lt;2,0.5,IF(ROUNDDOWN((D$44-$B49)/$D$36,0)&lt;3,0.75,IF(ROUNDDOWN((D$44-$B49)/$D$36,0)&lt;4,0.875,0.9375)))))+HLOOKUP($B49,$C$44:$Q$45,2,FALSE)*$C$37*(1-IF(ROUNDDOWN((D$44-$B49)/$D$37,0)&lt;1,0,IF(ROUNDDOWN((D$44-$B49)/$D$37,0)&lt;2,0.5,IF(ROUNDDOWN((D$44-$B49)/$D$37,0)&lt;3,0.75,IF(ROUNDDOWN((D$44-$B49)/$D$37,0)&lt;4,0.875,0.9375)))))</f>
        <v>531.39519448432748</v>
      </c>
      <c r="E49" s="125">
        <f t="shared" si="5"/>
        <v>531.39519448432748</v>
      </c>
      <c r="F49" s="125">
        <f t="shared" si="5"/>
        <v>508.54520112150141</v>
      </c>
      <c r="G49" s="125">
        <f t="shared" si="5"/>
        <v>508.54520112150141</v>
      </c>
      <c r="H49" s="125">
        <f t="shared" si="5"/>
        <v>508.54520112150141</v>
      </c>
      <c r="I49" s="125">
        <f t="shared" si="5"/>
        <v>497.12020444008834</v>
      </c>
      <c r="J49" s="125">
        <f t="shared" si="5"/>
        <v>497.12020444008834</v>
      </c>
      <c r="K49" s="125">
        <f t="shared" si="5"/>
        <v>475.86439666071527</v>
      </c>
      <c r="L49" s="125">
        <f t="shared" si="5"/>
        <v>470.1518983200088</v>
      </c>
      <c r="M49" s="125">
        <f t="shared" si="5"/>
        <v>448.89609054063567</v>
      </c>
      <c r="N49" s="125">
        <f t="shared" si="5"/>
        <v>448.89609054063567</v>
      </c>
      <c r="O49" s="125">
        <f t="shared" si="5"/>
        <v>446.03984137028237</v>
      </c>
      <c r="P49" s="125">
        <f t="shared" si="5"/>
        <v>446.03984137028237</v>
      </c>
      <c r="Q49" s="125">
        <f t="shared" si="5"/>
        <v>446.03984137028237</v>
      </c>
      <c r="R49" s="19"/>
    </row>
    <row r="50" spans="2:18" x14ac:dyDescent="0.3">
      <c r="B50" s="120">
        <f t="shared" ref="B50:B64" si="6">B49+1</f>
        <v>2016</v>
      </c>
      <c r="C50" s="125"/>
      <c r="D50" s="125">
        <f t="shared" ref="D50:Q58" si="7">HLOOKUP($B50,$C$44:$Q$45,2,FALSE)*$C$32*(1-IF(ROUNDDOWN((D$44-$B50)/$D$32,0)&lt;1,0,IF(ROUNDDOWN((D$44-$B50)/$D$32,0)&lt;2,0.5,IF(ROUNDDOWN((D$44-$B50)/$D$32,0)&lt;3,0.75,IF(ROUNDDOWN((D$44-$B50)/$D$32,0)&lt;4,0.875,0.9375)))))+HLOOKUP($B50,$C$44:$Q$45,2,FALSE)*$C$33*(1-IF(ROUNDDOWN((D$44-$B50)/$D$33,0)&lt;1,0,IF(ROUNDDOWN((D$44-$B50)/$D$33,0)&lt;2,0.5,IF(ROUNDDOWN((D$44-$B50)/$D$33,0)&lt;3,0.75,IF(ROUNDDOWN((D$44-$B50)/$D$33,0)&lt;4,0.875,0.9375)))))+HLOOKUP($B50,$C$44:$Q$45,2,FALSE)*$C$34*(1-IF(ROUNDDOWN((D$44-$B50)/$D$34,0)&lt;1,0,IF(ROUNDDOWN((D$44-$B50)/$D$34,0)&lt;2,0.5,IF(ROUNDDOWN((D$44-$B50)/$D$34,0)&lt;3,0.75,IF(ROUNDDOWN((D$44-$B50)/$D$34,0)&lt;4,0.875,0.9375)))))+HLOOKUP($B50,$C$44:$Q$45,2,FALSE)*$C$35*(1-IF(ROUNDDOWN((D$44-$B50)/$D$35,0)&lt;1,0,IF(ROUNDDOWN((D$44-$B50)/$D$35,0)&lt;2,0.5,IF(ROUNDDOWN((D$44-$B50)/$D$35,0)&lt;3,0.75,IF(ROUNDDOWN((D$44-$B50)/$D$35,0)&lt;4,0.875,0.9375)))))+HLOOKUP($B50,$C$44:$Q$45,2,FALSE)*$C$36*(1-IF(ROUNDDOWN((D$44-$B50)/$D$36,0)&lt;1,0,IF(ROUNDDOWN((D$44-$B50)/$D$36,0)&lt;2,0.5,IF(ROUNDDOWN((D$44-$B50)/$D$36,0)&lt;3,0.75,IF(ROUNDDOWN((D$44-$B50)/$D$36,0)&lt;4,0.875,0.9375)))))+HLOOKUP($B50,$C$44:$Q$45,2,FALSE)*$C$37*(1-IF(ROUNDDOWN((D$44-$B50)/$D$37,0)&lt;1,0,IF(ROUNDDOWN((D$44-$B50)/$D$37,0)&lt;2,0.5,IF(ROUNDDOWN((D$44-$B50)/$D$37,0)&lt;3,0.75,IF(ROUNDDOWN((D$44-$B50)/$D$37,0)&lt;4,0.875,0.9375)))))</f>
        <v>531.39519448432748</v>
      </c>
      <c r="E50" s="125">
        <f t="shared" si="7"/>
        <v>531.39519448432748</v>
      </c>
      <c r="F50" s="125">
        <f t="shared" si="7"/>
        <v>531.39519448432748</v>
      </c>
      <c r="G50" s="125">
        <f t="shared" si="7"/>
        <v>508.54520112150141</v>
      </c>
      <c r="H50" s="125">
        <f t="shared" si="7"/>
        <v>508.54520112150141</v>
      </c>
      <c r="I50" s="125">
        <f t="shared" si="7"/>
        <v>508.54520112150141</v>
      </c>
      <c r="J50" s="125">
        <f t="shared" si="7"/>
        <v>497.12020444008834</v>
      </c>
      <c r="K50" s="125">
        <f t="shared" si="7"/>
        <v>497.12020444008834</v>
      </c>
      <c r="L50" s="125">
        <f t="shared" si="7"/>
        <v>475.86439666071527</v>
      </c>
      <c r="M50" s="125">
        <f t="shared" si="7"/>
        <v>470.1518983200088</v>
      </c>
      <c r="N50" s="125">
        <f t="shared" si="7"/>
        <v>448.89609054063567</v>
      </c>
      <c r="O50" s="125">
        <f t="shared" si="7"/>
        <v>448.89609054063567</v>
      </c>
      <c r="P50" s="125">
        <f t="shared" si="7"/>
        <v>446.03984137028237</v>
      </c>
      <c r="Q50" s="125">
        <f t="shared" si="7"/>
        <v>446.03984137028237</v>
      </c>
      <c r="R50" s="19"/>
    </row>
    <row r="51" spans="2:18" x14ac:dyDescent="0.3">
      <c r="B51" s="120">
        <f t="shared" si="6"/>
        <v>2017</v>
      </c>
      <c r="C51" s="125"/>
      <c r="D51" s="125"/>
      <c r="E51" s="125">
        <f t="shared" si="7"/>
        <v>531.39519448432748</v>
      </c>
      <c r="F51" s="125">
        <f t="shared" si="7"/>
        <v>531.39519448432748</v>
      </c>
      <c r="G51" s="125">
        <f t="shared" si="7"/>
        <v>531.39519448432748</v>
      </c>
      <c r="H51" s="125">
        <f>HLOOKUP($B51,$C$44:$Q$45,2,FALSE)*$C$32*(1-IF(ROUNDDOWN((H$44-$B51)/$D$32,0)&lt;1,0,IF(ROUNDDOWN((H$44-$B51)/$D$32,0)&lt;2,0.5,IF(ROUNDDOWN((H$44-$B51)/$D$32,0)&lt;3,0.75,IF(ROUNDDOWN((H$44-$B51)/$D$32,0)&lt;4,0.875,0.9375)))))+HLOOKUP($B51,$C$44:$Q$45,2,FALSE)*$C$33*(1-IF(ROUNDDOWN((H$44-$B51)/$D$33,0)&lt;1,0,IF(ROUNDDOWN((H$44-$B51)/$D$33,0)&lt;2,0.5,IF(ROUNDDOWN((H$44-$B51)/$D$33,0)&lt;3,0.75,IF(ROUNDDOWN((H$44-$B51)/$D$33,0)&lt;4,0.875,0.9375)))))+HLOOKUP($B51,$C$44:$Q$45,2,FALSE)*$C$34*(1-IF(ROUNDDOWN((H$44-$B51)/$D$34,0)&lt;1,0,IF(ROUNDDOWN((H$44-$B51)/$D$34,0)&lt;2,0.5,IF(ROUNDDOWN((H$44-$B51)/$D$34,0)&lt;3,0.75,IF(ROUNDDOWN((H$44-$B51)/$D$34,0)&lt;4,0.875,0.9375)))))+HLOOKUP($B51,$C$44:$Q$45,2,FALSE)*$C$35*(1-IF(ROUNDDOWN((H$44-$B51)/$D$35,0)&lt;1,0,IF(ROUNDDOWN((H$44-$B51)/$D$35,0)&lt;2,0.5,IF(ROUNDDOWN((H$44-$B51)/$D$35,0)&lt;3,0.75,IF(ROUNDDOWN((H$44-$B51)/$D$35,0)&lt;4,0.875,0.9375)))))+HLOOKUP($B51,$C$44:$Q$45,2,FALSE)*$C$36*(1-IF(ROUNDDOWN((H$44-$B51)/$D$36,0)&lt;1,0,IF(ROUNDDOWN((H$44-$B51)/$D$36,0)&lt;2,0.5,IF(ROUNDDOWN((H$44-$B51)/$D$36,0)&lt;3,0.75,IF(ROUNDDOWN((H$44-$B51)/$D$36,0)&lt;4,0.875,0.9375)))))+HLOOKUP($B51,$C$44:$Q$45,2,FALSE)*$C$37*(1-IF(ROUNDDOWN((H$44-$B51)/$D$37,0)&lt;1,0,IF(ROUNDDOWN((H$44-$B51)/$D$37,0)&lt;2,0.5,IF(ROUNDDOWN((H$44-$B51)/$D$37,0)&lt;3,0.75,IF(ROUNDDOWN((H$44-$B51)/$D$37,0)&lt;4,0.875,0.9375)))))</f>
        <v>508.54520112150141</v>
      </c>
      <c r="I51" s="125">
        <f t="shared" si="7"/>
        <v>508.54520112150141</v>
      </c>
      <c r="J51" s="125">
        <f t="shared" si="7"/>
        <v>508.54520112150141</v>
      </c>
      <c r="K51" s="125">
        <f t="shared" si="7"/>
        <v>497.12020444008834</v>
      </c>
      <c r="L51" s="125">
        <f t="shared" si="7"/>
        <v>497.12020444008834</v>
      </c>
      <c r="M51" s="125">
        <f t="shared" si="7"/>
        <v>475.86439666071527</v>
      </c>
      <c r="N51" s="125">
        <f t="shared" si="7"/>
        <v>470.1518983200088</v>
      </c>
      <c r="O51" s="125">
        <f t="shared" si="7"/>
        <v>448.89609054063567</v>
      </c>
      <c r="P51" s="125">
        <f t="shared" si="7"/>
        <v>448.89609054063567</v>
      </c>
      <c r="Q51" s="125">
        <f t="shared" si="7"/>
        <v>446.03984137028237</v>
      </c>
      <c r="R51" s="19"/>
    </row>
    <row r="52" spans="2:18" x14ac:dyDescent="0.3">
      <c r="B52" s="120">
        <f t="shared" si="6"/>
        <v>2018</v>
      </c>
      <c r="C52" s="125"/>
      <c r="D52" s="125"/>
      <c r="E52" s="125"/>
      <c r="F52" s="125">
        <f t="shared" si="7"/>
        <v>623.12171769628526</v>
      </c>
      <c r="G52" s="125">
        <f t="shared" si="7"/>
        <v>623.12171769628526</v>
      </c>
      <c r="H52" s="125">
        <f>HLOOKUP($B52,$C$44:$Q$45,2,FALSE)*$C$32*(1-IF(ROUNDDOWN((H$44-$B52)/$D$32,0)&lt;1,0,IF(ROUNDDOWN((H$44-$B52)/$D$32,0)&lt;2,0.5,IF(ROUNDDOWN((H$44-$B52)/$D$32,0)&lt;3,0.75,IF(ROUNDDOWN((H$44-$B52)/$D$32,0)&lt;4,0.875,0.9375)))))+HLOOKUP($B52,$C$44:$Q$45,2,FALSE)*$C$33*(1-IF(ROUNDDOWN((H$44-$B52)/$D$33,0)&lt;1,0,IF(ROUNDDOWN((H$44-$B52)/$D$33,0)&lt;2,0.5,IF(ROUNDDOWN((H$44-$B52)/$D$33,0)&lt;3,0.75,IF(ROUNDDOWN((H$44-$B52)/$D$33,0)&lt;4,0.875,0.9375)))))+HLOOKUP($B52,$C$44:$Q$45,2,FALSE)*$C$34*(1-IF(ROUNDDOWN((H$44-$B52)/$D$34,0)&lt;1,0,IF(ROUNDDOWN((H$44-$B52)/$D$34,0)&lt;2,0.5,IF(ROUNDDOWN((H$44-$B52)/$D$34,0)&lt;3,0.75,IF(ROUNDDOWN((H$44-$B52)/$D$34,0)&lt;4,0.875,0.9375)))))+HLOOKUP($B52,$C$44:$Q$45,2,FALSE)*$C$35*(1-IF(ROUNDDOWN((H$44-$B52)/$D$35,0)&lt;1,0,IF(ROUNDDOWN((H$44-$B52)/$D$35,0)&lt;2,0.5,IF(ROUNDDOWN((H$44-$B52)/$D$35,0)&lt;3,0.75,IF(ROUNDDOWN((H$44-$B52)/$D$35,0)&lt;4,0.875,0.9375)))))+HLOOKUP($B52,$C$44:$Q$45,2,FALSE)*$C$36*(1-IF(ROUNDDOWN((H$44-$B52)/$D$36,0)&lt;1,0,IF(ROUNDDOWN((H$44-$B52)/$D$36,0)&lt;2,0.5,IF(ROUNDDOWN((H$44-$B52)/$D$36,0)&lt;3,0.75,IF(ROUNDDOWN((H$44-$B52)/$D$36,0)&lt;4,0.875,0.9375)))))+HLOOKUP($B52,$C$44:$Q$45,2,FALSE)*$C$37*(1-IF(ROUNDDOWN((H$44-$B52)/$D$37,0)&lt;1,0,IF(ROUNDDOWN((H$44-$B52)/$D$37,0)&lt;2,0.5,IF(ROUNDDOWN((H$44-$B52)/$D$37,0)&lt;3,0.75,IF(ROUNDDOWN((H$44-$B52)/$D$37,0)&lt;4,0.875,0.9375)))))</f>
        <v>623.12171769628526</v>
      </c>
      <c r="I52" s="125">
        <f t="shared" si="7"/>
        <v>596.32748383534499</v>
      </c>
      <c r="J52" s="125">
        <f t="shared" si="7"/>
        <v>596.32748383534499</v>
      </c>
      <c r="K52" s="125">
        <f t="shared" si="7"/>
        <v>596.32748383534499</v>
      </c>
      <c r="L52" s="125">
        <f t="shared" si="7"/>
        <v>582.93036690487486</v>
      </c>
      <c r="M52" s="125">
        <f t="shared" si="7"/>
        <v>582.93036690487486</v>
      </c>
      <c r="N52" s="125">
        <f t="shared" si="7"/>
        <v>558.00549819702337</v>
      </c>
      <c r="O52" s="125">
        <f t="shared" si="7"/>
        <v>551.30693973178836</v>
      </c>
      <c r="P52" s="125">
        <f t="shared" si="7"/>
        <v>526.38207102393699</v>
      </c>
      <c r="Q52" s="125">
        <f t="shared" si="7"/>
        <v>526.38207102393699</v>
      </c>
      <c r="R52" s="19"/>
    </row>
    <row r="53" spans="2:18" x14ac:dyDescent="0.3">
      <c r="B53" s="120">
        <f t="shared" si="6"/>
        <v>2019</v>
      </c>
      <c r="C53" s="125"/>
      <c r="D53" s="125"/>
      <c r="E53" s="125"/>
      <c r="F53" s="125"/>
      <c r="G53" s="125">
        <f t="shared" si="7"/>
        <v>714.84824090828181</v>
      </c>
      <c r="H53" s="125">
        <f t="shared" si="7"/>
        <v>714.84824090828181</v>
      </c>
      <c r="I53" s="125">
        <f t="shared" si="7"/>
        <v>714.84824090828181</v>
      </c>
      <c r="J53" s="125">
        <f t="shared" si="7"/>
        <v>684.1097665492257</v>
      </c>
      <c r="K53" s="125">
        <f t="shared" si="7"/>
        <v>684.1097665492257</v>
      </c>
      <c r="L53" s="125">
        <f t="shared" si="7"/>
        <v>684.1097665492257</v>
      </c>
      <c r="M53" s="125">
        <f t="shared" si="7"/>
        <v>668.7405293696977</v>
      </c>
      <c r="N53" s="125">
        <f t="shared" si="7"/>
        <v>668.7405293696977</v>
      </c>
      <c r="O53" s="125">
        <f t="shared" si="7"/>
        <v>640.14659973336643</v>
      </c>
      <c r="P53" s="125">
        <f t="shared" si="7"/>
        <v>632.46198114360232</v>
      </c>
      <c r="Q53" s="125">
        <f t="shared" si="7"/>
        <v>603.86805150727105</v>
      </c>
      <c r="R53" s="19"/>
    </row>
    <row r="54" spans="2:18" x14ac:dyDescent="0.3">
      <c r="B54" s="120">
        <f t="shared" si="6"/>
        <v>2020</v>
      </c>
      <c r="C54" s="125"/>
      <c r="D54" s="125"/>
      <c r="E54" s="125"/>
      <c r="F54" s="125"/>
      <c r="G54" s="125"/>
      <c r="H54" s="125">
        <f t="shared" si="7"/>
        <v>806.57476412023937</v>
      </c>
      <c r="I54" s="125">
        <f t="shared" si="7"/>
        <v>806.57476412023937</v>
      </c>
      <c r="J54" s="125">
        <f t="shared" si="7"/>
        <v>806.57476412023937</v>
      </c>
      <c r="K54" s="125">
        <f t="shared" si="7"/>
        <v>771.89204926306911</v>
      </c>
      <c r="L54" s="125">
        <f t="shared" si="7"/>
        <v>771.89204926306911</v>
      </c>
      <c r="M54" s="125">
        <f t="shared" si="7"/>
        <v>771.89204926306911</v>
      </c>
      <c r="N54" s="125">
        <f t="shared" si="7"/>
        <v>754.55069183448393</v>
      </c>
      <c r="O54" s="125">
        <f t="shared" si="7"/>
        <v>754.55069183448393</v>
      </c>
      <c r="P54" s="125">
        <f t="shared" si="7"/>
        <v>722.28770126967436</v>
      </c>
      <c r="Q54" s="125">
        <f t="shared" si="7"/>
        <v>713.61702255538171</v>
      </c>
      <c r="R54" s="19"/>
    </row>
    <row r="55" spans="2:18" x14ac:dyDescent="0.3">
      <c r="B55" s="120">
        <f t="shared" si="6"/>
        <v>2021</v>
      </c>
      <c r="C55" s="125"/>
      <c r="D55" s="125"/>
      <c r="E55" s="125"/>
      <c r="F55" s="125"/>
      <c r="G55" s="125"/>
      <c r="H55" s="125"/>
      <c r="I55" s="125">
        <f t="shared" si="7"/>
        <v>898.30128733223592</v>
      </c>
      <c r="J55" s="125">
        <f t="shared" si="7"/>
        <v>898.30128733223592</v>
      </c>
      <c r="K55" s="125">
        <f t="shared" si="7"/>
        <v>898.30128733223592</v>
      </c>
      <c r="L55" s="125">
        <f t="shared" si="7"/>
        <v>859.67433197694982</v>
      </c>
      <c r="M55" s="125">
        <f t="shared" si="7"/>
        <v>859.67433197694982</v>
      </c>
      <c r="N55" s="125">
        <f t="shared" si="7"/>
        <v>859.67433197694982</v>
      </c>
      <c r="O55" s="125">
        <f t="shared" si="7"/>
        <v>840.36085429930677</v>
      </c>
      <c r="P55" s="125">
        <f t="shared" si="7"/>
        <v>840.36085429930677</v>
      </c>
      <c r="Q55" s="125">
        <f t="shared" si="7"/>
        <v>804.4288028060173</v>
      </c>
      <c r="R55" s="19"/>
    </row>
    <row r="56" spans="2:18" x14ac:dyDescent="0.3">
      <c r="B56" s="120">
        <f t="shared" si="6"/>
        <v>2022</v>
      </c>
      <c r="C56" s="125"/>
      <c r="D56" s="125"/>
      <c r="E56" s="125"/>
      <c r="F56" s="125"/>
      <c r="G56" s="125"/>
      <c r="H56" s="125"/>
      <c r="I56" s="125"/>
      <c r="J56" s="125">
        <f t="shared" si="7"/>
        <v>990.0278105441937</v>
      </c>
      <c r="K56" s="125">
        <f t="shared" si="7"/>
        <v>990.0278105441937</v>
      </c>
      <c r="L56" s="125">
        <f t="shared" si="7"/>
        <v>990.0278105441937</v>
      </c>
      <c r="M56" s="125">
        <f t="shared" si="7"/>
        <v>947.45661469079334</v>
      </c>
      <c r="N56" s="125">
        <f t="shared" si="7"/>
        <v>947.45661469079334</v>
      </c>
      <c r="O56" s="125">
        <f t="shared" si="7"/>
        <v>947.45661469079334</v>
      </c>
      <c r="P56" s="125">
        <f t="shared" si="7"/>
        <v>926.17101676409322</v>
      </c>
      <c r="Q56" s="125">
        <f t="shared" si="7"/>
        <v>926.17101676409322</v>
      </c>
      <c r="R56" s="19"/>
    </row>
    <row r="57" spans="2:18" x14ac:dyDescent="0.3">
      <c r="B57" s="120">
        <f t="shared" si="6"/>
        <v>2023</v>
      </c>
      <c r="C57" s="125"/>
      <c r="D57" s="125"/>
      <c r="E57" s="125"/>
      <c r="F57" s="125"/>
      <c r="G57" s="125"/>
      <c r="H57" s="125"/>
      <c r="I57" s="125"/>
      <c r="J57" s="125"/>
      <c r="K57" s="125">
        <f t="shared" si="7"/>
        <v>1081.7543337561901</v>
      </c>
      <c r="L57" s="125">
        <f t="shared" si="7"/>
        <v>1081.7543337561901</v>
      </c>
      <c r="M57" s="125">
        <f t="shared" si="7"/>
        <v>1081.7543337561901</v>
      </c>
      <c r="N57" s="125">
        <f t="shared" si="7"/>
        <v>1035.2388974046739</v>
      </c>
      <c r="O57" s="125">
        <f t="shared" si="7"/>
        <v>1035.2388974046739</v>
      </c>
      <c r="P57" s="125">
        <f t="shared" si="7"/>
        <v>1035.2388974046739</v>
      </c>
      <c r="Q57" s="125">
        <f t="shared" si="7"/>
        <v>1011.9811792289159</v>
      </c>
      <c r="R57" s="19"/>
    </row>
    <row r="58" spans="2:18" x14ac:dyDescent="0.3">
      <c r="B58" s="120">
        <f t="shared" si="6"/>
        <v>2024</v>
      </c>
      <c r="C58" s="125"/>
      <c r="D58" s="125"/>
      <c r="E58" s="125"/>
      <c r="F58" s="125"/>
      <c r="G58" s="125"/>
      <c r="H58" s="125"/>
      <c r="I58" s="125"/>
      <c r="J58" s="125"/>
      <c r="K58" s="125"/>
      <c r="L58" s="125">
        <f t="shared" si="7"/>
        <v>1173.4808569681477</v>
      </c>
      <c r="M58" s="125">
        <f t="shared" si="7"/>
        <v>1173.4808569681477</v>
      </c>
      <c r="N58" s="125">
        <f t="shared" si="7"/>
        <v>1173.4808569681477</v>
      </c>
      <c r="O58" s="125">
        <f t="shared" si="7"/>
        <v>1123.0211801185173</v>
      </c>
      <c r="P58" s="125">
        <f t="shared" si="7"/>
        <v>1123.0211801185173</v>
      </c>
      <c r="Q58" s="125">
        <f t="shared" si="7"/>
        <v>1123.0211801185173</v>
      </c>
      <c r="R58" s="19"/>
    </row>
    <row r="59" spans="2:18" x14ac:dyDescent="0.3">
      <c r="B59" s="120">
        <f t="shared" si="6"/>
        <v>2025</v>
      </c>
      <c r="C59" s="125"/>
      <c r="D59" s="125"/>
      <c r="E59" s="125"/>
      <c r="F59" s="125"/>
      <c r="G59" s="125"/>
      <c r="H59" s="125"/>
      <c r="I59" s="125"/>
      <c r="J59" s="125"/>
      <c r="K59" s="125"/>
      <c r="L59" s="125"/>
      <c r="M59" s="125">
        <f>HLOOKUP($B59,$C$44:$Q$45,2,FALSE)*$C$32*(1-IF(ROUNDDOWN((M$44-$B59)/$D$32,0)&lt;1,0,IF(ROUNDDOWN((M$44-$B59)/$D$32,0)&lt;2,0.5,IF(ROUNDDOWN((M$44-$B59)/$D$32,0)&lt;3,0.75,IF(ROUNDDOWN((M$44-$B59)/$D$32,0)&lt;4,0.875,0.9375)))))+HLOOKUP($B59,$C$44:$Q$45,2,FALSE)*$C$33*(1-IF(ROUNDDOWN((M$44-$B59)/$D$33,0)&lt;1,0,IF(ROUNDDOWN((M$44-$B59)/$D$33,0)&lt;2,0.5,IF(ROUNDDOWN((M$44-$B59)/$D$33,0)&lt;3,0.75,IF(ROUNDDOWN((M$44-$B59)/$D$33,0)&lt;4,0.875,0.9375)))))+HLOOKUP($B59,$C$44:$Q$45,2,FALSE)*$C$34*(1-IF(ROUNDDOWN((M$44-$B59)/$D$34,0)&lt;1,0,IF(ROUNDDOWN((M$44-$B59)/$D$34,0)&lt;2,0.5,IF(ROUNDDOWN((M$44-$B59)/$D$34,0)&lt;3,0.75,IF(ROUNDDOWN((M$44-$B59)/$D$34,0)&lt;4,0.875,0.9375)))))+HLOOKUP($B59,$C$44:$Q$45,2,FALSE)*$C$35*(1-IF(ROUNDDOWN((M$44-$B59)/$D$35,0)&lt;1,0,IF(ROUNDDOWN((M$44-$B59)/$D$35,0)&lt;2,0.5,IF(ROUNDDOWN((M$44-$B59)/$D$35,0)&lt;3,0.75,IF(ROUNDDOWN((M$44-$B59)/$D$35,0)&lt;4,0.875,0.9375)))))+HLOOKUP($B59,$C$44:$Q$45,2,FALSE)*$C$36*(1-IF(ROUNDDOWN((M$44-$B59)/$D$36,0)&lt;1,0,IF(ROUNDDOWN((M$44-$B59)/$D$36,0)&lt;2,0.5,IF(ROUNDDOWN((M$44-$B59)/$D$36,0)&lt;3,0.75,IF(ROUNDDOWN((M$44-$B59)/$D$36,0)&lt;4,0.875,0.9375)))))+HLOOKUP($B59,$C$44:$Q$45,2,FALSE)*$C$37*(1-IF(ROUNDDOWN((M$44-$B59)/$D$37,0)&lt;1,0,IF(ROUNDDOWN((M$44-$B59)/$D$37,0)&lt;2,0.5,IF(ROUNDDOWN((M$44-$B59)/$D$37,0)&lt;3,0.75,IF(ROUNDDOWN((M$44-$B59)/$D$37,0)&lt;4,0.875,0.9375)))))</f>
        <v>1265.2073801801441</v>
      </c>
      <c r="N59" s="125">
        <f>HLOOKUP($B59,$C$44:$Q$45,2,FALSE)*$C$32*(1-IF(ROUNDDOWN((N$44-$B59)/$D$32,0)&lt;1,0,IF(ROUNDDOWN((N$44-$B59)/$D$32,0)&lt;2,0.5,IF(ROUNDDOWN((N$44-$B59)/$D$32,0)&lt;3,0.75,IF(ROUNDDOWN((N$44-$B59)/$D$32,0)&lt;4,0.875,0.9375)))))+HLOOKUP($B59,$C$44:$Q$45,2,FALSE)*$C$33*(1-IF(ROUNDDOWN((N$44-$B59)/$D$33,0)&lt;1,0,IF(ROUNDDOWN((N$44-$B59)/$D$33,0)&lt;2,0.5,IF(ROUNDDOWN((N$44-$B59)/$D$33,0)&lt;3,0.75,IF(ROUNDDOWN((N$44-$B59)/$D$33,0)&lt;4,0.875,0.9375)))))+HLOOKUP($B59,$C$44:$Q$45,2,FALSE)*$C$34*(1-IF(ROUNDDOWN((N$44-$B59)/$D$34,0)&lt;1,0,IF(ROUNDDOWN((N$44-$B59)/$D$34,0)&lt;2,0.5,IF(ROUNDDOWN((N$44-$B59)/$D$34,0)&lt;3,0.75,IF(ROUNDDOWN((N$44-$B59)/$D$34,0)&lt;4,0.875,0.9375)))))+HLOOKUP($B59,$C$44:$Q$45,2,FALSE)*$C$35*(1-IF(ROUNDDOWN((N$44-$B59)/$D$35,0)&lt;1,0,IF(ROUNDDOWN((N$44-$B59)/$D$35,0)&lt;2,0.5,IF(ROUNDDOWN((N$44-$B59)/$D$35,0)&lt;3,0.75,IF(ROUNDDOWN((N$44-$B59)/$D$35,0)&lt;4,0.875,0.9375)))))+HLOOKUP($B59,$C$44:$Q$45,2,FALSE)*$C$36*(1-IF(ROUNDDOWN((N$44-$B59)/$D$36,0)&lt;1,0,IF(ROUNDDOWN((N$44-$B59)/$D$36,0)&lt;2,0.5,IF(ROUNDDOWN((N$44-$B59)/$D$36,0)&lt;3,0.75,IF(ROUNDDOWN((N$44-$B59)/$D$36,0)&lt;4,0.875,0.9375)))))+HLOOKUP($B59,$C$44:$Q$45,2,FALSE)*$C$37*(1-IF(ROUNDDOWN((N$44-$B59)/$D$37,0)&lt;1,0,IF(ROUNDDOWN((N$44-$B59)/$D$37,0)&lt;2,0.5,IF(ROUNDDOWN((N$44-$B59)/$D$37,0)&lt;3,0.75,IF(ROUNDDOWN((N$44-$B59)/$D$37,0)&lt;4,0.875,0.9375)))))</f>
        <v>1265.2073801801441</v>
      </c>
      <c r="O59" s="125">
        <f>HLOOKUP($B59,$C$44:$Q$45,2,FALSE)*$C$32*(1-IF(ROUNDDOWN((O$44-$B59)/$D$32,0)&lt;1,0,IF(ROUNDDOWN((O$44-$B59)/$D$32,0)&lt;2,0.5,IF(ROUNDDOWN((O$44-$B59)/$D$32,0)&lt;3,0.75,IF(ROUNDDOWN((O$44-$B59)/$D$32,0)&lt;4,0.875,0.9375)))))+HLOOKUP($B59,$C$44:$Q$45,2,FALSE)*$C$33*(1-IF(ROUNDDOWN((O$44-$B59)/$D$33,0)&lt;1,0,IF(ROUNDDOWN((O$44-$B59)/$D$33,0)&lt;2,0.5,IF(ROUNDDOWN((O$44-$B59)/$D$33,0)&lt;3,0.75,IF(ROUNDDOWN((O$44-$B59)/$D$33,0)&lt;4,0.875,0.9375)))))+HLOOKUP($B59,$C$44:$Q$45,2,FALSE)*$C$34*(1-IF(ROUNDDOWN((O$44-$B59)/$D$34,0)&lt;1,0,IF(ROUNDDOWN((O$44-$B59)/$D$34,0)&lt;2,0.5,IF(ROUNDDOWN((O$44-$B59)/$D$34,0)&lt;3,0.75,IF(ROUNDDOWN((O$44-$B59)/$D$34,0)&lt;4,0.875,0.9375)))))+HLOOKUP($B59,$C$44:$Q$45,2,FALSE)*$C$35*(1-IF(ROUNDDOWN((O$44-$B59)/$D$35,0)&lt;1,0,IF(ROUNDDOWN((O$44-$B59)/$D$35,0)&lt;2,0.5,IF(ROUNDDOWN((O$44-$B59)/$D$35,0)&lt;3,0.75,IF(ROUNDDOWN((O$44-$B59)/$D$35,0)&lt;4,0.875,0.9375)))))+HLOOKUP($B59,$C$44:$Q$45,2,FALSE)*$C$36*(1-IF(ROUNDDOWN((O$44-$B59)/$D$36,0)&lt;1,0,IF(ROUNDDOWN((O$44-$B59)/$D$36,0)&lt;2,0.5,IF(ROUNDDOWN((O$44-$B59)/$D$36,0)&lt;3,0.75,IF(ROUNDDOWN((O$44-$B59)/$D$36,0)&lt;4,0.875,0.9375)))))+HLOOKUP($B59,$C$44:$Q$45,2,FALSE)*$C$37*(1-IF(ROUNDDOWN((O$44-$B59)/$D$37,0)&lt;1,0,IF(ROUNDDOWN((O$44-$B59)/$D$37,0)&lt;2,0.5,IF(ROUNDDOWN((O$44-$B59)/$D$37,0)&lt;3,0.75,IF(ROUNDDOWN((O$44-$B59)/$D$37,0)&lt;4,0.875,0.9375)))))</f>
        <v>1265.2073801801441</v>
      </c>
      <c r="P59" s="125">
        <f>HLOOKUP($B59,$C$44:$Q$45,2,FALSE)*$C$32*(1-IF(ROUNDDOWN((P$44-$B59)/$D$32,0)&lt;1,0,IF(ROUNDDOWN((P$44-$B59)/$D$32,0)&lt;2,0.5,IF(ROUNDDOWN((P$44-$B59)/$D$32,0)&lt;3,0.75,IF(ROUNDDOWN((P$44-$B59)/$D$32,0)&lt;4,0.875,0.9375)))))+HLOOKUP($B59,$C$44:$Q$45,2,FALSE)*$C$33*(1-IF(ROUNDDOWN((P$44-$B59)/$D$33,0)&lt;1,0,IF(ROUNDDOWN((P$44-$B59)/$D$33,0)&lt;2,0.5,IF(ROUNDDOWN((P$44-$B59)/$D$33,0)&lt;3,0.75,IF(ROUNDDOWN((P$44-$B59)/$D$33,0)&lt;4,0.875,0.9375)))))+HLOOKUP($B59,$C$44:$Q$45,2,FALSE)*$C$34*(1-IF(ROUNDDOWN((P$44-$B59)/$D$34,0)&lt;1,0,IF(ROUNDDOWN((P$44-$B59)/$D$34,0)&lt;2,0.5,IF(ROUNDDOWN((P$44-$B59)/$D$34,0)&lt;3,0.75,IF(ROUNDDOWN((P$44-$B59)/$D$34,0)&lt;4,0.875,0.9375)))))+HLOOKUP($B59,$C$44:$Q$45,2,FALSE)*$C$35*(1-IF(ROUNDDOWN((P$44-$B59)/$D$35,0)&lt;1,0,IF(ROUNDDOWN((P$44-$B59)/$D$35,0)&lt;2,0.5,IF(ROUNDDOWN((P$44-$B59)/$D$35,0)&lt;3,0.75,IF(ROUNDDOWN((P$44-$B59)/$D$35,0)&lt;4,0.875,0.9375)))))+HLOOKUP($B59,$C$44:$Q$45,2,FALSE)*$C$36*(1-IF(ROUNDDOWN((P$44-$B59)/$D$36,0)&lt;1,0,IF(ROUNDDOWN((P$44-$B59)/$D$36,0)&lt;2,0.5,IF(ROUNDDOWN((P$44-$B59)/$D$36,0)&lt;3,0.75,IF(ROUNDDOWN((P$44-$B59)/$D$36,0)&lt;4,0.875,0.9375)))))+HLOOKUP($B59,$C$44:$Q$45,2,FALSE)*$C$37*(1-IF(ROUNDDOWN((P$44-$B59)/$D$37,0)&lt;1,0,IF(ROUNDDOWN((P$44-$B59)/$D$37,0)&lt;2,0.5,IF(ROUNDDOWN((P$44-$B59)/$D$37,0)&lt;3,0.75,IF(ROUNDDOWN((P$44-$B59)/$D$37,0)&lt;4,0.875,0.9375)))))</f>
        <v>1210.8034628323978</v>
      </c>
      <c r="Q59" s="125">
        <f>HLOOKUP($B59,$C$44:$Q$45,2,FALSE)*$C$32*(1-IF(ROUNDDOWN((Q$44-$B59)/$D$32,0)&lt;1,0,IF(ROUNDDOWN((Q$44-$B59)/$D$32,0)&lt;2,0.5,IF(ROUNDDOWN((Q$44-$B59)/$D$32,0)&lt;3,0.75,IF(ROUNDDOWN((Q$44-$B59)/$D$32,0)&lt;4,0.875,0.9375)))))+HLOOKUP($B59,$C$44:$Q$45,2,FALSE)*$C$33*(1-IF(ROUNDDOWN((Q$44-$B59)/$D$33,0)&lt;1,0,IF(ROUNDDOWN((Q$44-$B59)/$D$33,0)&lt;2,0.5,IF(ROUNDDOWN((Q$44-$B59)/$D$33,0)&lt;3,0.75,IF(ROUNDDOWN((Q$44-$B59)/$D$33,0)&lt;4,0.875,0.9375)))))+HLOOKUP($B59,$C$44:$Q$45,2,FALSE)*$C$34*(1-IF(ROUNDDOWN((Q$44-$B59)/$D$34,0)&lt;1,0,IF(ROUNDDOWN((Q$44-$B59)/$D$34,0)&lt;2,0.5,IF(ROUNDDOWN((Q$44-$B59)/$D$34,0)&lt;3,0.75,IF(ROUNDDOWN((Q$44-$B59)/$D$34,0)&lt;4,0.875,0.9375)))))+HLOOKUP($B59,$C$44:$Q$45,2,FALSE)*$C$35*(1-IF(ROUNDDOWN((Q$44-$B59)/$D$35,0)&lt;1,0,IF(ROUNDDOWN((Q$44-$B59)/$D$35,0)&lt;2,0.5,IF(ROUNDDOWN((Q$44-$B59)/$D$35,0)&lt;3,0.75,IF(ROUNDDOWN((Q$44-$B59)/$D$35,0)&lt;4,0.875,0.9375)))))+HLOOKUP($B59,$C$44:$Q$45,2,FALSE)*$C$36*(1-IF(ROUNDDOWN((Q$44-$B59)/$D$36,0)&lt;1,0,IF(ROUNDDOWN((Q$44-$B59)/$D$36,0)&lt;2,0.5,IF(ROUNDDOWN((Q$44-$B59)/$D$36,0)&lt;3,0.75,IF(ROUNDDOWN((Q$44-$B59)/$D$36,0)&lt;4,0.875,0.9375)))))+HLOOKUP($B59,$C$44:$Q$45,2,FALSE)*$C$37*(1-IF(ROUNDDOWN((Q$44-$B59)/$D$37,0)&lt;1,0,IF(ROUNDDOWN((Q$44-$B59)/$D$37,0)&lt;2,0.5,IF(ROUNDDOWN((Q$44-$B59)/$D$37,0)&lt;3,0.75,IF(ROUNDDOWN((Q$44-$B59)/$D$37,0)&lt;4,0.875,0.9375)))))</f>
        <v>1210.8034628323978</v>
      </c>
      <c r="R59" s="19"/>
    </row>
    <row r="60" spans="2:18" x14ac:dyDescent="0.3">
      <c r="B60" s="120">
        <f t="shared" si="6"/>
        <v>2026</v>
      </c>
      <c r="C60" s="125"/>
      <c r="D60" s="125"/>
      <c r="E60" s="125"/>
      <c r="F60" s="125"/>
      <c r="G60" s="125"/>
      <c r="H60" s="125"/>
      <c r="I60" s="125"/>
      <c r="J60" s="125"/>
      <c r="K60" s="125"/>
      <c r="L60" s="125"/>
      <c r="M60" s="125"/>
      <c r="N60" s="125">
        <f>HLOOKUP($B60,$C$44:$Q$45,2,FALSE)*$C$32*(1-IF(ROUNDDOWN((N$44-$B60)/$D$32,0)&lt;1,0,IF(ROUNDDOWN((N$44-$B60)/$D$32,0)&lt;2,0.5,IF(ROUNDDOWN((N$44-$B60)/$D$32,0)&lt;3,0.75,IF(ROUNDDOWN((N$44-$B60)/$D$32,0)&lt;4,0.875,0.9375)))))+HLOOKUP($B60,$C$44:$Q$45,2,FALSE)*$C$33*(1-IF(ROUNDDOWN((N$44-$B60)/$D$33,0)&lt;1,0,IF(ROUNDDOWN((N$44-$B60)/$D$33,0)&lt;2,0.5,IF(ROUNDDOWN((N$44-$B60)/$D$33,0)&lt;3,0.75,IF(ROUNDDOWN((N$44-$B60)/$D$33,0)&lt;4,0.875,0.9375)))))+HLOOKUP($B60,$C$44:$Q$45,2,FALSE)*$C$34*(1-IF(ROUNDDOWN((N$44-$B60)/$D$34,0)&lt;1,0,IF(ROUNDDOWN((N$44-$B60)/$D$34,0)&lt;2,0.5,IF(ROUNDDOWN((N$44-$B60)/$D$34,0)&lt;3,0.75,IF(ROUNDDOWN((N$44-$B60)/$D$34,0)&lt;4,0.875,0.9375)))))+HLOOKUP($B60,$C$44:$Q$45,2,FALSE)*$C$35*(1-IF(ROUNDDOWN((N$44-$B60)/$D$35,0)&lt;1,0,IF(ROUNDDOWN((N$44-$B60)/$D$35,0)&lt;2,0.5,IF(ROUNDDOWN((N$44-$B60)/$D$35,0)&lt;3,0.75,IF(ROUNDDOWN((N$44-$B60)/$D$35,0)&lt;4,0.875,0.9375)))))+HLOOKUP($B60,$C$44:$Q$45,2,FALSE)*$C$36*(1-IF(ROUNDDOWN((N$44-$B60)/$D$36,0)&lt;1,0,IF(ROUNDDOWN((N$44-$B60)/$D$36,0)&lt;2,0.5,IF(ROUNDDOWN((N$44-$B60)/$D$36,0)&lt;3,0.75,IF(ROUNDDOWN((N$44-$B60)/$D$36,0)&lt;4,0.875,0.9375)))))+HLOOKUP($B60,$C$44:$Q$45,2,FALSE)*$C$37*(1-IF(ROUNDDOWN((N$44-$B60)/$D$37,0)&lt;1,0,IF(ROUNDDOWN((N$44-$B60)/$D$37,0)&lt;2,0.5,IF(ROUNDDOWN((N$44-$B60)/$D$37,0)&lt;3,0.75,IF(ROUNDDOWN((N$44-$B60)/$D$37,0)&lt;4,0.875,0.9375)))))</f>
        <v>1356.9339033921021</v>
      </c>
      <c r="O60" s="125">
        <f>HLOOKUP($B60,$C$44:$Q$45,2,FALSE)*$C$32*(1-IF(ROUNDDOWN((O$44-$B60)/$D$32,0)&lt;1,0,IF(ROUNDDOWN((O$44-$B60)/$D$32,0)&lt;2,0.5,IF(ROUNDDOWN((O$44-$B60)/$D$32,0)&lt;3,0.75,IF(ROUNDDOWN((O$44-$B60)/$D$32,0)&lt;4,0.875,0.9375)))))+HLOOKUP($B60,$C$44:$Q$45,2,FALSE)*$C$33*(1-IF(ROUNDDOWN((O$44-$B60)/$D$33,0)&lt;1,0,IF(ROUNDDOWN((O$44-$B60)/$D$33,0)&lt;2,0.5,IF(ROUNDDOWN((O$44-$B60)/$D$33,0)&lt;3,0.75,IF(ROUNDDOWN((O$44-$B60)/$D$33,0)&lt;4,0.875,0.9375)))))+HLOOKUP($B60,$C$44:$Q$45,2,FALSE)*$C$34*(1-IF(ROUNDDOWN((O$44-$B60)/$D$34,0)&lt;1,0,IF(ROUNDDOWN((O$44-$B60)/$D$34,0)&lt;2,0.5,IF(ROUNDDOWN((O$44-$B60)/$D$34,0)&lt;3,0.75,IF(ROUNDDOWN((O$44-$B60)/$D$34,0)&lt;4,0.875,0.9375)))))+HLOOKUP($B60,$C$44:$Q$45,2,FALSE)*$C$35*(1-IF(ROUNDDOWN((O$44-$B60)/$D$35,0)&lt;1,0,IF(ROUNDDOWN((O$44-$B60)/$D$35,0)&lt;2,0.5,IF(ROUNDDOWN((O$44-$B60)/$D$35,0)&lt;3,0.75,IF(ROUNDDOWN((O$44-$B60)/$D$35,0)&lt;4,0.875,0.9375)))))+HLOOKUP($B60,$C$44:$Q$45,2,FALSE)*$C$36*(1-IF(ROUNDDOWN((O$44-$B60)/$D$36,0)&lt;1,0,IF(ROUNDDOWN((O$44-$B60)/$D$36,0)&lt;2,0.5,IF(ROUNDDOWN((O$44-$B60)/$D$36,0)&lt;3,0.75,IF(ROUNDDOWN((O$44-$B60)/$D$36,0)&lt;4,0.875,0.9375)))))+HLOOKUP($B60,$C$44:$Q$45,2,FALSE)*$C$37*(1-IF(ROUNDDOWN((O$44-$B60)/$D$37,0)&lt;1,0,IF(ROUNDDOWN((O$44-$B60)/$D$37,0)&lt;2,0.5,IF(ROUNDDOWN((O$44-$B60)/$D$37,0)&lt;3,0.75,IF(ROUNDDOWN((O$44-$B60)/$D$37,0)&lt;4,0.875,0.9375)))))</f>
        <v>1356.9339033921021</v>
      </c>
      <c r="P60" s="125">
        <f>HLOOKUP($B60,$C$44:$Q$45,2,FALSE)*$C$32*(1-IF(ROUNDDOWN((P$44-$B60)/$D$32,0)&lt;1,0,IF(ROUNDDOWN((P$44-$B60)/$D$32,0)&lt;2,0.5,IF(ROUNDDOWN((P$44-$B60)/$D$32,0)&lt;3,0.75,IF(ROUNDDOWN((P$44-$B60)/$D$32,0)&lt;4,0.875,0.9375)))))+HLOOKUP($B60,$C$44:$Q$45,2,FALSE)*$C$33*(1-IF(ROUNDDOWN((P$44-$B60)/$D$33,0)&lt;1,0,IF(ROUNDDOWN((P$44-$B60)/$D$33,0)&lt;2,0.5,IF(ROUNDDOWN((P$44-$B60)/$D$33,0)&lt;3,0.75,IF(ROUNDDOWN((P$44-$B60)/$D$33,0)&lt;4,0.875,0.9375)))))+HLOOKUP($B60,$C$44:$Q$45,2,FALSE)*$C$34*(1-IF(ROUNDDOWN((P$44-$B60)/$D$34,0)&lt;1,0,IF(ROUNDDOWN((P$44-$B60)/$D$34,0)&lt;2,0.5,IF(ROUNDDOWN((P$44-$B60)/$D$34,0)&lt;3,0.75,IF(ROUNDDOWN((P$44-$B60)/$D$34,0)&lt;4,0.875,0.9375)))))+HLOOKUP($B60,$C$44:$Q$45,2,FALSE)*$C$35*(1-IF(ROUNDDOWN((P$44-$B60)/$D$35,0)&lt;1,0,IF(ROUNDDOWN((P$44-$B60)/$D$35,0)&lt;2,0.5,IF(ROUNDDOWN((P$44-$B60)/$D$35,0)&lt;3,0.75,IF(ROUNDDOWN((P$44-$B60)/$D$35,0)&lt;4,0.875,0.9375)))))+HLOOKUP($B60,$C$44:$Q$45,2,FALSE)*$C$36*(1-IF(ROUNDDOWN((P$44-$B60)/$D$36,0)&lt;1,0,IF(ROUNDDOWN((P$44-$B60)/$D$36,0)&lt;2,0.5,IF(ROUNDDOWN((P$44-$B60)/$D$36,0)&lt;3,0.75,IF(ROUNDDOWN((P$44-$B60)/$D$36,0)&lt;4,0.875,0.9375)))))+HLOOKUP($B60,$C$44:$Q$45,2,FALSE)*$C$37*(1-IF(ROUNDDOWN((P$44-$B60)/$D$37,0)&lt;1,0,IF(ROUNDDOWN((P$44-$B60)/$D$37,0)&lt;2,0.5,IF(ROUNDDOWN((P$44-$B60)/$D$37,0)&lt;3,0.75,IF(ROUNDDOWN((P$44-$B60)/$D$37,0)&lt;4,0.875,0.9375)))))</f>
        <v>1356.9339033921021</v>
      </c>
      <c r="Q60" s="125">
        <f>HLOOKUP($B60,$C$44:$Q$45,2,FALSE)*$C$32*(1-IF(ROUNDDOWN((Q$44-$B60)/$D$32,0)&lt;1,0,IF(ROUNDDOWN((Q$44-$B60)/$D$32,0)&lt;2,0.5,IF(ROUNDDOWN((Q$44-$B60)/$D$32,0)&lt;3,0.75,IF(ROUNDDOWN((Q$44-$B60)/$D$32,0)&lt;4,0.875,0.9375)))))+HLOOKUP($B60,$C$44:$Q$45,2,FALSE)*$C$33*(1-IF(ROUNDDOWN((Q$44-$B60)/$D$33,0)&lt;1,0,IF(ROUNDDOWN((Q$44-$B60)/$D$33,0)&lt;2,0.5,IF(ROUNDDOWN((Q$44-$B60)/$D$33,0)&lt;3,0.75,IF(ROUNDDOWN((Q$44-$B60)/$D$33,0)&lt;4,0.875,0.9375)))))+HLOOKUP($B60,$C$44:$Q$45,2,FALSE)*$C$34*(1-IF(ROUNDDOWN((Q$44-$B60)/$D$34,0)&lt;1,0,IF(ROUNDDOWN((Q$44-$B60)/$D$34,0)&lt;2,0.5,IF(ROUNDDOWN((Q$44-$B60)/$D$34,0)&lt;3,0.75,IF(ROUNDDOWN((Q$44-$B60)/$D$34,0)&lt;4,0.875,0.9375)))))+HLOOKUP($B60,$C$44:$Q$45,2,FALSE)*$C$35*(1-IF(ROUNDDOWN((Q$44-$B60)/$D$35,0)&lt;1,0,IF(ROUNDDOWN((Q$44-$B60)/$D$35,0)&lt;2,0.5,IF(ROUNDDOWN((Q$44-$B60)/$D$35,0)&lt;3,0.75,IF(ROUNDDOWN((Q$44-$B60)/$D$35,0)&lt;4,0.875,0.9375)))))+HLOOKUP($B60,$C$44:$Q$45,2,FALSE)*$C$36*(1-IF(ROUNDDOWN((Q$44-$B60)/$D$36,0)&lt;1,0,IF(ROUNDDOWN((Q$44-$B60)/$D$36,0)&lt;2,0.5,IF(ROUNDDOWN((Q$44-$B60)/$D$36,0)&lt;3,0.75,IF(ROUNDDOWN((Q$44-$B60)/$D$36,0)&lt;4,0.875,0.9375)))))+HLOOKUP($B60,$C$44:$Q$45,2,FALSE)*$C$37*(1-IF(ROUNDDOWN((Q$44-$B60)/$D$37,0)&lt;1,0,IF(ROUNDDOWN((Q$44-$B60)/$D$37,0)&lt;2,0.5,IF(ROUNDDOWN((Q$44-$B60)/$D$37,0)&lt;3,0.75,IF(ROUNDDOWN((Q$44-$B60)/$D$37,0)&lt;4,0.875,0.9375)))))</f>
        <v>1298.5857455462417</v>
      </c>
      <c r="R60" s="19"/>
    </row>
    <row r="61" spans="2:18" x14ac:dyDescent="0.3">
      <c r="B61" s="120">
        <f t="shared" si="6"/>
        <v>2027</v>
      </c>
      <c r="C61" s="125"/>
      <c r="D61" s="125"/>
      <c r="E61" s="125"/>
      <c r="F61" s="125"/>
      <c r="G61" s="125"/>
      <c r="H61" s="125"/>
      <c r="I61" s="125"/>
      <c r="J61" s="125"/>
      <c r="K61" s="125"/>
      <c r="L61" s="125"/>
      <c r="M61" s="125"/>
      <c r="N61" s="125"/>
      <c r="O61" s="125">
        <f>HLOOKUP($B61,$C$44:$Q$45,2,FALSE)*$C$32*(1-IF(ROUNDDOWN((O$44-$B61)/$D$32,0)&lt;1,0,IF(ROUNDDOWN((O$44-$B61)/$D$32,0)&lt;2,0.5,IF(ROUNDDOWN((O$44-$B61)/$D$32,0)&lt;3,0.75,IF(ROUNDDOWN((O$44-$B61)/$D$32,0)&lt;4,0.875,0.9375)))))+HLOOKUP($B61,$C$44:$Q$45,2,FALSE)*$C$33*(1-IF(ROUNDDOWN((O$44-$B61)/$D$33,0)&lt;1,0,IF(ROUNDDOWN((O$44-$B61)/$D$33,0)&lt;2,0.5,IF(ROUNDDOWN((O$44-$B61)/$D$33,0)&lt;3,0.75,IF(ROUNDDOWN((O$44-$B61)/$D$33,0)&lt;4,0.875,0.9375)))))+HLOOKUP($B61,$C$44:$Q$45,2,FALSE)*$C$34*(1-IF(ROUNDDOWN((O$44-$B61)/$D$34,0)&lt;1,0,IF(ROUNDDOWN((O$44-$B61)/$D$34,0)&lt;2,0.5,IF(ROUNDDOWN((O$44-$B61)/$D$34,0)&lt;3,0.75,IF(ROUNDDOWN((O$44-$B61)/$D$34,0)&lt;4,0.875,0.9375)))))+HLOOKUP($B61,$C$44:$Q$45,2,FALSE)*$C$35*(1-IF(ROUNDDOWN((O$44-$B61)/$D$35,0)&lt;1,0,IF(ROUNDDOWN((O$44-$B61)/$D$35,0)&lt;2,0.5,IF(ROUNDDOWN((O$44-$B61)/$D$35,0)&lt;3,0.75,IF(ROUNDDOWN((O$44-$B61)/$D$35,0)&lt;4,0.875,0.9375)))))+HLOOKUP($B61,$C$44:$Q$45,2,FALSE)*$C$36*(1-IF(ROUNDDOWN((O$44-$B61)/$D$36,0)&lt;1,0,IF(ROUNDDOWN((O$44-$B61)/$D$36,0)&lt;2,0.5,IF(ROUNDDOWN((O$44-$B61)/$D$36,0)&lt;3,0.75,IF(ROUNDDOWN((O$44-$B61)/$D$36,0)&lt;4,0.875,0.9375)))))+HLOOKUP($B61,$C$44:$Q$45,2,FALSE)*$C$37*(1-IF(ROUNDDOWN((O$44-$B61)/$D$37,0)&lt;1,0,IF(ROUNDDOWN((O$44-$B61)/$D$37,0)&lt;2,0.5,IF(ROUNDDOWN((O$44-$B61)/$D$37,0)&lt;3,0.75,IF(ROUNDDOWN((O$44-$B61)/$D$37,0)&lt;4,0.875,0.9375)))))</f>
        <v>1448.6604266040983</v>
      </c>
      <c r="P61" s="125">
        <f>HLOOKUP($B61,$C$44:$Q$45,2,FALSE)*$C$32*(1-IF(ROUNDDOWN((P$44-$B61)/$D$32,0)&lt;1,0,IF(ROUNDDOWN((P$44-$B61)/$D$32,0)&lt;2,0.5,IF(ROUNDDOWN((P$44-$B61)/$D$32,0)&lt;3,0.75,IF(ROUNDDOWN((P$44-$B61)/$D$32,0)&lt;4,0.875,0.9375)))))+HLOOKUP($B61,$C$44:$Q$45,2,FALSE)*$C$33*(1-IF(ROUNDDOWN((P$44-$B61)/$D$33,0)&lt;1,0,IF(ROUNDDOWN((P$44-$B61)/$D$33,0)&lt;2,0.5,IF(ROUNDDOWN((P$44-$B61)/$D$33,0)&lt;3,0.75,IF(ROUNDDOWN((P$44-$B61)/$D$33,0)&lt;4,0.875,0.9375)))))+HLOOKUP($B61,$C$44:$Q$45,2,FALSE)*$C$34*(1-IF(ROUNDDOWN((P$44-$B61)/$D$34,0)&lt;1,0,IF(ROUNDDOWN((P$44-$B61)/$D$34,0)&lt;2,0.5,IF(ROUNDDOWN((P$44-$B61)/$D$34,0)&lt;3,0.75,IF(ROUNDDOWN((P$44-$B61)/$D$34,0)&lt;4,0.875,0.9375)))))+HLOOKUP($B61,$C$44:$Q$45,2,FALSE)*$C$35*(1-IF(ROUNDDOWN((P$44-$B61)/$D$35,0)&lt;1,0,IF(ROUNDDOWN((P$44-$B61)/$D$35,0)&lt;2,0.5,IF(ROUNDDOWN((P$44-$B61)/$D$35,0)&lt;3,0.75,IF(ROUNDDOWN((P$44-$B61)/$D$35,0)&lt;4,0.875,0.9375)))))+HLOOKUP($B61,$C$44:$Q$45,2,FALSE)*$C$36*(1-IF(ROUNDDOWN((P$44-$B61)/$D$36,0)&lt;1,0,IF(ROUNDDOWN((P$44-$B61)/$D$36,0)&lt;2,0.5,IF(ROUNDDOWN((P$44-$B61)/$D$36,0)&lt;3,0.75,IF(ROUNDDOWN((P$44-$B61)/$D$36,0)&lt;4,0.875,0.9375)))))+HLOOKUP($B61,$C$44:$Q$45,2,FALSE)*$C$37*(1-IF(ROUNDDOWN((P$44-$B61)/$D$37,0)&lt;1,0,IF(ROUNDDOWN((P$44-$B61)/$D$37,0)&lt;2,0.5,IF(ROUNDDOWN((P$44-$B61)/$D$37,0)&lt;3,0.75,IF(ROUNDDOWN((P$44-$B61)/$D$37,0)&lt;4,0.875,0.9375)))))</f>
        <v>1448.6604266040983</v>
      </c>
      <c r="Q61" s="125">
        <f>HLOOKUP($B61,$C$44:$Q$45,2,FALSE)*$C$32*(1-IF(ROUNDDOWN((Q$44-$B61)/$D$32,0)&lt;1,0,IF(ROUNDDOWN((Q$44-$B61)/$D$32,0)&lt;2,0.5,IF(ROUNDDOWN((Q$44-$B61)/$D$32,0)&lt;3,0.75,IF(ROUNDDOWN((Q$44-$B61)/$D$32,0)&lt;4,0.875,0.9375)))))+HLOOKUP($B61,$C$44:$Q$45,2,FALSE)*$C$33*(1-IF(ROUNDDOWN((Q$44-$B61)/$D$33,0)&lt;1,0,IF(ROUNDDOWN((Q$44-$B61)/$D$33,0)&lt;2,0.5,IF(ROUNDDOWN((Q$44-$B61)/$D$33,0)&lt;3,0.75,IF(ROUNDDOWN((Q$44-$B61)/$D$33,0)&lt;4,0.875,0.9375)))))+HLOOKUP($B61,$C$44:$Q$45,2,FALSE)*$C$34*(1-IF(ROUNDDOWN((Q$44-$B61)/$D$34,0)&lt;1,0,IF(ROUNDDOWN((Q$44-$B61)/$D$34,0)&lt;2,0.5,IF(ROUNDDOWN((Q$44-$B61)/$D$34,0)&lt;3,0.75,IF(ROUNDDOWN((Q$44-$B61)/$D$34,0)&lt;4,0.875,0.9375)))))+HLOOKUP($B61,$C$44:$Q$45,2,FALSE)*$C$35*(1-IF(ROUNDDOWN((Q$44-$B61)/$D$35,0)&lt;1,0,IF(ROUNDDOWN((Q$44-$B61)/$D$35,0)&lt;2,0.5,IF(ROUNDDOWN((Q$44-$B61)/$D$35,0)&lt;3,0.75,IF(ROUNDDOWN((Q$44-$B61)/$D$35,0)&lt;4,0.875,0.9375)))))+HLOOKUP($B61,$C$44:$Q$45,2,FALSE)*$C$36*(1-IF(ROUNDDOWN((Q$44-$B61)/$D$36,0)&lt;1,0,IF(ROUNDDOWN((Q$44-$B61)/$D$36,0)&lt;2,0.5,IF(ROUNDDOWN((Q$44-$B61)/$D$36,0)&lt;3,0.75,IF(ROUNDDOWN((Q$44-$B61)/$D$36,0)&lt;4,0.875,0.9375)))))+HLOOKUP($B61,$C$44:$Q$45,2,FALSE)*$C$37*(1-IF(ROUNDDOWN((Q$44-$B61)/$D$37,0)&lt;1,0,IF(ROUNDDOWN((Q$44-$B61)/$D$37,0)&lt;2,0.5,IF(ROUNDDOWN((Q$44-$B61)/$D$37,0)&lt;3,0.75,IF(ROUNDDOWN((Q$44-$B61)/$D$37,0)&lt;4,0.875,0.9375)))))</f>
        <v>1448.6604266040983</v>
      </c>
      <c r="R61" s="19"/>
    </row>
    <row r="62" spans="2:18" x14ac:dyDescent="0.3">
      <c r="B62" s="120">
        <f t="shared" si="6"/>
        <v>2028</v>
      </c>
      <c r="C62" s="125"/>
      <c r="D62" s="125"/>
      <c r="E62" s="125"/>
      <c r="F62" s="125"/>
      <c r="G62" s="125"/>
      <c r="H62" s="125"/>
      <c r="I62" s="125"/>
      <c r="J62" s="125"/>
      <c r="K62" s="125"/>
      <c r="L62" s="125"/>
      <c r="M62" s="125"/>
      <c r="N62" s="125"/>
      <c r="O62" s="125"/>
      <c r="P62" s="125">
        <f>HLOOKUP($B62,$C$44:$Q$45,2,FALSE)*$C$32*(1-IF(ROUNDDOWN((P$44-$B62)/$D$32,0)&lt;1,0,IF(ROUNDDOWN((P$44-$B62)/$D$32,0)&lt;2,0.5,IF(ROUNDDOWN((P$44-$B62)/$D$32,0)&lt;3,0.75,IF(ROUNDDOWN((P$44-$B62)/$D$32,0)&lt;4,0.875,0.9375)))))+HLOOKUP($B62,$C$44:$Q$45,2,FALSE)*$C$33*(1-IF(ROUNDDOWN((P$44-$B62)/$D$33,0)&lt;1,0,IF(ROUNDDOWN((P$44-$B62)/$D$33,0)&lt;2,0.5,IF(ROUNDDOWN((P$44-$B62)/$D$33,0)&lt;3,0.75,IF(ROUNDDOWN((P$44-$B62)/$D$33,0)&lt;4,0.875,0.9375)))))+HLOOKUP($B62,$C$44:$Q$45,2,FALSE)*$C$34*(1-IF(ROUNDDOWN((P$44-$B62)/$D$34,0)&lt;1,0,IF(ROUNDDOWN((P$44-$B62)/$D$34,0)&lt;2,0.5,IF(ROUNDDOWN((P$44-$B62)/$D$34,0)&lt;3,0.75,IF(ROUNDDOWN((P$44-$B62)/$D$34,0)&lt;4,0.875,0.9375)))))+HLOOKUP($B62,$C$44:$Q$45,2,FALSE)*$C$35*(1-IF(ROUNDDOWN((P$44-$B62)/$D$35,0)&lt;1,0,IF(ROUNDDOWN((P$44-$B62)/$D$35,0)&lt;2,0.5,IF(ROUNDDOWN((P$44-$B62)/$D$35,0)&lt;3,0.75,IF(ROUNDDOWN((P$44-$B62)/$D$35,0)&lt;4,0.875,0.9375)))))+HLOOKUP($B62,$C$44:$Q$45,2,FALSE)*$C$36*(1-IF(ROUNDDOWN((P$44-$B62)/$D$36,0)&lt;1,0,IF(ROUNDDOWN((P$44-$B62)/$D$36,0)&lt;2,0.5,IF(ROUNDDOWN((P$44-$B62)/$D$36,0)&lt;3,0.75,IF(ROUNDDOWN((P$44-$B62)/$D$36,0)&lt;4,0.875,0.9375)))))+HLOOKUP($B62,$C$44:$Q$45,2,FALSE)*$C$37*(1-IF(ROUNDDOWN((P$44-$B62)/$D$37,0)&lt;1,0,IF(ROUNDDOWN((P$44-$B62)/$D$37,0)&lt;2,0.5,IF(ROUNDDOWN((P$44-$B62)/$D$37,0)&lt;3,0.75,IF(ROUNDDOWN((P$44-$B62)/$D$37,0)&lt;4,0.875,0.9375)))))</f>
        <v>1540.3869498160561</v>
      </c>
      <c r="Q62" s="125">
        <f>HLOOKUP($B62,$C$44:$Q$45,2,FALSE)*$C$32*(1-IF(ROUNDDOWN((Q$44-$B62)/$D$32,0)&lt;1,0,IF(ROUNDDOWN((Q$44-$B62)/$D$32,0)&lt;2,0.5,IF(ROUNDDOWN((Q$44-$B62)/$D$32,0)&lt;3,0.75,IF(ROUNDDOWN((Q$44-$B62)/$D$32,0)&lt;4,0.875,0.9375)))))+HLOOKUP($B62,$C$44:$Q$45,2,FALSE)*$C$33*(1-IF(ROUNDDOWN((Q$44-$B62)/$D$33,0)&lt;1,0,IF(ROUNDDOWN((Q$44-$B62)/$D$33,0)&lt;2,0.5,IF(ROUNDDOWN((Q$44-$B62)/$D$33,0)&lt;3,0.75,IF(ROUNDDOWN((Q$44-$B62)/$D$33,0)&lt;4,0.875,0.9375)))))+HLOOKUP($B62,$C$44:$Q$45,2,FALSE)*$C$34*(1-IF(ROUNDDOWN((Q$44-$B62)/$D$34,0)&lt;1,0,IF(ROUNDDOWN((Q$44-$B62)/$D$34,0)&lt;2,0.5,IF(ROUNDDOWN((Q$44-$B62)/$D$34,0)&lt;3,0.75,IF(ROUNDDOWN((Q$44-$B62)/$D$34,0)&lt;4,0.875,0.9375)))))+HLOOKUP($B62,$C$44:$Q$45,2,FALSE)*$C$35*(1-IF(ROUNDDOWN((Q$44-$B62)/$D$35,0)&lt;1,0,IF(ROUNDDOWN((Q$44-$B62)/$D$35,0)&lt;2,0.5,IF(ROUNDDOWN((Q$44-$B62)/$D$35,0)&lt;3,0.75,IF(ROUNDDOWN((Q$44-$B62)/$D$35,0)&lt;4,0.875,0.9375)))))+HLOOKUP($B62,$C$44:$Q$45,2,FALSE)*$C$36*(1-IF(ROUNDDOWN((Q$44-$B62)/$D$36,0)&lt;1,0,IF(ROUNDDOWN((Q$44-$B62)/$D$36,0)&lt;2,0.5,IF(ROUNDDOWN((Q$44-$B62)/$D$36,0)&lt;3,0.75,IF(ROUNDDOWN((Q$44-$B62)/$D$36,0)&lt;4,0.875,0.9375)))))+HLOOKUP($B62,$C$44:$Q$45,2,FALSE)*$C$37*(1-IF(ROUNDDOWN((Q$44-$B62)/$D$37,0)&lt;1,0,IF(ROUNDDOWN((Q$44-$B62)/$D$37,0)&lt;2,0.5,IF(ROUNDDOWN((Q$44-$B62)/$D$37,0)&lt;3,0.75,IF(ROUNDDOWN((Q$44-$B62)/$D$37,0)&lt;4,0.875,0.9375)))))</f>
        <v>1540.3869498160561</v>
      </c>
      <c r="R62" s="19"/>
    </row>
    <row r="63" spans="2:18" x14ac:dyDescent="0.3">
      <c r="B63" s="120">
        <f t="shared" si="6"/>
        <v>2029</v>
      </c>
      <c r="C63" s="125"/>
      <c r="D63" s="125"/>
      <c r="E63" s="125"/>
      <c r="F63" s="125"/>
      <c r="G63" s="125"/>
      <c r="H63" s="125"/>
      <c r="I63" s="125"/>
      <c r="J63" s="125"/>
      <c r="K63" s="125"/>
      <c r="L63" s="125"/>
      <c r="M63" s="125"/>
      <c r="N63" s="125"/>
      <c r="O63" s="125"/>
      <c r="P63" s="125"/>
      <c r="Q63" s="125">
        <f>HLOOKUP($B63,$C$44:$Q$45,2,FALSE)*$C$32*(1-IF(ROUNDDOWN((Q$44-$B63)/$D$32,0)&lt;1,0,IF(ROUNDDOWN((Q$44-$B63)/$D$32,0)&lt;2,0.5,IF(ROUNDDOWN((Q$44-$B63)/$D$32,0)&lt;3,0.75,IF(ROUNDDOWN((Q$44-$B63)/$D$32,0)&lt;4,0.875,0.9375)))))+HLOOKUP($B63,$C$44:$Q$45,2,FALSE)*$C$33*(1-IF(ROUNDDOWN((Q$44-$B63)/$D$33,0)&lt;1,0,IF(ROUNDDOWN((Q$44-$B63)/$D$33,0)&lt;2,0.5,IF(ROUNDDOWN((Q$44-$B63)/$D$33,0)&lt;3,0.75,IF(ROUNDDOWN((Q$44-$B63)/$D$33,0)&lt;4,0.875,0.9375)))))+HLOOKUP($B63,$C$44:$Q$45,2,FALSE)*$C$34*(1-IF(ROUNDDOWN((Q$44-$B63)/$D$34,0)&lt;1,0,IF(ROUNDDOWN((Q$44-$B63)/$D$34,0)&lt;2,0.5,IF(ROUNDDOWN((Q$44-$B63)/$D$34,0)&lt;3,0.75,IF(ROUNDDOWN((Q$44-$B63)/$D$34,0)&lt;4,0.875,0.9375)))))+HLOOKUP($B63,$C$44:$Q$45,2,FALSE)*$C$35*(1-IF(ROUNDDOWN((Q$44-$B63)/$D$35,0)&lt;1,0,IF(ROUNDDOWN((Q$44-$B63)/$D$35,0)&lt;2,0.5,IF(ROUNDDOWN((Q$44-$B63)/$D$35,0)&lt;3,0.75,IF(ROUNDDOWN((Q$44-$B63)/$D$35,0)&lt;4,0.875,0.9375)))))+HLOOKUP($B63,$C$44:$Q$45,2,FALSE)*$C$36*(1-IF(ROUNDDOWN((Q$44-$B63)/$D$36,0)&lt;1,0,IF(ROUNDDOWN((Q$44-$B63)/$D$36,0)&lt;2,0.5,IF(ROUNDDOWN((Q$44-$B63)/$D$36,0)&lt;3,0.75,IF(ROUNDDOWN((Q$44-$B63)/$D$36,0)&lt;4,0.875,0.9375)))))+HLOOKUP($B63,$C$44:$Q$45,2,FALSE)*$C$37*(1-IF(ROUNDDOWN((Q$44-$B63)/$D$37,0)&lt;1,0,IF(ROUNDDOWN((Q$44-$B63)/$D$37,0)&lt;2,0.5,IF(ROUNDDOWN((Q$44-$B63)/$D$37,0)&lt;3,0.75,IF(ROUNDDOWN((Q$44-$B63)/$D$37,0)&lt;4,0.875,0.9375)))))</f>
        <v>1632.1134730280526</v>
      </c>
      <c r="R63" s="19"/>
    </row>
    <row r="64" spans="2:18" x14ac:dyDescent="0.3">
      <c r="B64" s="120">
        <f t="shared" si="6"/>
        <v>2030</v>
      </c>
      <c r="C64" s="125"/>
      <c r="D64" s="125"/>
      <c r="E64" s="125"/>
      <c r="F64" s="125"/>
      <c r="G64" s="125"/>
      <c r="H64" s="125"/>
      <c r="I64" s="125"/>
      <c r="J64" s="125"/>
      <c r="K64" s="125"/>
      <c r="L64" s="125"/>
      <c r="M64" s="125"/>
      <c r="N64" s="125"/>
      <c r="O64" s="125"/>
      <c r="P64" s="125"/>
      <c r="Q64" s="125"/>
      <c r="R64" s="19"/>
    </row>
    <row r="65" spans="2:18" x14ac:dyDescent="0.3">
      <c r="B65" s="20"/>
      <c r="C65" s="126"/>
      <c r="D65" s="126"/>
      <c r="E65" s="126"/>
      <c r="F65" s="126"/>
      <c r="G65" s="126"/>
      <c r="H65" s="126"/>
      <c r="I65" s="126"/>
      <c r="J65" s="126"/>
      <c r="K65" s="126"/>
      <c r="L65" s="126"/>
      <c r="M65" s="126"/>
      <c r="N65" s="126"/>
      <c r="O65" s="126"/>
      <c r="P65" s="126"/>
      <c r="Q65" s="126"/>
      <c r="R65" s="19"/>
    </row>
    <row r="66" spans="2:18" x14ac:dyDescent="0.3">
      <c r="B66" s="127" t="s">
        <v>176</v>
      </c>
      <c r="C66" s="128">
        <f t="shared" ref="C66:Q66" si="8">SUM(C49:C64)</f>
        <v>531.39519448432748</v>
      </c>
      <c r="D66" s="128">
        <f t="shared" si="8"/>
        <v>1062.790388968655</v>
      </c>
      <c r="E66" s="128">
        <f t="shared" si="8"/>
        <v>1594.1855834529824</v>
      </c>
      <c r="F66" s="128">
        <f t="shared" si="8"/>
        <v>2194.4573077864416</v>
      </c>
      <c r="G66" s="128">
        <f>SUM(G49:G64)</f>
        <v>2886.4555553318969</v>
      </c>
      <c r="H66" s="128">
        <f t="shared" si="8"/>
        <v>3670.1803260893107</v>
      </c>
      <c r="I66" s="128">
        <f t="shared" si="8"/>
        <v>4530.262382879193</v>
      </c>
      <c r="J66" s="128">
        <f t="shared" si="8"/>
        <v>5478.1267223829182</v>
      </c>
      <c r="K66" s="128">
        <f t="shared" si="8"/>
        <v>6492.5175368211521</v>
      </c>
      <c r="L66" s="128">
        <f t="shared" si="8"/>
        <v>7587.0060153834638</v>
      </c>
      <c r="M66" s="128">
        <f t="shared" si="8"/>
        <v>8746.0488486312261</v>
      </c>
      <c r="N66" s="128">
        <f t="shared" si="8"/>
        <v>9987.2327834152966</v>
      </c>
      <c r="O66" s="128">
        <f t="shared" si="8"/>
        <v>11306.715510440828</v>
      </c>
      <c r="P66" s="128">
        <f t="shared" si="8"/>
        <v>12703.684217949662</v>
      </c>
      <c r="Q66" s="128">
        <f t="shared" si="8"/>
        <v>14178.138905941825</v>
      </c>
      <c r="R66" s="19"/>
    </row>
    <row r="67" spans="2:18" x14ac:dyDescent="0.3">
      <c r="B67" s="20"/>
      <c r="C67" s="3"/>
      <c r="D67" s="3"/>
      <c r="E67" s="3"/>
      <c r="F67" s="3"/>
      <c r="G67" s="3"/>
      <c r="H67" s="3"/>
      <c r="I67" s="3"/>
      <c r="J67" s="3"/>
      <c r="K67" s="3"/>
      <c r="L67" s="3"/>
      <c r="M67" s="3"/>
      <c r="N67" s="3"/>
      <c r="O67" s="3"/>
      <c r="P67" s="3"/>
      <c r="Q67" s="3"/>
      <c r="R67" s="19"/>
    </row>
    <row r="68" spans="2:18" x14ac:dyDescent="0.3">
      <c r="B68" s="20"/>
      <c r="C68" s="3"/>
      <c r="D68" s="3"/>
      <c r="E68" s="3"/>
      <c r="F68" s="3"/>
      <c r="G68" s="3"/>
      <c r="H68" s="3"/>
      <c r="I68" s="3"/>
      <c r="J68" s="3"/>
      <c r="K68" s="3"/>
      <c r="L68" s="3"/>
      <c r="M68" s="3"/>
      <c r="N68" s="3"/>
      <c r="O68" s="3"/>
      <c r="P68" s="3"/>
      <c r="Q68" s="3"/>
      <c r="R68" s="19"/>
    </row>
    <row r="69" spans="2:18" x14ac:dyDescent="0.3">
      <c r="B69" s="20" t="s">
        <v>174</v>
      </c>
      <c r="C69" s="3" t="s">
        <v>177</v>
      </c>
      <c r="D69" s="3"/>
      <c r="E69" s="3"/>
      <c r="F69" s="3"/>
      <c r="G69" s="3"/>
      <c r="H69" s="3"/>
      <c r="I69" s="3"/>
      <c r="J69" s="3"/>
      <c r="K69" s="3"/>
      <c r="L69" s="3"/>
      <c r="M69" s="3"/>
      <c r="N69" s="3"/>
      <c r="O69" s="3"/>
      <c r="P69" s="3"/>
      <c r="Q69" s="3"/>
      <c r="R69" s="19"/>
    </row>
    <row r="70" spans="2:18" x14ac:dyDescent="0.3">
      <c r="B70" s="20"/>
      <c r="C70" s="41">
        <f t="shared" ref="C70:Q70" si="9">C73</f>
        <v>2015</v>
      </c>
      <c r="D70" s="41">
        <f t="shared" si="9"/>
        <v>2016</v>
      </c>
      <c r="E70" s="41">
        <f t="shared" si="9"/>
        <v>2017</v>
      </c>
      <c r="F70" s="41">
        <f t="shared" si="9"/>
        <v>2018</v>
      </c>
      <c r="G70" s="41">
        <f t="shared" si="9"/>
        <v>2019</v>
      </c>
      <c r="H70" s="41">
        <f t="shared" si="9"/>
        <v>2020</v>
      </c>
      <c r="I70" s="41">
        <f t="shared" si="9"/>
        <v>2021</v>
      </c>
      <c r="J70" s="41">
        <f t="shared" si="9"/>
        <v>2022</v>
      </c>
      <c r="K70" s="41">
        <f t="shared" si="9"/>
        <v>2023</v>
      </c>
      <c r="L70" s="41">
        <f t="shared" si="9"/>
        <v>2024</v>
      </c>
      <c r="M70" s="41">
        <f t="shared" si="9"/>
        <v>2025</v>
      </c>
      <c r="N70" s="41">
        <f t="shared" si="9"/>
        <v>2026</v>
      </c>
      <c r="O70" s="41">
        <f t="shared" si="9"/>
        <v>2027</v>
      </c>
      <c r="P70" s="41">
        <f t="shared" si="9"/>
        <v>2028</v>
      </c>
      <c r="Q70" s="41">
        <f t="shared" si="9"/>
        <v>2029</v>
      </c>
      <c r="R70" s="19"/>
    </row>
    <row r="71" spans="2:18" x14ac:dyDescent="0.3">
      <c r="B71" s="20"/>
      <c r="C71" s="124">
        <f>C26</f>
        <v>0.81313689153496327</v>
      </c>
      <c r="D71" s="124">
        <f t="shared" ref="D71:Q71" si="10">D26</f>
        <v>0.81313689153496327</v>
      </c>
      <c r="E71" s="124">
        <f t="shared" si="10"/>
        <v>0.81313689153496327</v>
      </c>
      <c r="F71" s="124">
        <f t="shared" si="10"/>
        <v>0.95349612084312485</v>
      </c>
      <c r="G71" s="124">
        <f t="shared" si="10"/>
        <v>1.0938553501513462</v>
      </c>
      <c r="H71" s="124">
        <f t="shared" si="10"/>
        <v>1.2342145794595079</v>
      </c>
      <c r="I71" s="124">
        <f t="shared" si="10"/>
        <v>1.3745738087677288</v>
      </c>
      <c r="J71" s="124">
        <f t="shared" si="10"/>
        <v>1.5149330380758905</v>
      </c>
      <c r="K71" s="124">
        <f t="shared" si="10"/>
        <v>1.6552922673841115</v>
      </c>
      <c r="L71" s="124">
        <f t="shared" si="10"/>
        <v>1.7956514966922732</v>
      </c>
      <c r="M71" s="124">
        <f t="shared" si="10"/>
        <v>1.936010726000494</v>
      </c>
      <c r="N71" s="124">
        <f t="shared" si="10"/>
        <v>2.0763699553086563</v>
      </c>
      <c r="O71" s="124">
        <f t="shared" si="10"/>
        <v>2.2167291846168768</v>
      </c>
      <c r="P71" s="124">
        <f t="shared" si="10"/>
        <v>2.3570884139250392</v>
      </c>
      <c r="Q71" s="124">
        <f t="shared" si="10"/>
        <v>2.4974476432332602</v>
      </c>
      <c r="R71" s="19"/>
    </row>
    <row r="72" spans="2:18" x14ac:dyDescent="0.3">
      <c r="B72" s="20"/>
      <c r="C72" s="3"/>
      <c r="D72" s="3"/>
      <c r="E72" s="3"/>
      <c r="F72" s="3"/>
      <c r="G72" s="3"/>
      <c r="H72" s="3"/>
      <c r="I72" s="3"/>
      <c r="J72" s="3"/>
      <c r="K72" s="3"/>
      <c r="L72" s="3"/>
      <c r="M72" s="3"/>
      <c r="N72" s="3"/>
      <c r="O72" s="3"/>
      <c r="P72" s="3"/>
      <c r="Q72" s="3"/>
      <c r="R72" s="19"/>
    </row>
    <row r="73" spans="2:18" x14ac:dyDescent="0.3">
      <c r="B73" s="120" t="s">
        <v>99</v>
      </c>
      <c r="C73" s="41">
        <v>2015</v>
      </c>
      <c r="D73" s="41">
        <f t="shared" ref="D73:Q73" si="11">C73+1</f>
        <v>2016</v>
      </c>
      <c r="E73" s="41">
        <f t="shared" si="11"/>
        <v>2017</v>
      </c>
      <c r="F73" s="41">
        <f t="shared" si="11"/>
        <v>2018</v>
      </c>
      <c r="G73" s="41">
        <f t="shared" si="11"/>
        <v>2019</v>
      </c>
      <c r="H73" s="41">
        <f t="shared" si="11"/>
        <v>2020</v>
      </c>
      <c r="I73" s="41">
        <f t="shared" si="11"/>
        <v>2021</v>
      </c>
      <c r="J73" s="41">
        <f t="shared" si="11"/>
        <v>2022</v>
      </c>
      <c r="K73" s="41">
        <f t="shared" si="11"/>
        <v>2023</v>
      </c>
      <c r="L73" s="41">
        <f t="shared" si="11"/>
        <v>2024</v>
      </c>
      <c r="M73" s="41">
        <f t="shared" si="11"/>
        <v>2025</v>
      </c>
      <c r="N73" s="41">
        <f t="shared" si="11"/>
        <v>2026</v>
      </c>
      <c r="O73" s="41">
        <f t="shared" si="11"/>
        <v>2027</v>
      </c>
      <c r="P73" s="41">
        <f t="shared" si="11"/>
        <v>2028</v>
      </c>
      <c r="Q73" s="41">
        <f t="shared" si="11"/>
        <v>2029</v>
      </c>
      <c r="R73" s="19"/>
    </row>
    <row r="74" spans="2:18" x14ac:dyDescent="0.3">
      <c r="B74" s="120">
        <v>2015</v>
      </c>
      <c r="C74" s="125">
        <f t="shared" ref="C74:Q83" si="12">HLOOKUP($B74,$C$70:$Q$71,2,FALSE)*$C$32*(1-IF(ROUNDDOWN((C$70-$B74)/$D$32,0)&lt;1,0,IF(ROUNDDOWN((C$70-$B74)/$D$32,0)&lt;2,0.5,IF(ROUNDDOWN((C$70-$B74)/$D$32,0)&lt;3,0.75,IF(ROUNDDOWN((C$70-$B74)/$D$32,0)&lt;4,0.875,0.9375)))))+HLOOKUP($B74,$C$70:$Q$71,2,FALSE)*$C$33*(1-IF(ROUNDDOWN((C$70-$B74)/$D$33,0)&lt;1,0,IF(ROUNDDOWN((C$70-$B74)/$D$33,0)&lt;2,0.5,IF(ROUNDDOWN((C$70-$B74)/$D$33,0)&lt;3,0.75,IF(ROUNDDOWN((C$70-$B74)/$D$33,0)&lt;4,0.875,0.9375)))))+HLOOKUP($B74,$C$70:$Q$71,2,FALSE)*$C$34*(1-IF(ROUNDDOWN((C$70-$B74)/$D$34,0)&lt;1,0,IF(ROUNDDOWN((C$70-$B74)/$D$34,0)&lt;2,0.5,IF(ROUNDDOWN((C$70-$B74)/$D$34,0)&lt;3,0.75,IF(ROUNDDOWN((C$70-$B74)/$D$34,0)&lt;4,0.875,0.9375)))))+HLOOKUP($B74,$C$70:$Q$71,2,FALSE)*$C$35*(1-IF(ROUNDDOWN((C$70-$B74)/$D$35,0)&lt;1,0,IF(ROUNDDOWN((C$70-$B74)/$D$35,0)&lt;2,0.5,IF(ROUNDDOWN((C$70-$B74)/$D$35,0)&lt;3,0.75,IF(ROUNDDOWN((C$70-$B74)/$D$35,0)&lt;4,0.875,0.9375)))))+HLOOKUP($B74,$C$70:$Q$71,2,FALSE)*$C$36*(1-IF(ROUNDDOWN((C$70-$B74)/$D$36,0)&lt;1,0,IF(ROUNDDOWN((C$70-$B74)/$D$36,0)&lt;2,0.5,IF(ROUNDDOWN((C$70-$B74)/$D$36,0)&lt;3,0.75,IF(ROUNDDOWN((C$70-$B74)/$D$36,0)&lt;4,0.875,0.9375)))))+HLOOKUP($B74,$C$70:$Q$71,2,FALSE)*$C$37*(1-IF(ROUNDDOWN((C$70-$B74)/$D$37,0)&lt;1,0,IF(ROUNDDOWN((C$70-$B74)/$D$37,0)&lt;2,0.5,IF(ROUNDDOWN((C$70-$B74)/$D$37,0)&lt;3,0.75,IF(ROUNDDOWN((C$70-$B74)/$D$37,0)&lt;4,0.875,0.9375)))))</f>
        <v>0.81313689153496327</v>
      </c>
      <c r="D74" s="125">
        <f t="shared" si="12"/>
        <v>0.81313689153496327</v>
      </c>
      <c r="E74" s="125">
        <f t="shared" si="12"/>
        <v>0.81313689153496327</v>
      </c>
      <c r="F74" s="125">
        <f t="shared" si="12"/>
        <v>0.77817200519895979</v>
      </c>
      <c r="G74" s="125">
        <f t="shared" si="12"/>
        <v>0.77817200519895979</v>
      </c>
      <c r="H74" s="125">
        <f t="shared" si="12"/>
        <v>0.77817200519895979</v>
      </c>
      <c r="I74" s="125">
        <f t="shared" si="12"/>
        <v>0.76068956203095806</v>
      </c>
      <c r="J74" s="125">
        <f t="shared" si="12"/>
        <v>0.76068956203095806</v>
      </c>
      <c r="K74" s="125">
        <f t="shared" si="12"/>
        <v>0.72816408636955954</v>
      </c>
      <c r="L74" s="125">
        <f t="shared" si="12"/>
        <v>0.71942286478555872</v>
      </c>
      <c r="M74" s="125">
        <f t="shared" si="12"/>
        <v>0.68689738912416021</v>
      </c>
      <c r="N74" s="125">
        <f t="shared" si="12"/>
        <v>0.68689738912416021</v>
      </c>
      <c r="O74" s="125">
        <f t="shared" si="12"/>
        <v>0.6825267783321598</v>
      </c>
      <c r="P74" s="125">
        <f t="shared" si="12"/>
        <v>0.6825267783321598</v>
      </c>
      <c r="Q74" s="125">
        <f t="shared" si="12"/>
        <v>0.6825267783321598</v>
      </c>
      <c r="R74" s="19"/>
    </row>
    <row r="75" spans="2:18" x14ac:dyDescent="0.3">
      <c r="B75" s="120">
        <f t="shared" ref="B75:B89" si="13">B74+1</f>
        <v>2016</v>
      </c>
      <c r="C75" s="125"/>
      <c r="D75" s="125">
        <f t="shared" si="12"/>
        <v>0.81313689153496327</v>
      </c>
      <c r="E75" s="125">
        <f t="shared" si="12"/>
        <v>0.81313689153496327</v>
      </c>
      <c r="F75" s="125">
        <f t="shared" si="12"/>
        <v>0.81313689153496327</v>
      </c>
      <c r="G75" s="125">
        <f t="shared" si="12"/>
        <v>0.77817200519895979</v>
      </c>
      <c r="H75" s="125">
        <f t="shared" si="12"/>
        <v>0.77817200519895979</v>
      </c>
      <c r="I75" s="125">
        <f t="shared" si="12"/>
        <v>0.77817200519895979</v>
      </c>
      <c r="J75" s="125">
        <f t="shared" si="12"/>
        <v>0.76068956203095806</v>
      </c>
      <c r="K75" s="125">
        <f t="shared" si="12"/>
        <v>0.76068956203095806</v>
      </c>
      <c r="L75" s="125">
        <f t="shared" si="12"/>
        <v>0.72816408636955954</v>
      </c>
      <c r="M75" s="125">
        <f t="shared" si="12"/>
        <v>0.71942286478555872</v>
      </c>
      <c r="N75" s="125">
        <f t="shared" si="12"/>
        <v>0.68689738912416021</v>
      </c>
      <c r="O75" s="125">
        <f t="shared" si="12"/>
        <v>0.68689738912416021</v>
      </c>
      <c r="P75" s="125">
        <f t="shared" si="12"/>
        <v>0.6825267783321598</v>
      </c>
      <c r="Q75" s="125">
        <f t="shared" si="12"/>
        <v>0.6825267783321598</v>
      </c>
      <c r="R75" s="19"/>
    </row>
    <row r="76" spans="2:18" x14ac:dyDescent="0.3">
      <c r="B76" s="120">
        <f t="shared" si="13"/>
        <v>2017</v>
      </c>
      <c r="C76" s="125"/>
      <c r="D76" s="125"/>
      <c r="E76" s="125">
        <f t="shared" si="12"/>
        <v>0.81313689153496327</v>
      </c>
      <c r="F76" s="125">
        <f t="shared" si="12"/>
        <v>0.81313689153496327</v>
      </c>
      <c r="G76" s="125">
        <f t="shared" si="12"/>
        <v>0.81313689153496327</v>
      </c>
      <c r="H76" s="125">
        <f t="shared" si="12"/>
        <v>0.77817200519895979</v>
      </c>
      <c r="I76" s="125">
        <f t="shared" si="12"/>
        <v>0.77817200519895979</v>
      </c>
      <c r="J76" s="125">
        <f t="shared" si="12"/>
        <v>0.77817200519895979</v>
      </c>
      <c r="K76" s="125">
        <f t="shared" si="12"/>
        <v>0.76068956203095806</v>
      </c>
      <c r="L76" s="125">
        <f t="shared" si="12"/>
        <v>0.76068956203095806</v>
      </c>
      <c r="M76" s="125">
        <f t="shared" si="12"/>
        <v>0.72816408636955954</v>
      </c>
      <c r="N76" s="125">
        <f t="shared" si="12"/>
        <v>0.71942286478555872</v>
      </c>
      <c r="O76" s="125">
        <f t="shared" si="12"/>
        <v>0.68689738912416021</v>
      </c>
      <c r="P76" s="125">
        <f t="shared" si="12"/>
        <v>0.68689738912416021</v>
      </c>
      <c r="Q76" s="125">
        <f t="shared" si="12"/>
        <v>0.6825267783321598</v>
      </c>
      <c r="R76" s="19"/>
    </row>
    <row r="77" spans="2:18" x14ac:dyDescent="0.3">
      <c r="B77" s="120">
        <f t="shared" si="13"/>
        <v>2018</v>
      </c>
      <c r="C77" s="125"/>
      <c r="D77" s="125"/>
      <c r="E77" s="125"/>
      <c r="F77" s="125">
        <f t="shared" si="12"/>
        <v>0.95349612084312496</v>
      </c>
      <c r="G77" s="125">
        <f t="shared" si="12"/>
        <v>0.95349612084312496</v>
      </c>
      <c r="H77" s="125">
        <f t="shared" si="12"/>
        <v>0.95349612084312496</v>
      </c>
      <c r="I77" s="125">
        <f t="shared" si="12"/>
        <v>0.91249578764687056</v>
      </c>
      <c r="J77" s="125">
        <f t="shared" si="12"/>
        <v>0.91249578764687056</v>
      </c>
      <c r="K77" s="125">
        <f t="shared" si="12"/>
        <v>0.91249578764687056</v>
      </c>
      <c r="L77" s="125">
        <f t="shared" si="12"/>
        <v>0.89199562104874341</v>
      </c>
      <c r="M77" s="125">
        <f t="shared" si="12"/>
        <v>0.89199562104874341</v>
      </c>
      <c r="N77" s="125">
        <f t="shared" si="12"/>
        <v>0.8538557762150184</v>
      </c>
      <c r="O77" s="125">
        <f t="shared" si="12"/>
        <v>0.84360569291595477</v>
      </c>
      <c r="P77" s="125">
        <f t="shared" si="12"/>
        <v>0.80546584808222976</v>
      </c>
      <c r="Q77" s="125">
        <f t="shared" si="12"/>
        <v>0.80546584808222976</v>
      </c>
      <c r="R77" s="19"/>
    </row>
    <row r="78" spans="2:18" x14ac:dyDescent="0.3">
      <c r="B78" s="120">
        <f t="shared" si="13"/>
        <v>2019</v>
      </c>
      <c r="C78" s="125"/>
      <c r="D78" s="125"/>
      <c r="E78" s="125"/>
      <c r="F78" s="125"/>
      <c r="G78" s="125">
        <f t="shared" si="12"/>
        <v>1.0938553501513462</v>
      </c>
      <c r="H78" s="125">
        <f t="shared" si="12"/>
        <v>1.0938553501513462</v>
      </c>
      <c r="I78" s="125">
        <f t="shared" si="12"/>
        <v>1.0938553501513462</v>
      </c>
      <c r="J78" s="125">
        <f t="shared" si="12"/>
        <v>1.0468195700948384</v>
      </c>
      <c r="K78" s="125">
        <f t="shared" si="12"/>
        <v>1.0468195700948384</v>
      </c>
      <c r="L78" s="125">
        <f t="shared" si="12"/>
        <v>1.0468195700948384</v>
      </c>
      <c r="M78" s="125">
        <f t="shared" si="12"/>
        <v>1.0233016800665844</v>
      </c>
      <c r="N78" s="125">
        <f t="shared" si="12"/>
        <v>1.0233016800665844</v>
      </c>
      <c r="O78" s="125">
        <f t="shared" si="12"/>
        <v>0.97954746606053056</v>
      </c>
      <c r="P78" s="125">
        <f t="shared" si="12"/>
        <v>0.96778852104640356</v>
      </c>
      <c r="Q78" s="125">
        <f t="shared" si="12"/>
        <v>0.92403430704034972</v>
      </c>
      <c r="R78" s="19"/>
    </row>
    <row r="79" spans="2:18" x14ac:dyDescent="0.3">
      <c r="B79" s="120">
        <f t="shared" si="13"/>
        <v>2020</v>
      </c>
      <c r="C79" s="125"/>
      <c r="D79" s="125"/>
      <c r="E79" s="125"/>
      <c r="F79" s="125"/>
      <c r="G79" s="125"/>
      <c r="H79" s="125">
        <f t="shared" si="12"/>
        <v>1.2342145794595081</v>
      </c>
      <c r="I79" s="125">
        <f t="shared" si="12"/>
        <v>1.2342145794595081</v>
      </c>
      <c r="J79" s="125">
        <f t="shared" si="12"/>
        <v>1.2342145794595081</v>
      </c>
      <c r="K79" s="125">
        <f t="shared" si="12"/>
        <v>1.1811433525427493</v>
      </c>
      <c r="L79" s="125">
        <f t="shared" si="12"/>
        <v>1.1811433525427493</v>
      </c>
      <c r="M79" s="125">
        <f t="shared" si="12"/>
        <v>1.1811433525427493</v>
      </c>
      <c r="N79" s="125">
        <f t="shared" si="12"/>
        <v>1.1546077390843696</v>
      </c>
      <c r="O79" s="125">
        <f t="shared" si="12"/>
        <v>1.1546077390843696</v>
      </c>
      <c r="P79" s="125">
        <f t="shared" si="12"/>
        <v>1.1052391559059893</v>
      </c>
      <c r="Q79" s="125">
        <f t="shared" si="12"/>
        <v>1.0919713491767997</v>
      </c>
      <c r="R79" s="19"/>
    </row>
    <row r="80" spans="2:18" x14ac:dyDescent="0.3">
      <c r="B80" s="120">
        <f t="shared" si="13"/>
        <v>2021</v>
      </c>
      <c r="C80" s="125"/>
      <c r="D80" s="125"/>
      <c r="E80" s="125"/>
      <c r="F80" s="125"/>
      <c r="G80" s="125"/>
      <c r="H80" s="125"/>
      <c r="I80" s="125">
        <f t="shared" si="12"/>
        <v>1.3745738087677288</v>
      </c>
      <c r="J80" s="125">
        <f t="shared" si="12"/>
        <v>1.3745738087677288</v>
      </c>
      <c r="K80" s="125">
        <f t="shared" si="12"/>
        <v>1.3745738087677288</v>
      </c>
      <c r="L80" s="125">
        <f t="shared" si="12"/>
        <v>1.3154671349907165</v>
      </c>
      <c r="M80" s="125">
        <f t="shared" si="12"/>
        <v>1.3154671349907165</v>
      </c>
      <c r="N80" s="125">
        <f t="shared" si="12"/>
        <v>1.3154671349907165</v>
      </c>
      <c r="O80" s="125">
        <f t="shared" si="12"/>
        <v>1.2859137981022102</v>
      </c>
      <c r="P80" s="125">
        <f t="shared" si="12"/>
        <v>1.2859137981022102</v>
      </c>
      <c r="Q80" s="125">
        <f t="shared" si="12"/>
        <v>1.2309308457515011</v>
      </c>
      <c r="R80" s="19"/>
    </row>
    <row r="81" spans="2:18" x14ac:dyDescent="0.3">
      <c r="B81" s="120">
        <f t="shared" si="13"/>
        <v>2022</v>
      </c>
      <c r="C81" s="125"/>
      <c r="D81" s="125"/>
      <c r="E81" s="125"/>
      <c r="F81" s="125"/>
      <c r="G81" s="125"/>
      <c r="H81" s="125"/>
      <c r="I81" s="125"/>
      <c r="J81" s="125">
        <f t="shared" si="12"/>
        <v>1.5149330380758907</v>
      </c>
      <c r="K81" s="125">
        <f t="shared" si="12"/>
        <v>1.5149330380758907</v>
      </c>
      <c r="L81" s="125">
        <f t="shared" si="12"/>
        <v>1.5149330380758907</v>
      </c>
      <c r="M81" s="125">
        <f t="shared" si="12"/>
        <v>1.4497909174386274</v>
      </c>
      <c r="N81" s="125">
        <f t="shared" si="12"/>
        <v>1.4497909174386274</v>
      </c>
      <c r="O81" s="125">
        <f t="shared" si="12"/>
        <v>1.4497909174386274</v>
      </c>
      <c r="P81" s="125">
        <f t="shared" si="12"/>
        <v>1.4172198571199959</v>
      </c>
      <c r="Q81" s="125">
        <f t="shared" si="12"/>
        <v>1.4172198571199959</v>
      </c>
      <c r="R81" s="19"/>
    </row>
    <row r="82" spans="2:18" x14ac:dyDescent="0.3">
      <c r="B82" s="120">
        <f t="shared" si="13"/>
        <v>2023</v>
      </c>
      <c r="C82" s="125"/>
      <c r="D82" s="125"/>
      <c r="E82" s="125"/>
      <c r="F82" s="125"/>
      <c r="G82" s="125"/>
      <c r="H82" s="125"/>
      <c r="I82" s="125"/>
      <c r="J82" s="125"/>
      <c r="K82" s="125">
        <f t="shared" si="12"/>
        <v>1.6552922673841117</v>
      </c>
      <c r="L82" s="125">
        <f t="shared" si="12"/>
        <v>1.6552922673841117</v>
      </c>
      <c r="M82" s="125">
        <f t="shared" si="12"/>
        <v>1.6552922673841117</v>
      </c>
      <c r="N82" s="125">
        <f t="shared" si="12"/>
        <v>1.5841146998865949</v>
      </c>
      <c r="O82" s="125">
        <f t="shared" si="12"/>
        <v>1.5841146998865949</v>
      </c>
      <c r="P82" s="125">
        <f t="shared" si="12"/>
        <v>1.5841146998865949</v>
      </c>
      <c r="Q82" s="125">
        <f t="shared" si="12"/>
        <v>1.5485259161378366</v>
      </c>
      <c r="R82" s="19"/>
    </row>
    <row r="83" spans="2:18" x14ac:dyDescent="0.3">
      <c r="B83" s="120">
        <f t="shared" si="13"/>
        <v>2024</v>
      </c>
      <c r="C83" s="125"/>
      <c r="D83" s="125"/>
      <c r="E83" s="125"/>
      <c r="F83" s="125"/>
      <c r="G83" s="125"/>
      <c r="H83" s="125"/>
      <c r="I83" s="125"/>
      <c r="J83" s="125"/>
      <c r="K83" s="125"/>
      <c r="L83" s="125">
        <f t="shared" si="12"/>
        <v>1.7956514966922734</v>
      </c>
      <c r="M83" s="125">
        <f t="shared" si="12"/>
        <v>1.7956514966922734</v>
      </c>
      <c r="N83" s="125">
        <f t="shared" si="12"/>
        <v>1.7956514966922734</v>
      </c>
      <c r="O83" s="125">
        <f t="shared" si="12"/>
        <v>1.7184384823345058</v>
      </c>
      <c r="P83" s="125">
        <f t="shared" si="12"/>
        <v>1.7184384823345058</v>
      </c>
      <c r="Q83" s="125">
        <f t="shared" si="12"/>
        <v>1.7184384823345058</v>
      </c>
      <c r="R83" s="19"/>
    </row>
    <row r="84" spans="2:18" x14ac:dyDescent="0.3">
      <c r="B84" s="120">
        <f t="shared" si="13"/>
        <v>2025</v>
      </c>
      <c r="C84" s="125"/>
      <c r="D84" s="125"/>
      <c r="E84" s="125"/>
      <c r="F84" s="125"/>
      <c r="G84" s="125"/>
      <c r="H84" s="125"/>
      <c r="I84" s="125"/>
      <c r="J84" s="125"/>
      <c r="K84" s="125"/>
      <c r="L84" s="125"/>
      <c r="M84" s="125">
        <f>HLOOKUP($B84,$C$70:$Q$71,2,FALSE)*$C$32*(1-IF(ROUNDDOWN((M$70-$B84)/$D$32,0)&lt;1,0,IF(ROUNDDOWN((M$70-$B84)/$D$32,0)&lt;2,0.5,IF(ROUNDDOWN((M$70-$B84)/$D$32,0)&lt;3,0.75,IF(ROUNDDOWN((M$70-$B84)/$D$32,0)&lt;4,0.875,0.9375)))))+HLOOKUP($B84,$C$70:$Q$71,2,FALSE)*$C$33*(1-IF(ROUNDDOWN((M$70-$B84)/$D$33,0)&lt;1,0,IF(ROUNDDOWN((M$70-$B84)/$D$33,0)&lt;2,0.5,IF(ROUNDDOWN((M$70-$B84)/$D$33,0)&lt;3,0.75,IF(ROUNDDOWN((M$70-$B84)/$D$33,0)&lt;4,0.875,0.9375)))))+HLOOKUP($B84,$C$70:$Q$71,2,FALSE)*$C$34*(1-IF(ROUNDDOWN((M$70-$B84)/$D$34,0)&lt;1,0,IF(ROUNDDOWN((M$70-$B84)/$D$34,0)&lt;2,0.5,IF(ROUNDDOWN((M$70-$B84)/$D$34,0)&lt;3,0.75,IF(ROUNDDOWN((M$70-$B84)/$D$34,0)&lt;4,0.875,0.9375)))))+HLOOKUP($B84,$C$70:$Q$71,2,FALSE)*$C$35*(1-IF(ROUNDDOWN((M$70-$B84)/$D$35,0)&lt;1,0,IF(ROUNDDOWN((M$70-$B84)/$D$35,0)&lt;2,0.5,IF(ROUNDDOWN((M$70-$B84)/$D$35,0)&lt;3,0.75,IF(ROUNDDOWN((M$70-$B84)/$D$35,0)&lt;4,0.875,0.9375)))))+HLOOKUP($B84,$C$70:$Q$71,2,FALSE)*$C$36*(1-IF(ROUNDDOWN((M$70-$B84)/$D$36,0)&lt;1,0,IF(ROUNDDOWN((M$70-$B84)/$D$36,0)&lt;2,0.5,IF(ROUNDDOWN((M$70-$B84)/$D$36,0)&lt;3,0.75,IF(ROUNDDOWN((M$70-$B84)/$D$36,0)&lt;4,0.875,0.9375)))))+HLOOKUP($B84,$C$70:$Q$71,2,FALSE)*$C$37*(1-IF(ROUNDDOWN((M$70-$B84)/$D$37,0)&lt;1,0,IF(ROUNDDOWN((M$70-$B84)/$D$37,0)&lt;2,0.5,IF(ROUNDDOWN((M$70-$B84)/$D$37,0)&lt;3,0.75,IF(ROUNDDOWN((M$70-$B84)/$D$37,0)&lt;4,0.875,0.9375)))))</f>
        <v>1.9360107260004942</v>
      </c>
      <c r="N84" s="125">
        <f>HLOOKUP($B84,$C$70:$Q$71,2,FALSE)*$C$32*(1-IF(ROUNDDOWN((N$70-$B84)/$D$32,0)&lt;1,0,IF(ROUNDDOWN((N$70-$B84)/$D$32,0)&lt;2,0.5,IF(ROUNDDOWN((N$70-$B84)/$D$32,0)&lt;3,0.75,IF(ROUNDDOWN((N$70-$B84)/$D$32,0)&lt;4,0.875,0.9375)))))+HLOOKUP($B84,$C$70:$Q$71,2,FALSE)*$C$33*(1-IF(ROUNDDOWN((N$70-$B84)/$D$33,0)&lt;1,0,IF(ROUNDDOWN((N$70-$B84)/$D$33,0)&lt;2,0.5,IF(ROUNDDOWN((N$70-$B84)/$D$33,0)&lt;3,0.75,IF(ROUNDDOWN((N$70-$B84)/$D$33,0)&lt;4,0.875,0.9375)))))+HLOOKUP($B84,$C$70:$Q$71,2,FALSE)*$C$34*(1-IF(ROUNDDOWN((N$70-$B84)/$D$34,0)&lt;1,0,IF(ROUNDDOWN((N$70-$B84)/$D$34,0)&lt;2,0.5,IF(ROUNDDOWN((N$70-$B84)/$D$34,0)&lt;3,0.75,IF(ROUNDDOWN((N$70-$B84)/$D$34,0)&lt;4,0.875,0.9375)))))+HLOOKUP($B84,$C$70:$Q$71,2,FALSE)*$C$35*(1-IF(ROUNDDOWN((N$70-$B84)/$D$35,0)&lt;1,0,IF(ROUNDDOWN((N$70-$B84)/$D$35,0)&lt;2,0.5,IF(ROUNDDOWN((N$70-$B84)/$D$35,0)&lt;3,0.75,IF(ROUNDDOWN((N$70-$B84)/$D$35,0)&lt;4,0.875,0.9375)))))+HLOOKUP($B84,$C$70:$Q$71,2,FALSE)*$C$36*(1-IF(ROUNDDOWN((N$70-$B84)/$D$36,0)&lt;1,0,IF(ROUNDDOWN((N$70-$B84)/$D$36,0)&lt;2,0.5,IF(ROUNDDOWN((N$70-$B84)/$D$36,0)&lt;3,0.75,IF(ROUNDDOWN((N$70-$B84)/$D$36,0)&lt;4,0.875,0.9375)))))+HLOOKUP($B84,$C$70:$Q$71,2,FALSE)*$C$37*(1-IF(ROUNDDOWN((N$70-$B84)/$D$37,0)&lt;1,0,IF(ROUNDDOWN((N$70-$B84)/$D$37,0)&lt;2,0.5,IF(ROUNDDOWN((N$70-$B84)/$D$37,0)&lt;3,0.75,IF(ROUNDDOWN((N$70-$B84)/$D$37,0)&lt;4,0.875,0.9375)))))</f>
        <v>1.9360107260004942</v>
      </c>
      <c r="O84" s="125">
        <f>HLOOKUP($B84,$C$70:$Q$71,2,FALSE)*$C$32*(1-IF(ROUNDDOWN((O$70-$B84)/$D$32,0)&lt;1,0,IF(ROUNDDOWN((O$70-$B84)/$D$32,0)&lt;2,0.5,IF(ROUNDDOWN((O$70-$B84)/$D$32,0)&lt;3,0.75,IF(ROUNDDOWN((O$70-$B84)/$D$32,0)&lt;4,0.875,0.9375)))))+HLOOKUP($B84,$C$70:$Q$71,2,FALSE)*$C$33*(1-IF(ROUNDDOWN((O$70-$B84)/$D$33,0)&lt;1,0,IF(ROUNDDOWN((O$70-$B84)/$D$33,0)&lt;2,0.5,IF(ROUNDDOWN((O$70-$B84)/$D$33,0)&lt;3,0.75,IF(ROUNDDOWN((O$70-$B84)/$D$33,0)&lt;4,0.875,0.9375)))))+HLOOKUP($B84,$C$70:$Q$71,2,FALSE)*$C$34*(1-IF(ROUNDDOWN((O$70-$B84)/$D$34,0)&lt;1,0,IF(ROUNDDOWN((O$70-$B84)/$D$34,0)&lt;2,0.5,IF(ROUNDDOWN((O$70-$B84)/$D$34,0)&lt;3,0.75,IF(ROUNDDOWN((O$70-$B84)/$D$34,0)&lt;4,0.875,0.9375)))))+HLOOKUP($B84,$C$70:$Q$71,2,FALSE)*$C$35*(1-IF(ROUNDDOWN((O$70-$B84)/$D$35,0)&lt;1,0,IF(ROUNDDOWN((O$70-$B84)/$D$35,0)&lt;2,0.5,IF(ROUNDDOWN((O$70-$B84)/$D$35,0)&lt;3,0.75,IF(ROUNDDOWN((O$70-$B84)/$D$35,0)&lt;4,0.875,0.9375)))))+HLOOKUP($B84,$C$70:$Q$71,2,FALSE)*$C$36*(1-IF(ROUNDDOWN((O$70-$B84)/$D$36,0)&lt;1,0,IF(ROUNDDOWN((O$70-$B84)/$D$36,0)&lt;2,0.5,IF(ROUNDDOWN((O$70-$B84)/$D$36,0)&lt;3,0.75,IF(ROUNDDOWN((O$70-$B84)/$D$36,0)&lt;4,0.875,0.9375)))))+HLOOKUP($B84,$C$70:$Q$71,2,FALSE)*$C$37*(1-IF(ROUNDDOWN((O$70-$B84)/$D$37,0)&lt;1,0,IF(ROUNDDOWN((O$70-$B84)/$D$37,0)&lt;2,0.5,IF(ROUNDDOWN((O$70-$B84)/$D$37,0)&lt;3,0.75,IF(ROUNDDOWN((O$70-$B84)/$D$37,0)&lt;4,0.875,0.9375)))))</f>
        <v>1.9360107260004942</v>
      </c>
      <c r="P84" s="125">
        <f>HLOOKUP($B84,$C$70:$Q$71,2,FALSE)*$C$32*(1-IF(ROUNDDOWN((P$70-$B84)/$D$32,0)&lt;1,0,IF(ROUNDDOWN((P$70-$B84)/$D$32,0)&lt;2,0.5,IF(ROUNDDOWN((P$70-$B84)/$D$32,0)&lt;3,0.75,IF(ROUNDDOWN((P$70-$B84)/$D$32,0)&lt;4,0.875,0.9375)))))+HLOOKUP($B84,$C$70:$Q$71,2,FALSE)*$C$33*(1-IF(ROUNDDOWN((P$70-$B84)/$D$33,0)&lt;1,0,IF(ROUNDDOWN((P$70-$B84)/$D$33,0)&lt;2,0.5,IF(ROUNDDOWN((P$70-$B84)/$D$33,0)&lt;3,0.75,IF(ROUNDDOWN((P$70-$B84)/$D$33,0)&lt;4,0.875,0.9375)))))+HLOOKUP($B84,$C$70:$Q$71,2,FALSE)*$C$34*(1-IF(ROUNDDOWN((P$70-$B84)/$D$34,0)&lt;1,0,IF(ROUNDDOWN((P$70-$B84)/$D$34,0)&lt;2,0.5,IF(ROUNDDOWN((P$70-$B84)/$D$34,0)&lt;3,0.75,IF(ROUNDDOWN((P$70-$B84)/$D$34,0)&lt;4,0.875,0.9375)))))+HLOOKUP($B84,$C$70:$Q$71,2,FALSE)*$C$35*(1-IF(ROUNDDOWN((P$70-$B84)/$D$35,0)&lt;1,0,IF(ROUNDDOWN((P$70-$B84)/$D$35,0)&lt;2,0.5,IF(ROUNDDOWN((P$70-$B84)/$D$35,0)&lt;3,0.75,IF(ROUNDDOWN((P$70-$B84)/$D$35,0)&lt;4,0.875,0.9375)))))+HLOOKUP($B84,$C$70:$Q$71,2,FALSE)*$C$36*(1-IF(ROUNDDOWN((P$70-$B84)/$D$36,0)&lt;1,0,IF(ROUNDDOWN((P$70-$B84)/$D$36,0)&lt;2,0.5,IF(ROUNDDOWN((P$70-$B84)/$D$36,0)&lt;3,0.75,IF(ROUNDDOWN((P$70-$B84)/$D$36,0)&lt;4,0.875,0.9375)))))+HLOOKUP($B84,$C$70:$Q$71,2,FALSE)*$C$37*(1-IF(ROUNDDOWN((P$70-$B84)/$D$37,0)&lt;1,0,IF(ROUNDDOWN((P$70-$B84)/$D$37,0)&lt;2,0.5,IF(ROUNDDOWN((P$70-$B84)/$D$37,0)&lt;3,0.75,IF(ROUNDDOWN((P$70-$B84)/$D$37,0)&lt;4,0.875,0.9375)))))</f>
        <v>1.8527622647824731</v>
      </c>
      <c r="Q84" s="125">
        <f>HLOOKUP($B84,$C$70:$Q$71,2,FALSE)*$C$32*(1-IF(ROUNDDOWN((Q$70-$B84)/$D$32,0)&lt;1,0,IF(ROUNDDOWN((Q$70-$B84)/$D$32,0)&lt;2,0.5,IF(ROUNDDOWN((Q$70-$B84)/$D$32,0)&lt;3,0.75,IF(ROUNDDOWN((Q$70-$B84)/$D$32,0)&lt;4,0.875,0.9375)))))+HLOOKUP($B84,$C$70:$Q$71,2,FALSE)*$C$33*(1-IF(ROUNDDOWN((Q$70-$B84)/$D$33,0)&lt;1,0,IF(ROUNDDOWN((Q$70-$B84)/$D$33,0)&lt;2,0.5,IF(ROUNDDOWN((Q$70-$B84)/$D$33,0)&lt;3,0.75,IF(ROUNDDOWN((Q$70-$B84)/$D$33,0)&lt;4,0.875,0.9375)))))+HLOOKUP($B84,$C$70:$Q$71,2,FALSE)*$C$34*(1-IF(ROUNDDOWN((Q$70-$B84)/$D$34,0)&lt;1,0,IF(ROUNDDOWN((Q$70-$B84)/$D$34,0)&lt;2,0.5,IF(ROUNDDOWN((Q$70-$B84)/$D$34,0)&lt;3,0.75,IF(ROUNDDOWN((Q$70-$B84)/$D$34,0)&lt;4,0.875,0.9375)))))+HLOOKUP($B84,$C$70:$Q$71,2,FALSE)*$C$35*(1-IF(ROUNDDOWN((Q$70-$B84)/$D$35,0)&lt;1,0,IF(ROUNDDOWN((Q$70-$B84)/$D$35,0)&lt;2,0.5,IF(ROUNDDOWN((Q$70-$B84)/$D$35,0)&lt;3,0.75,IF(ROUNDDOWN((Q$70-$B84)/$D$35,0)&lt;4,0.875,0.9375)))))+HLOOKUP($B84,$C$70:$Q$71,2,FALSE)*$C$36*(1-IF(ROUNDDOWN((Q$70-$B84)/$D$36,0)&lt;1,0,IF(ROUNDDOWN((Q$70-$B84)/$D$36,0)&lt;2,0.5,IF(ROUNDDOWN((Q$70-$B84)/$D$36,0)&lt;3,0.75,IF(ROUNDDOWN((Q$70-$B84)/$D$36,0)&lt;4,0.875,0.9375)))))+HLOOKUP($B84,$C$70:$Q$71,2,FALSE)*$C$37*(1-IF(ROUNDDOWN((Q$70-$B84)/$D$37,0)&lt;1,0,IF(ROUNDDOWN((Q$70-$B84)/$D$37,0)&lt;2,0.5,IF(ROUNDDOWN((Q$70-$B84)/$D$37,0)&lt;3,0.75,IF(ROUNDDOWN((Q$70-$B84)/$D$37,0)&lt;4,0.875,0.9375)))))</f>
        <v>1.8527622647824731</v>
      </c>
      <c r="R84" s="19"/>
    </row>
    <row r="85" spans="2:18" x14ac:dyDescent="0.3">
      <c r="B85" s="120">
        <f t="shared" si="13"/>
        <v>2026</v>
      </c>
      <c r="C85" s="125"/>
      <c r="D85" s="125"/>
      <c r="E85" s="125"/>
      <c r="F85" s="125"/>
      <c r="G85" s="125"/>
      <c r="H85" s="125"/>
      <c r="I85" s="125"/>
      <c r="J85" s="125"/>
      <c r="K85" s="125"/>
      <c r="L85" s="125"/>
      <c r="M85" s="125"/>
      <c r="N85" s="125">
        <f>HLOOKUP($B85,$C$70:$Q$71,2,FALSE)*$C$32*(1-IF(ROUNDDOWN((N$70-$B85)/$D$32,0)&lt;1,0,IF(ROUNDDOWN((N$70-$B85)/$D$32,0)&lt;2,0.5,IF(ROUNDDOWN((N$70-$B85)/$D$32,0)&lt;3,0.75,IF(ROUNDDOWN((N$70-$B85)/$D$32,0)&lt;4,0.875,0.9375)))))+HLOOKUP($B85,$C$70:$Q$71,2,FALSE)*$C$33*(1-IF(ROUNDDOWN((N$70-$B85)/$D$33,0)&lt;1,0,IF(ROUNDDOWN((N$70-$B85)/$D$33,0)&lt;2,0.5,IF(ROUNDDOWN((N$70-$B85)/$D$33,0)&lt;3,0.75,IF(ROUNDDOWN((N$70-$B85)/$D$33,0)&lt;4,0.875,0.9375)))))+HLOOKUP($B85,$C$70:$Q$71,2,FALSE)*$C$34*(1-IF(ROUNDDOWN((N$70-$B85)/$D$34,0)&lt;1,0,IF(ROUNDDOWN((N$70-$B85)/$D$34,0)&lt;2,0.5,IF(ROUNDDOWN((N$70-$B85)/$D$34,0)&lt;3,0.75,IF(ROUNDDOWN((N$70-$B85)/$D$34,0)&lt;4,0.875,0.9375)))))+HLOOKUP($B85,$C$70:$Q$71,2,FALSE)*$C$35*(1-IF(ROUNDDOWN((N$70-$B85)/$D$35,0)&lt;1,0,IF(ROUNDDOWN((N$70-$B85)/$D$35,0)&lt;2,0.5,IF(ROUNDDOWN((N$70-$B85)/$D$35,0)&lt;3,0.75,IF(ROUNDDOWN((N$70-$B85)/$D$35,0)&lt;4,0.875,0.9375)))))+HLOOKUP($B85,$C$70:$Q$71,2,FALSE)*$C$36*(1-IF(ROUNDDOWN((N$70-$B85)/$D$36,0)&lt;1,0,IF(ROUNDDOWN((N$70-$B85)/$D$36,0)&lt;2,0.5,IF(ROUNDDOWN((N$70-$B85)/$D$36,0)&lt;3,0.75,IF(ROUNDDOWN((N$70-$B85)/$D$36,0)&lt;4,0.875,0.9375)))))+HLOOKUP($B85,$C$70:$Q$71,2,FALSE)*$C$37*(1-IF(ROUNDDOWN((N$70-$B85)/$D$37,0)&lt;1,0,IF(ROUNDDOWN((N$70-$B85)/$D$37,0)&lt;2,0.5,IF(ROUNDDOWN((N$70-$B85)/$D$37,0)&lt;3,0.75,IF(ROUNDDOWN((N$70-$B85)/$D$37,0)&lt;4,0.875,0.9375)))))</f>
        <v>2.0763699553086563</v>
      </c>
      <c r="O85" s="125">
        <f>HLOOKUP($B85,$C$70:$Q$71,2,FALSE)*$C$32*(1-IF(ROUNDDOWN((O$70-$B85)/$D$32,0)&lt;1,0,IF(ROUNDDOWN((O$70-$B85)/$D$32,0)&lt;2,0.5,IF(ROUNDDOWN((O$70-$B85)/$D$32,0)&lt;3,0.75,IF(ROUNDDOWN((O$70-$B85)/$D$32,0)&lt;4,0.875,0.9375)))))+HLOOKUP($B85,$C$70:$Q$71,2,FALSE)*$C$33*(1-IF(ROUNDDOWN((O$70-$B85)/$D$33,0)&lt;1,0,IF(ROUNDDOWN((O$70-$B85)/$D$33,0)&lt;2,0.5,IF(ROUNDDOWN((O$70-$B85)/$D$33,0)&lt;3,0.75,IF(ROUNDDOWN((O$70-$B85)/$D$33,0)&lt;4,0.875,0.9375)))))+HLOOKUP($B85,$C$70:$Q$71,2,FALSE)*$C$34*(1-IF(ROUNDDOWN((O$70-$B85)/$D$34,0)&lt;1,0,IF(ROUNDDOWN((O$70-$B85)/$D$34,0)&lt;2,0.5,IF(ROUNDDOWN((O$70-$B85)/$D$34,0)&lt;3,0.75,IF(ROUNDDOWN((O$70-$B85)/$D$34,0)&lt;4,0.875,0.9375)))))+HLOOKUP($B85,$C$70:$Q$71,2,FALSE)*$C$35*(1-IF(ROUNDDOWN((O$70-$B85)/$D$35,0)&lt;1,0,IF(ROUNDDOWN((O$70-$B85)/$D$35,0)&lt;2,0.5,IF(ROUNDDOWN((O$70-$B85)/$D$35,0)&lt;3,0.75,IF(ROUNDDOWN((O$70-$B85)/$D$35,0)&lt;4,0.875,0.9375)))))+HLOOKUP($B85,$C$70:$Q$71,2,FALSE)*$C$36*(1-IF(ROUNDDOWN((O$70-$B85)/$D$36,0)&lt;1,0,IF(ROUNDDOWN((O$70-$B85)/$D$36,0)&lt;2,0.5,IF(ROUNDDOWN((O$70-$B85)/$D$36,0)&lt;3,0.75,IF(ROUNDDOWN((O$70-$B85)/$D$36,0)&lt;4,0.875,0.9375)))))+HLOOKUP($B85,$C$70:$Q$71,2,FALSE)*$C$37*(1-IF(ROUNDDOWN((O$70-$B85)/$D$37,0)&lt;1,0,IF(ROUNDDOWN((O$70-$B85)/$D$37,0)&lt;2,0.5,IF(ROUNDDOWN((O$70-$B85)/$D$37,0)&lt;3,0.75,IF(ROUNDDOWN((O$70-$B85)/$D$37,0)&lt;4,0.875,0.9375)))))</f>
        <v>2.0763699553086563</v>
      </c>
      <c r="P85" s="125">
        <f>HLOOKUP($B85,$C$70:$Q$71,2,FALSE)*$C$32*(1-IF(ROUNDDOWN((P$70-$B85)/$D$32,0)&lt;1,0,IF(ROUNDDOWN((P$70-$B85)/$D$32,0)&lt;2,0.5,IF(ROUNDDOWN((P$70-$B85)/$D$32,0)&lt;3,0.75,IF(ROUNDDOWN((P$70-$B85)/$D$32,0)&lt;4,0.875,0.9375)))))+HLOOKUP($B85,$C$70:$Q$71,2,FALSE)*$C$33*(1-IF(ROUNDDOWN((P$70-$B85)/$D$33,0)&lt;1,0,IF(ROUNDDOWN((P$70-$B85)/$D$33,0)&lt;2,0.5,IF(ROUNDDOWN((P$70-$B85)/$D$33,0)&lt;3,0.75,IF(ROUNDDOWN((P$70-$B85)/$D$33,0)&lt;4,0.875,0.9375)))))+HLOOKUP($B85,$C$70:$Q$71,2,FALSE)*$C$34*(1-IF(ROUNDDOWN((P$70-$B85)/$D$34,0)&lt;1,0,IF(ROUNDDOWN((P$70-$B85)/$D$34,0)&lt;2,0.5,IF(ROUNDDOWN((P$70-$B85)/$D$34,0)&lt;3,0.75,IF(ROUNDDOWN((P$70-$B85)/$D$34,0)&lt;4,0.875,0.9375)))))+HLOOKUP($B85,$C$70:$Q$71,2,FALSE)*$C$35*(1-IF(ROUNDDOWN((P$70-$B85)/$D$35,0)&lt;1,0,IF(ROUNDDOWN((P$70-$B85)/$D$35,0)&lt;2,0.5,IF(ROUNDDOWN((P$70-$B85)/$D$35,0)&lt;3,0.75,IF(ROUNDDOWN((P$70-$B85)/$D$35,0)&lt;4,0.875,0.9375)))))+HLOOKUP($B85,$C$70:$Q$71,2,FALSE)*$C$36*(1-IF(ROUNDDOWN((P$70-$B85)/$D$36,0)&lt;1,0,IF(ROUNDDOWN((P$70-$B85)/$D$36,0)&lt;2,0.5,IF(ROUNDDOWN((P$70-$B85)/$D$36,0)&lt;3,0.75,IF(ROUNDDOWN((P$70-$B85)/$D$36,0)&lt;4,0.875,0.9375)))))+HLOOKUP($B85,$C$70:$Q$71,2,FALSE)*$C$37*(1-IF(ROUNDDOWN((P$70-$B85)/$D$37,0)&lt;1,0,IF(ROUNDDOWN((P$70-$B85)/$D$37,0)&lt;2,0.5,IF(ROUNDDOWN((P$70-$B85)/$D$37,0)&lt;3,0.75,IF(ROUNDDOWN((P$70-$B85)/$D$37,0)&lt;4,0.875,0.9375)))))</f>
        <v>2.0763699553086563</v>
      </c>
      <c r="Q85" s="125">
        <f>HLOOKUP($B85,$C$70:$Q$71,2,FALSE)*$C$32*(1-IF(ROUNDDOWN((Q$70-$B85)/$D$32,0)&lt;1,0,IF(ROUNDDOWN((Q$70-$B85)/$D$32,0)&lt;2,0.5,IF(ROUNDDOWN((Q$70-$B85)/$D$32,0)&lt;3,0.75,IF(ROUNDDOWN((Q$70-$B85)/$D$32,0)&lt;4,0.875,0.9375)))))+HLOOKUP($B85,$C$70:$Q$71,2,FALSE)*$C$33*(1-IF(ROUNDDOWN((Q$70-$B85)/$D$33,0)&lt;1,0,IF(ROUNDDOWN((Q$70-$B85)/$D$33,0)&lt;2,0.5,IF(ROUNDDOWN((Q$70-$B85)/$D$33,0)&lt;3,0.75,IF(ROUNDDOWN((Q$70-$B85)/$D$33,0)&lt;4,0.875,0.9375)))))+HLOOKUP($B85,$C$70:$Q$71,2,FALSE)*$C$34*(1-IF(ROUNDDOWN((Q$70-$B85)/$D$34,0)&lt;1,0,IF(ROUNDDOWN((Q$70-$B85)/$D$34,0)&lt;2,0.5,IF(ROUNDDOWN((Q$70-$B85)/$D$34,0)&lt;3,0.75,IF(ROUNDDOWN((Q$70-$B85)/$D$34,0)&lt;4,0.875,0.9375)))))+HLOOKUP($B85,$C$70:$Q$71,2,FALSE)*$C$35*(1-IF(ROUNDDOWN((Q$70-$B85)/$D$35,0)&lt;1,0,IF(ROUNDDOWN((Q$70-$B85)/$D$35,0)&lt;2,0.5,IF(ROUNDDOWN((Q$70-$B85)/$D$35,0)&lt;3,0.75,IF(ROUNDDOWN((Q$70-$B85)/$D$35,0)&lt;4,0.875,0.9375)))))+HLOOKUP($B85,$C$70:$Q$71,2,FALSE)*$C$36*(1-IF(ROUNDDOWN((Q$70-$B85)/$D$36,0)&lt;1,0,IF(ROUNDDOWN((Q$70-$B85)/$D$36,0)&lt;2,0.5,IF(ROUNDDOWN((Q$70-$B85)/$D$36,0)&lt;3,0.75,IF(ROUNDDOWN((Q$70-$B85)/$D$36,0)&lt;4,0.875,0.9375)))))+HLOOKUP($B85,$C$70:$Q$71,2,FALSE)*$C$37*(1-IF(ROUNDDOWN((Q$70-$B85)/$D$37,0)&lt;1,0,IF(ROUNDDOWN((Q$70-$B85)/$D$37,0)&lt;2,0.5,IF(ROUNDDOWN((Q$70-$B85)/$D$37,0)&lt;3,0.75,IF(ROUNDDOWN((Q$70-$B85)/$D$37,0)&lt;4,0.875,0.9375)))))</f>
        <v>1.9870860472303842</v>
      </c>
      <c r="R85" s="19"/>
    </row>
    <row r="86" spans="2:18" x14ac:dyDescent="0.3">
      <c r="B86" s="120">
        <f t="shared" si="13"/>
        <v>2027</v>
      </c>
      <c r="C86" s="125"/>
      <c r="D86" s="125"/>
      <c r="E86" s="125"/>
      <c r="F86" s="125"/>
      <c r="G86" s="125"/>
      <c r="H86" s="125"/>
      <c r="I86" s="125"/>
      <c r="J86" s="125"/>
      <c r="K86" s="125"/>
      <c r="L86" s="125"/>
      <c r="M86" s="125"/>
      <c r="N86" s="125"/>
      <c r="O86" s="125">
        <f>HLOOKUP($B86,$C$70:$Q$71,2,FALSE)*$C$32*(1-IF(ROUNDDOWN((O$70-$B86)/$D$32,0)&lt;1,0,IF(ROUNDDOWN((O$70-$B86)/$D$32,0)&lt;2,0.5,IF(ROUNDDOWN((O$70-$B86)/$D$32,0)&lt;3,0.75,IF(ROUNDDOWN((O$70-$B86)/$D$32,0)&lt;4,0.875,0.9375)))))+HLOOKUP($B86,$C$70:$Q$71,2,FALSE)*$C$33*(1-IF(ROUNDDOWN((O$70-$B86)/$D$33,0)&lt;1,0,IF(ROUNDDOWN((O$70-$B86)/$D$33,0)&lt;2,0.5,IF(ROUNDDOWN((O$70-$B86)/$D$33,0)&lt;3,0.75,IF(ROUNDDOWN((O$70-$B86)/$D$33,0)&lt;4,0.875,0.9375)))))+HLOOKUP($B86,$C$70:$Q$71,2,FALSE)*$C$34*(1-IF(ROUNDDOWN((O$70-$B86)/$D$34,0)&lt;1,0,IF(ROUNDDOWN((O$70-$B86)/$D$34,0)&lt;2,0.5,IF(ROUNDDOWN((O$70-$B86)/$D$34,0)&lt;3,0.75,IF(ROUNDDOWN((O$70-$B86)/$D$34,0)&lt;4,0.875,0.9375)))))+HLOOKUP($B86,$C$70:$Q$71,2,FALSE)*$C$35*(1-IF(ROUNDDOWN((O$70-$B86)/$D$35,0)&lt;1,0,IF(ROUNDDOWN((O$70-$B86)/$D$35,0)&lt;2,0.5,IF(ROUNDDOWN((O$70-$B86)/$D$35,0)&lt;3,0.75,IF(ROUNDDOWN((O$70-$B86)/$D$35,0)&lt;4,0.875,0.9375)))))+HLOOKUP($B86,$C$70:$Q$71,2,FALSE)*$C$36*(1-IF(ROUNDDOWN((O$70-$B86)/$D$36,0)&lt;1,0,IF(ROUNDDOWN((O$70-$B86)/$D$36,0)&lt;2,0.5,IF(ROUNDDOWN((O$70-$B86)/$D$36,0)&lt;3,0.75,IF(ROUNDDOWN((O$70-$B86)/$D$36,0)&lt;4,0.875,0.9375)))))+HLOOKUP($B86,$C$70:$Q$71,2,FALSE)*$C$37*(1-IF(ROUNDDOWN((O$70-$B86)/$D$37,0)&lt;1,0,IF(ROUNDDOWN((O$70-$B86)/$D$37,0)&lt;2,0.5,IF(ROUNDDOWN((O$70-$B86)/$D$37,0)&lt;3,0.75,IF(ROUNDDOWN((O$70-$B86)/$D$37,0)&lt;4,0.875,0.9375)))))</f>
        <v>2.2167291846168768</v>
      </c>
      <c r="P86" s="125">
        <f>HLOOKUP($B86,$C$70:$Q$71,2,FALSE)*$C$32*(1-IF(ROUNDDOWN((P$70-$B86)/$D$32,0)&lt;1,0,IF(ROUNDDOWN((P$70-$B86)/$D$32,0)&lt;2,0.5,IF(ROUNDDOWN((P$70-$B86)/$D$32,0)&lt;3,0.75,IF(ROUNDDOWN((P$70-$B86)/$D$32,0)&lt;4,0.875,0.9375)))))+HLOOKUP($B86,$C$70:$Q$71,2,FALSE)*$C$33*(1-IF(ROUNDDOWN((P$70-$B86)/$D$33,0)&lt;1,0,IF(ROUNDDOWN((P$70-$B86)/$D$33,0)&lt;2,0.5,IF(ROUNDDOWN((P$70-$B86)/$D$33,0)&lt;3,0.75,IF(ROUNDDOWN((P$70-$B86)/$D$33,0)&lt;4,0.875,0.9375)))))+HLOOKUP($B86,$C$70:$Q$71,2,FALSE)*$C$34*(1-IF(ROUNDDOWN((P$70-$B86)/$D$34,0)&lt;1,0,IF(ROUNDDOWN((P$70-$B86)/$D$34,0)&lt;2,0.5,IF(ROUNDDOWN((P$70-$B86)/$D$34,0)&lt;3,0.75,IF(ROUNDDOWN((P$70-$B86)/$D$34,0)&lt;4,0.875,0.9375)))))+HLOOKUP($B86,$C$70:$Q$71,2,FALSE)*$C$35*(1-IF(ROUNDDOWN((P$70-$B86)/$D$35,0)&lt;1,0,IF(ROUNDDOWN((P$70-$B86)/$D$35,0)&lt;2,0.5,IF(ROUNDDOWN((P$70-$B86)/$D$35,0)&lt;3,0.75,IF(ROUNDDOWN((P$70-$B86)/$D$35,0)&lt;4,0.875,0.9375)))))+HLOOKUP($B86,$C$70:$Q$71,2,FALSE)*$C$36*(1-IF(ROUNDDOWN((P$70-$B86)/$D$36,0)&lt;1,0,IF(ROUNDDOWN((P$70-$B86)/$D$36,0)&lt;2,0.5,IF(ROUNDDOWN((P$70-$B86)/$D$36,0)&lt;3,0.75,IF(ROUNDDOWN((P$70-$B86)/$D$36,0)&lt;4,0.875,0.9375)))))+HLOOKUP($B86,$C$70:$Q$71,2,FALSE)*$C$37*(1-IF(ROUNDDOWN((P$70-$B86)/$D$37,0)&lt;1,0,IF(ROUNDDOWN((P$70-$B86)/$D$37,0)&lt;2,0.5,IF(ROUNDDOWN((P$70-$B86)/$D$37,0)&lt;3,0.75,IF(ROUNDDOWN((P$70-$B86)/$D$37,0)&lt;4,0.875,0.9375)))))</f>
        <v>2.2167291846168768</v>
      </c>
      <c r="Q86" s="125">
        <f>HLOOKUP($B86,$C$70:$Q$71,2,FALSE)*$C$32*(1-IF(ROUNDDOWN((Q$70-$B86)/$D$32,0)&lt;1,0,IF(ROUNDDOWN((Q$70-$B86)/$D$32,0)&lt;2,0.5,IF(ROUNDDOWN((Q$70-$B86)/$D$32,0)&lt;3,0.75,IF(ROUNDDOWN((Q$70-$B86)/$D$32,0)&lt;4,0.875,0.9375)))))+HLOOKUP($B86,$C$70:$Q$71,2,FALSE)*$C$33*(1-IF(ROUNDDOWN((Q$70-$B86)/$D$33,0)&lt;1,0,IF(ROUNDDOWN((Q$70-$B86)/$D$33,0)&lt;2,0.5,IF(ROUNDDOWN((Q$70-$B86)/$D$33,0)&lt;3,0.75,IF(ROUNDDOWN((Q$70-$B86)/$D$33,0)&lt;4,0.875,0.9375)))))+HLOOKUP($B86,$C$70:$Q$71,2,FALSE)*$C$34*(1-IF(ROUNDDOWN((Q$70-$B86)/$D$34,0)&lt;1,0,IF(ROUNDDOWN((Q$70-$B86)/$D$34,0)&lt;2,0.5,IF(ROUNDDOWN((Q$70-$B86)/$D$34,0)&lt;3,0.75,IF(ROUNDDOWN((Q$70-$B86)/$D$34,0)&lt;4,0.875,0.9375)))))+HLOOKUP($B86,$C$70:$Q$71,2,FALSE)*$C$35*(1-IF(ROUNDDOWN((Q$70-$B86)/$D$35,0)&lt;1,0,IF(ROUNDDOWN((Q$70-$B86)/$D$35,0)&lt;2,0.5,IF(ROUNDDOWN((Q$70-$B86)/$D$35,0)&lt;3,0.75,IF(ROUNDDOWN((Q$70-$B86)/$D$35,0)&lt;4,0.875,0.9375)))))+HLOOKUP($B86,$C$70:$Q$71,2,FALSE)*$C$36*(1-IF(ROUNDDOWN((Q$70-$B86)/$D$36,0)&lt;1,0,IF(ROUNDDOWN((Q$70-$B86)/$D$36,0)&lt;2,0.5,IF(ROUNDDOWN((Q$70-$B86)/$D$36,0)&lt;3,0.75,IF(ROUNDDOWN((Q$70-$B86)/$D$36,0)&lt;4,0.875,0.9375)))))+HLOOKUP($B86,$C$70:$Q$71,2,FALSE)*$C$37*(1-IF(ROUNDDOWN((Q$70-$B86)/$D$37,0)&lt;1,0,IF(ROUNDDOWN((Q$70-$B86)/$D$37,0)&lt;2,0.5,IF(ROUNDDOWN((Q$70-$B86)/$D$37,0)&lt;3,0.75,IF(ROUNDDOWN((Q$70-$B86)/$D$37,0)&lt;4,0.875,0.9375)))))</f>
        <v>2.2167291846168768</v>
      </c>
      <c r="R86" s="19"/>
    </row>
    <row r="87" spans="2:18" x14ac:dyDescent="0.3">
      <c r="B87" s="120">
        <f t="shared" si="13"/>
        <v>2028</v>
      </c>
      <c r="C87" s="125"/>
      <c r="D87" s="125"/>
      <c r="E87" s="125"/>
      <c r="F87" s="125"/>
      <c r="G87" s="125"/>
      <c r="H87" s="125"/>
      <c r="I87" s="125"/>
      <c r="J87" s="125"/>
      <c r="K87" s="125"/>
      <c r="L87" s="125"/>
      <c r="M87" s="125"/>
      <c r="N87" s="125"/>
      <c r="O87" s="125"/>
      <c r="P87" s="125">
        <f>HLOOKUP($B87,$C$70:$Q$71,2,FALSE)*$C$32*(1-IF(ROUNDDOWN((P$70-$B87)/$D$32,0)&lt;1,0,IF(ROUNDDOWN((P$70-$B87)/$D$32,0)&lt;2,0.5,IF(ROUNDDOWN((P$70-$B87)/$D$32,0)&lt;3,0.75,IF(ROUNDDOWN((P$70-$B87)/$D$32,0)&lt;4,0.875,0.9375)))))+HLOOKUP($B87,$C$70:$Q$71,2,FALSE)*$C$33*(1-IF(ROUNDDOWN((P$70-$B87)/$D$33,0)&lt;1,0,IF(ROUNDDOWN((P$70-$B87)/$D$33,0)&lt;2,0.5,IF(ROUNDDOWN((P$70-$B87)/$D$33,0)&lt;3,0.75,IF(ROUNDDOWN((P$70-$B87)/$D$33,0)&lt;4,0.875,0.9375)))))+HLOOKUP($B87,$C$70:$Q$71,2,FALSE)*$C$34*(1-IF(ROUNDDOWN((P$70-$B87)/$D$34,0)&lt;1,0,IF(ROUNDDOWN((P$70-$B87)/$D$34,0)&lt;2,0.5,IF(ROUNDDOWN((P$70-$B87)/$D$34,0)&lt;3,0.75,IF(ROUNDDOWN((P$70-$B87)/$D$34,0)&lt;4,0.875,0.9375)))))+HLOOKUP($B87,$C$70:$Q$71,2,FALSE)*$C$35*(1-IF(ROUNDDOWN((P$70-$B87)/$D$35,0)&lt;1,0,IF(ROUNDDOWN((P$70-$B87)/$D$35,0)&lt;2,0.5,IF(ROUNDDOWN((P$70-$B87)/$D$35,0)&lt;3,0.75,IF(ROUNDDOWN((P$70-$B87)/$D$35,0)&lt;4,0.875,0.9375)))))+HLOOKUP($B87,$C$70:$Q$71,2,FALSE)*$C$36*(1-IF(ROUNDDOWN((P$70-$B87)/$D$36,0)&lt;1,0,IF(ROUNDDOWN((P$70-$B87)/$D$36,0)&lt;2,0.5,IF(ROUNDDOWN((P$70-$B87)/$D$36,0)&lt;3,0.75,IF(ROUNDDOWN((P$70-$B87)/$D$36,0)&lt;4,0.875,0.9375)))))+HLOOKUP($B87,$C$70:$Q$71,2,FALSE)*$C$37*(1-IF(ROUNDDOWN((P$70-$B87)/$D$37,0)&lt;1,0,IF(ROUNDDOWN((P$70-$B87)/$D$37,0)&lt;2,0.5,IF(ROUNDDOWN((P$70-$B87)/$D$37,0)&lt;3,0.75,IF(ROUNDDOWN((P$70-$B87)/$D$37,0)&lt;4,0.875,0.9375)))))</f>
        <v>2.3570884139250392</v>
      </c>
      <c r="Q87" s="125">
        <f>HLOOKUP($B87,$C$70:$Q$71,2,FALSE)*$C$32*(1-IF(ROUNDDOWN((Q$70-$B87)/$D$32,0)&lt;1,0,IF(ROUNDDOWN((Q$70-$B87)/$D$32,0)&lt;2,0.5,IF(ROUNDDOWN((Q$70-$B87)/$D$32,0)&lt;3,0.75,IF(ROUNDDOWN((Q$70-$B87)/$D$32,0)&lt;4,0.875,0.9375)))))+HLOOKUP($B87,$C$70:$Q$71,2,FALSE)*$C$33*(1-IF(ROUNDDOWN((Q$70-$B87)/$D$33,0)&lt;1,0,IF(ROUNDDOWN((Q$70-$B87)/$D$33,0)&lt;2,0.5,IF(ROUNDDOWN((Q$70-$B87)/$D$33,0)&lt;3,0.75,IF(ROUNDDOWN((Q$70-$B87)/$D$33,0)&lt;4,0.875,0.9375)))))+HLOOKUP($B87,$C$70:$Q$71,2,FALSE)*$C$34*(1-IF(ROUNDDOWN((Q$70-$B87)/$D$34,0)&lt;1,0,IF(ROUNDDOWN((Q$70-$B87)/$D$34,0)&lt;2,0.5,IF(ROUNDDOWN((Q$70-$B87)/$D$34,0)&lt;3,0.75,IF(ROUNDDOWN((Q$70-$B87)/$D$34,0)&lt;4,0.875,0.9375)))))+HLOOKUP($B87,$C$70:$Q$71,2,FALSE)*$C$35*(1-IF(ROUNDDOWN((Q$70-$B87)/$D$35,0)&lt;1,0,IF(ROUNDDOWN((Q$70-$B87)/$D$35,0)&lt;2,0.5,IF(ROUNDDOWN((Q$70-$B87)/$D$35,0)&lt;3,0.75,IF(ROUNDDOWN((Q$70-$B87)/$D$35,0)&lt;4,0.875,0.9375)))))+HLOOKUP($B87,$C$70:$Q$71,2,FALSE)*$C$36*(1-IF(ROUNDDOWN((Q$70-$B87)/$D$36,0)&lt;1,0,IF(ROUNDDOWN((Q$70-$B87)/$D$36,0)&lt;2,0.5,IF(ROUNDDOWN((Q$70-$B87)/$D$36,0)&lt;3,0.75,IF(ROUNDDOWN((Q$70-$B87)/$D$36,0)&lt;4,0.875,0.9375)))))+HLOOKUP($B87,$C$70:$Q$71,2,FALSE)*$C$37*(1-IF(ROUNDDOWN((Q$70-$B87)/$D$37,0)&lt;1,0,IF(ROUNDDOWN((Q$70-$B87)/$D$37,0)&lt;2,0.5,IF(ROUNDDOWN((Q$70-$B87)/$D$37,0)&lt;3,0.75,IF(ROUNDDOWN((Q$70-$B87)/$D$37,0)&lt;4,0.875,0.9375)))))</f>
        <v>2.3570884139250392</v>
      </c>
      <c r="R87" s="19"/>
    </row>
    <row r="88" spans="2:18" x14ac:dyDescent="0.3">
      <c r="B88" s="120">
        <f t="shared" si="13"/>
        <v>2029</v>
      </c>
      <c r="C88" s="125"/>
      <c r="D88" s="125"/>
      <c r="E88" s="125"/>
      <c r="F88" s="125"/>
      <c r="G88" s="125"/>
      <c r="H88" s="125"/>
      <c r="I88" s="125"/>
      <c r="J88" s="125"/>
      <c r="K88" s="125"/>
      <c r="L88" s="125"/>
      <c r="M88" s="125"/>
      <c r="N88" s="125"/>
      <c r="O88" s="125"/>
      <c r="P88" s="125"/>
      <c r="Q88" s="125">
        <f>HLOOKUP($B88,$C$70:$Q$71,2,FALSE)*$C$32*(1-IF(ROUNDDOWN((Q$70-$B88)/$D$32,0)&lt;1,0,IF(ROUNDDOWN((Q$70-$B88)/$D$32,0)&lt;2,0.5,IF(ROUNDDOWN((Q$70-$B88)/$D$32,0)&lt;3,0.75,IF(ROUNDDOWN((Q$70-$B88)/$D$32,0)&lt;4,0.875,0.9375)))))+HLOOKUP($B88,$C$70:$Q$71,2,FALSE)*$C$33*(1-IF(ROUNDDOWN((Q$70-$B88)/$D$33,0)&lt;1,0,IF(ROUNDDOWN((Q$70-$B88)/$D$33,0)&lt;2,0.5,IF(ROUNDDOWN((Q$70-$B88)/$D$33,0)&lt;3,0.75,IF(ROUNDDOWN((Q$70-$B88)/$D$33,0)&lt;4,0.875,0.9375)))))+HLOOKUP($B88,$C$70:$Q$71,2,FALSE)*$C$34*(1-IF(ROUNDDOWN((Q$70-$B88)/$D$34,0)&lt;1,0,IF(ROUNDDOWN((Q$70-$B88)/$D$34,0)&lt;2,0.5,IF(ROUNDDOWN((Q$70-$B88)/$D$34,0)&lt;3,0.75,IF(ROUNDDOWN((Q$70-$B88)/$D$34,0)&lt;4,0.875,0.9375)))))+HLOOKUP($B88,$C$70:$Q$71,2,FALSE)*$C$35*(1-IF(ROUNDDOWN((Q$70-$B88)/$D$35,0)&lt;1,0,IF(ROUNDDOWN((Q$70-$B88)/$D$35,0)&lt;2,0.5,IF(ROUNDDOWN((Q$70-$B88)/$D$35,0)&lt;3,0.75,IF(ROUNDDOWN((Q$70-$B88)/$D$35,0)&lt;4,0.875,0.9375)))))+HLOOKUP($B88,$C$70:$Q$71,2,FALSE)*$C$36*(1-IF(ROUNDDOWN((Q$70-$B88)/$D$36,0)&lt;1,0,IF(ROUNDDOWN((Q$70-$B88)/$D$36,0)&lt;2,0.5,IF(ROUNDDOWN((Q$70-$B88)/$D$36,0)&lt;3,0.75,IF(ROUNDDOWN((Q$70-$B88)/$D$36,0)&lt;4,0.875,0.9375)))))+HLOOKUP($B88,$C$70:$Q$71,2,FALSE)*$C$37*(1-IF(ROUNDDOWN((Q$70-$B88)/$D$37,0)&lt;1,0,IF(ROUNDDOWN((Q$70-$B88)/$D$37,0)&lt;2,0.5,IF(ROUNDDOWN((Q$70-$B88)/$D$37,0)&lt;3,0.75,IF(ROUNDDOWN((Q$70-$B88)/$D$37,0)&lt;4,0.875,0.9375)))))</f>
        <v>2.4974476432332602</v>
      </c>
      <c r="R88" s="19"/>
    </row>
    <row r="89" spans="2:18" x14ac:dyDescent="0.3">
      <c r="B89" s="120">
        <f t="shared" si="13"/>
        <v>2030</v>
      </c>
      <c r="C89" s="125"/>
      <c r="D89" s="125"/>
      <c r="E89" s="125"/>
      <c r="F89" s="125"/>
      <c r="G89" s="125"/>
      <c r="H89" s="125"/>
      <c r="I89" s="125"/>
      <c r="J89" s="125"/>
      <c r="K89" s="125"/>
      <c r="L89" s="125"/>
      <c r="M89" s="125"/>
      <c r="N89" s="125"/>
      <c r="O89" s="125"/>
      <c r="P89" s="125"/>
      <c r="Q89" s="125"/>
      <c r="R89" s="19"/>
    </row>
    <row r="90" spans="2:18" x14ac:dyDescent="0.3">
      <c r="B90" s="20"/>
      <c r="C90" s="126"/>
      <c r="D90" s="126"/>
      <c r="E90" s="126"/>
      <c r="F90" s="126"/>
      <c r="G90" s="126"/>
      <c r="H90" s="126"/>
      <c r="I90" s="126"/>
      <c r="J90" s="126"/>
      <c r="K90" s="126"/>
      <c r="L90" s="126"/>
      <c r="M90" s="126"/>
      <c r="N90" s="126"/>
      <c r="O90" s="126"/>
      <c r="P90" s="126"/>
      <c r="Q90" s="126"/>
      <c r="R90" s="19"/>
    </row>
    <row r="91" spans="2:18" x14ac:dyDescent="0.3">
      <c r="B91" s="127" t="s">
        <v>178</v>
      </c>
      <c r="C91" s="128">
        <f t="shared" ref="C91:Q91" si="14">SUM(C74:C89)</f>
        <v>0.81313689153496327</v>
      </c>
      <c r="D91" s="128">
        <f t="shared" si="14"/>
        <v>1.6262737830699265</v>
      </c>
      <c r="E91" s="128">
        <f t="shared" si="14"/>
        <v>2.4394106746048898</v>
      </c>
      <c r="F91" s="128">
        <f t="shared" si="14"/>
        <v>3.3579419091120117</v>
      </c>
      <c r="G91" s="128">
        <f t="shared" si="14"/>
        <v>4.4168323729273542</v>
      </c>
      <c r="H91" s="128">
        <f t="shared" si="14"/>
        <v>5.6160820660508577</v>
      </c>
      <c r="I91" s="128">
        <f t="shared" si="14"/>
        <v>6.9321730984543324</v>
      </c>
      <c r="J91" s="128">
        <f t="shared" si="14"/>
        <v>8.3825879133057128</v>
      </c>
      <c r="K91" s="128">
        <f t="shared" si="14"/>
        <v>9.934801034943666</v>
      </c>
      <c r="L91" s="128">
        <f t="shared" si="14"/>
        <v>11.609578994015401</v>
      </c>
      <c r="M91" s="128">
        <f t="shared" si="14"/>
        <v>13.383137536443579</v>
      </c>
      <c r="N91" s="128">
        <f t="shared" si="14"/>
        <v>15.282387768717216</v>
      </c>
      <c r="O91" s="128">
        <f t="shared" si="14"/>
        <v>17.3014502183293</v>
      </c>
      <c r="P91" s="128">
        <f t="shared" si="14"/>
        <v>19.439081126899453</v>
      </c>
      <c r="Q91" s="128">
        <f t="shared" si="14"/>
        <v>21.695280494427731</v>
      </c>
      <c r="R91" s="19"/>
    </row>
    <row r="92" spans="2:18" ht="15" thickBot="1" x14ac:dyDescent="0.35">
      <c r="B92" s="26"/>
      <c r="C92" s="27"/>
      <c r="D92" s="27"/>
      <c r="E92" s="27"/>
      <c r="F92" s="27"/>
      <c r="G92" s="27"/>
      <c r="H92" s="27"/>
      <c r="I92" s="27"/>
      <c r="J92" s="27"/>
      <c r="K92" s="27"/>
      <c r="L92" s="27"/>
      <c r="M92" s="27"/>
      <c r="N92" s="27"/>
      <c r="O92" s="27"/>
      <c r="P92" s="27"/>
      <c r="Q92" s="27"/>
      <c r="R92" s="28"/>
    </row>
  </sheetData>
  <mergeCells count="1">
    <mergeCell ref="F32:O3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71"/>
  <sheetViews>
    <sheetView zoomScale="70" zoomScaleNormal="70" workbookViewId="0">
      <selection activeCell="J37" sqref="J37"/>
    </sheetView>
  </sheetViews>
  <sheetFormatPr defaultRowHeight="14.4" x14ac:dyDescent="0.3"/>
  <cols>
    <col min="1" max="1" width="25.33203125" customWidth="1"/>
    <col min="2" max="2" width="27.88671875" customWidth="1"/>
    <col min="3" max="3" width="26.77734375" customWidth="1"/>
    <col min="4" max="5" width="24.5546875" customWidth="1"/>
    <col min="6" max="6" width="23.33203125" customWidth="1"/>
    <col min="7" max="7" width="21.109375" customWidth="1"/>
    <col min="8" max="8" width="54.109375" customWidth="1"/>
    <col min="9" max="9" width="25.33203125" customWidth="1"/>
    <col min="10" max="11" width="20.6640625" customWidth="1"/>
    <col min="12" max="12" width="17.77734375" customWidth="1"/>
    <col min="13" max="13" width="16.33203125" customWidth="1"/>
    <col min="14" max="14" width="20.6640625" bestFit="1" customWidth="1"/>
  </cols>
  <sheetData>
    <row r="1" spans="1:11" ht="18" x14ac:dyDescent="0.35">
      <c r="A1" s="4" t="s">
        <v>200</v>
      </c>
    </row>
    <row r="2" spans="1:11" x14ac:dyDescent="0.3">
      <c r="A2" t="s">
        <v>75</v>
      </c>
      <c r="B2" s="44" t="s">
        <v>76</v>
      </c>
    </row>
    <row r="4" spans="1:11" ht="18" x14ac:dyDescent="0.35">
      <c r="A4" s="4" t="s">
        <v>98</v>
      </c>
      <c r="F4" s="1" t="s">
        <v>77</v>
      </c>
      <c r="I4" s="1" t="s">
        <v>78</v>
      </c>
    </row>
    <row r="5" spans="1:11" x14ac:dyDescent="0.3">
      <c r="A5" s="157" t="s">
        <v>57</v>
      </c>
      <c r="B5" s="157" t="s">
        <v>58</v>
      </c>
      <c r="C5" s="157" t="s">
        <v>73</v>
      </c>
      <c r="D5" s="157" t="s">
        <v>59</v>
      </c>
      <c r="E5" s="158" t="s">
        <v>74</v>
      </c>
      <c r="F5" s="157">
        <v>2014</v>
      </c>
      <c r="G5" s="157">
        <v>2015</v>
      </c>
      <c r="H5" s="157">
        <v>2016</v>
      </c>
      <c r="I5" s="157">
        <v>2014</v>
      </c>
      <c r="J5" s="157">
        <v>2015</v>
      </c>
      <c r="K5" s="157">
        <v>2016</v>
      </c>
    </row>
    <row r="6" spans="1:11" x14ac:dyDescent="0.3">
      <c r="A6" s="41" t="s">
        <v>60</v>
      </c>
      <c r="B6" s="42">
        <v>429378</v>
      </c>
      <c r="C6" s="42"/>
      <c r="D6" s="42">
        <v>79.400000000000006</v>
      </c>
      <c r="E6" s="45"/>
      <c r="F6" s="41">
        <v>776</v>
      </c>
      <c r="G6" s="42">
        <v>1239</v>
      </c>
      <c r="H6" s="47">
        <v>1493</v>
      </c>
      <c r="I6" s="48">
        <v>20042916</v>
      </c>
      <c r="J6" s="48">
        <v>54960030.880000003</v>
      </c>
      <c r="K6" s="48">
        <v>44558408.899999999</v>
      </c>
    </row>
    <row r="7" spans="1:11" x14ac:dyDescent="0.3">
      <c r="A7" s="41" t="s">
        <v>61</v>
      </c>
      <c r="B7" s="42">
        <v>16534408</v>
      </c>
      <c r="C7" s="42"/>
      <c r="D7" s="42">
        <v>3058.9</v>
      </c>
      <c r="E7" s="45"/>
      <c r="F7" s="41">
        <v>7</v>
      </c>
      <c r="G7" s="47">
        <v>29</v>
      </c>
      <c r="H7" s="47">
        <v>54</v>
      </c>
      <c r="I7" s="48">
        <v>141029.07999999999</v>
      </c>
      <c r="J7" s="48">
        <v>1087937.26</v>
      </c>
      <c r="K7" s="48">
        <v>732306.69</v>
      </c>
    </row>
    <row r="8" spans="1:11" x14ac:dyDescent="0.3">
      <c r="A8" s="41" t="s">
        <v>62</v>
      </c>
      <c r="B8" s="42">
        <v>54408</v>
      </c>
      <c r="C8" s="42"/>
      <c r="D8" s="42"/>
      <c r="E8" s="45"/>
      <c r="F8" s="41">
        <v>13</v>
      </c>
      <c r="G8" s="41">
        <v>12</v>
      </c>
      <c r="H8" s="41">
        <v>11</v>
      </c>
      <c r="I8" s="48">
        <v>299233.74</v>
      </c>
      <c r="J8" s="48">
        <v>272231.98</v>
      </c>
      <c r="K8" s="48">
        <v>246745</v>
      </c>
    </row>
    <row r="9" spans="1:11" x14ac:dyDescent="0.3">
      <c r="A9" s="41" t="s">
        <v>63</v>
      </c>
      <c r="B9" s="42">
        <f>10928827/10</f>
        <v>1092882.7</v>
      </c>
      <c r="C9" s="42">
        <f>94593/10</f>
        <v>9459.2999999999993</v>
      </c>
      <c r="D9" s="42">
        <f>58964.85/10</f>
        <v>5896.4849999999997</v>
      </c>
      <c r="E9" s="45"/>
      <c r="F9" s="42">
        <v>1615</v>
      </c>
      <c r="G9" s="47">
        <v>1521</v>
      </c>
      <c r="H9" s="47">
        <v>1378</v>
      </c>
      <c r="I9" s="48">
        <v>45227446.5</v>
      </c>
      <c r="J9" s="48">
        <v>42446160.719999999</v>
      </c>
      <c r="K9" s="48">
        <v>38507299.210000001</v>
      </c>
    </row>
    <row r="10" spans="1:11" x14ac:dyDescent="0.3">
      <c r="A10" s="41" t="s">
        <v>64</v>
      </c>
      <c r="B10" s="42">
        <v>7894463</v>
      </c>
      <c r="C10" s="42">
        <v>575332</v>
      </c>
      <c r="D10" s="42"/>
      <c r="E10" s="46">
        <v>18933880</v>
      </c>
      <c r="F10" s="41">
        <v>151</v>
      </c>
      <c r="G10" s="47">
        <v>3426</v>
      </c>
      <c r="H10" s="47">
        <v>6957</v>
      </c>
      <c r="I10" s="48">
        <v>3435462.04</v>
      </c>
      <c r="J10" s="48">
        <v>83070588.609999999</v>
      </c>
      <c r="K10" s="48">
        <v>169216761.59999999</v>
      </c>
    </row>
    <row r="11" spans="1:11" x14ac:dyDescent="0.3">
      <c r="A11" s="41" t="s">
        <v>65</v>
      </c>
      <c r="B11" s="42">
        <v>120925639</v>
      </c>
      <c r="C11" s="42"/>
      <c r="D11" s="42"/>
      <c r="E11" s="45"/>
      <c r="F11" s="42">
        <v>11668</v>
      </c>
      <c r="G11" s="47">
        <v>15156</v>
      </c>
      <c r="H11" s="47">
        <v>15624</v>
      </c>
      <c r="I11" s="48">
        <v>224311741.65000001</v>
      </c>
      <c r="J11" s="48">
        <v>306161498.60000002</v>
      </c>
      <c r="K11" s="48">
        <v>320840795.45999998</v>
      </c>
    </row>
    <row r="12" spans="1:11" x14ac:dyDescent="0.3">
      <c r="A12" s="41" t="s">
        <v>66</v>
      </c>
      <c r="B12" s="42">
        <v>60882289</v>
      </c>
      <c r="C12" s="42"/>
      <c r="D12" s="42"/>
      <c r="E12" s="45"/>
      <c r="F12" s="42">
        <v>6049</v>
      </c>
      <c r="G12" s="47">
        <v>10152</v>
      </c>
      <c r="H12" s="47">
        <v>11518</v>
      </c>
      <c r="I12" s="48">
        <v>112454924.90000001</v>
      </c>
      <c r="J12" s="48">
        <v>198582986.69</v>
      </c>
      <c r="K12" s="48">
        <v>227139077</v>
      </c>
    </row>
    <row r="13" spans="1:11" x14ac:dyDescent="0.3">
      <c r="A13" s="41" t="s">
        <v>67</v>
      </c>
      <c r="B13" s="42">
        <v>89361397</v>
      </c>
      <c r="C13" s="42"/>
      <c r="D13" s="42"/>
      <c r="E13" s="45"/>
      <c r="F13" s="42">
        <v>4144</v>
      </c>
      <c r="G13" s="47">
        <v>18358</v>
      </c>
      <c r="H13" s="47">
        <v>25306</v>
      </c>
      <c r="I13" s="48">
        <v>93029509.299999997</v>
      </c>
      <c r="J13" s="48">
        <v>431739846.25999999</v>
      </c>
      <c r="K13" s="48">
        <v>574336722.17999995</v>
      </c>
    </row>
    <row r="14" spans="1:11" x14ac:dyDescent="0.3">
      <c r="A14" s="41" t="s">
        <v>68</v>
      </c>
      <c r="B14" s="42">
        <v>23126</v>
      </c>
      <c r="C14" s="42"/>
      <c r="D14" s="42"/>
      <c r="E14" s="45"/>
      <c r="F14" s="41"/>
      <c r="G14" s="47">
        <v>1</v>
      </c>
      <c r="H14" s="47">
        <v>3</v>
      </c>
      <c r="I14" s="41"/>
      <c r="J14" s="48">
        <v>25474.99</v>
      </c>
      <c r="K14" s="48">
        <v>121435.4</v>
      </c>
    </row>
    <row r="15" spans="1:11" x14ac:dyDescent="0.3">
      <c r="A15" s="41" t="s">
        <v>69</v>
      </c>
      <c r="B15" s="42">
        <v>6102724</v>
      </c>
      <c r="C15" s="42"/>
      <c r="D15" s="42"/>
      <c r="E15" s="45"/>
      <c r="F15" s="41"/>
      <c r="G15" s="47">
        <v>5050</v>
      </c>
      <c r="H15" s="47">
        <v>10032</v>
      </c>
      <c r="I15" s="41"/>
      <c r="J15" s="48">
        <v>126779290.63</v>
      </c>
      <c r="K15" s="48">
        <v>252287718.06999999</v>
      </c>
    </row>
    <row r="16" spans="1:11" x14ac:dyDescent="0.3">
      <c r="A16" s="41" t="s">
        <v>70</v>
      </c>
      <c r="B16" s="42">
        <v>2241737</v>
      </c>
      <c r="C16" s="42">
        <v>163373</v>
      </c>
      <c r="D16" s="42"/>
      <c r="E16" s="46">
        <v>4458851</v>
      </c>
      <c r="F16" s="41"/>
      <c r="G16" s="47">
        <v>282</v>
      </c>
      <c r="H16" s="47">
        <v>1451</v>
      </c>
      <c r="I16" s="41"/>
      <c r="J16" s="48">
        <v>8663915.6500000004</v>
      </c>
      <c r="K16" s="48">
        <v>43224206.299999997</v>
      </c>
    </row>
    <row r="17" spans="1:11" x14ac:dyDescent="0.3">
      <c r="A17" s="41" t="s">
        <v>71</v>
      </c>
      <c r="B17" s="42">
        <f>1100000000/6</f>
        <v>183333333.33333334</v>
      </c>
      <c r="C17" s="42"/>
      <c r="D17" s="42">
        <f>202000/6</f>
        <v>33666.666666666664</v>
      </c>
      <c r="E17" s="46">
        <f>10500000/6</f>
        <v>1750000</v>
      </c>
      <c r="F17" s="41"/>
      <c r="G17" s="47">
        <v>911</v>
      </c>
      <c r="H17" s="47">
        <v>7852</v>
      </c>
      <c r="I17" s="41"/>
      <c r="J17" s="48">
        <v>22277536.890000001</v>
      </c>
      <c r="K17" s="48">
        <v>190829604.99000001</v>
      </c>
    </row>
    <row r="18" spans="1:11" x14ac:dyDescent="0.3">
      <c r="A18" s="41" t="s">
        <v>72</v>
      </c>
      <c r="B18" s="42">
        <v>59003</v>
      </c>
      <c r="C18" s="42"/>
      <c r="D18" s="42"/>
      <c r="E18" s="45"/>
      <c r="F18" s="41"/>
      <c r="G18" s="41"/>
      <c r="H18" s="47">
        <v>9</v>
      </c>
      <c r="I18" s="41"/>
      <c r="J18" s="41"/>
      <c r="K18" s="48">
        <v>251239.7</v>
      </c>
    </row>
    <row r="19" spans="1:11" ht="15" thickBot="1" x14ac:dyDescent="0.35">
      <c r="A19" s="55" t="s">
        <v>95</v>
      </c>
      <c r="B19" s="56">
        <f t="shared" ref="B19:K19" si="0">SUM(B6:B18)</f>
        <v>488934788.0333333</v>
      </c>
      <c r="C19" s="56">
        <f t="shared" si="0"/>
        <v>748164.3</v>
      </c>
      <c r="D19" s="56">
        <f t="shared" si="0"/>
        <v>42701.45166666666</v>
      </c>
      <c r="E19" s="56">
        <f t="shared" si="0"/>
        <v>25142731</v>
      </c>
      <c r="F19" s="56">
        <f t="shared" si="0"/>
        <v>24423</v>
      </c>
      <c r="G19" s="56">
        <f t="shared" si="0"/>
        <v>56137</v>
      </c>
      <c r="H19" s="56">
        <f t="shared" si="0"/>
        <v>81688</v>
      </c>
      <c r="I19" s="57">
        <f t="shared" si="0"/>
        <v>498942263.20999998</v>
      </c>
      <c r="J19" s="57">
        <f t="shared" si="0"/>
        <v>1276067499.1600001</v>
      </c>
      <c r="K19" s="57">
        <f t="shared" si="0"/>
        <v>1862292320.5</v>
      </c>
    </row>
    <row r="22" spans="1:11" ht="18" x14ac:dyDescent="0.35">
      <c r="A22" s="4" t="s">
        <v>198</v>
      </c>
    </row>
    <row r="23" spans="1:11" x14ac:dyDescent="0.3">
      <c r="A23" s="137" t="s">
        <v>188</v>
      </c>
      <c r="B23" s="137" t="s">
        <v>225</v>
      </c>
      <c r="C23" s="137" t="s">
        <v>224</v>
      </c>
    </row>
    <row r="24" spans="1:11" x14ac:dyDescent="0.3">
      <c r="A24" s="134" t="s">
        <v>68</v>
      </c>
      <c r="B24" s="135">
        <v>159</v>
      </c>
      <c r="C24" s="136">
        <f>B24/$B$35</f>
        <v>0.10127388535031848</v>
      </c>
    </row>
    <row r="25" spans="1:11" x14ac:dyDescent="0.3">
      <c r="A25" s="134" t="s">
        <v>64</v>
      </c>
      <c r="B25" s="135">
        <v>391</v>
      </c>
      <c r="C25" s="136">
        <f t="shared" ref="C25:C34" si="1">B25/$B$35</f>
        <v>0.24904458598726115</v>
      </c>
    </row>
    <row r="26" spans="1:11" x14ac:dyDescent="0.3">
      <c r="A26" s="134" t="s">
        <v>189</v>
      </c>
      <c r="B26" s="135">
        <v>10</v>
      </c>
      <c r="C26" s="136">
        <f t="shared" si="1"/>
        <v>6.369426751592357E-3</v>
      </c>
    </row>
    <row r="27" spans="1:11" x14ac:dyDescent="0.3">
      <c r="A27" s="134" t="s">
        <v>190</v>
      </c>
      <c r="B27" s="135">
        <v>2</v>
      </c>
      <c r="C27" s="136">
        <f t="shared" si="1"/>
        <v>1.2738853503184713E-3</v>
      </c>
    </row>
    <row r="28" spans="1:11" x14ac:dyDescent="0.3">
      <c r="A28" s="134" t="s">
        <v>191</v>
      </c>
      <c r="B28" s="135">
        <v>5</v>
      </c>
      <c r="C28" s="136">
        <f t="shared" si="1"/>
        <v>3.1847133757961785E-3</v>
      </c>
    </row>
    <row r="29" spans="1:11" x14ac:dyDescent="0.3">
      <c r="A29" s="134" t="s">
        <v>192</v>
      </c>
      <c r="B29" s="135">
        <v>158</v>
      </c>
      <c r="C29" s="136">
        <f t="shared" si="1"/>
        <v>0.10063694267515924</v>
      </c>
    </row>
    <row r="30" spans="1:11" x14ac:dyDescent="0.3">
      <c r="A30" s="134" t="s">
        <v>193</v>
      </c>
      <c r="B30" s="135">
        <v>439</v>
      </c>
      <c r="C30" s="136">
        <f t="shared" si="1"/>
        <v>0.27961783439490445</v>
      </c>
    </row>
    <row r="31" spans="1:11" x14ac:dyDescent="0.3">
      <c r="A31" s="134" t="s">
        <v>194</v>
      </c>
      <c r="B31" s="135">
        <v>8</v>
      </c>
      <c r="C31" s="136">
        <f t="shared" si="1"/>
        <v>5.0955414012738851E-3</v>
      </c>
    </row>
    <row r="32" spans="1:11" x14ac:dyDescent="0.3">
      <c r="A32" s="134" t="s">
        <v>195</v>
      </c>
      <c r="B32" s="135">
        <v>169</v>
      </c>
      <c r="C32" s="136">
        <f t="shared" si="1"/>
        <v>0.10764331210191083</v>
      </c>
    </row>
    <row r="33" spans="1:9" x14ac:dyDescent="0.3">
      <c r="A33" s="134" t="s">
        <v>196</v>
      </c>
      <c r="B33" s="135">
        <v>10</v>
      </c>
      <c r="C33" s="136">
        <f t="shared" si="1"/>
        <v>6.369426751592357E-3</v>
      </c>
    </row>
    <row r="34" spans="1:9" x14ac:dyDescent="0.3">
      <c r="A34" s="134" t="s">
        <v>197</v>
      </c>
      <c r="B34" s="135">
        <v>219</v>
      </c>
      <c r="C34" s="136">
        <f t="shared" si="1"/>
        <v>0.13949044585987261</v>
      </c>
    </row>
    <row r="35" spans="1:9" ht="15" thickBot="1" x14ac:dyDescent="0.35">
      <c r="A35" s="138" t="s">
        <v>136</v>
      </c>
      <c r="B35" s="142">
        <f>SUM(B24:B34)</f>
        <v>1570</v>
      </c>
      <c r="C35" s="143">
        <f>SUM(C24:C34)</f>
        <v>1</v>
      </c>
    </row>
    <row r="38" spans="1:9" ht="18" x14ac:dyDescent="0.35">
      <c r="A38" s="4" t="s">
        <v>199</v>
      </c>
    </row>
    <row r="39" spans="1:9" x14ac:dyDescent="0.3">
      <c r="A39" s="144" t="s">
        <v>188</v>
      </c>
      <c r="B39" s="144" t="s">
        <v>216</v>
      </c>
      <c r="C39" s="144" t="s">
        <v>217</v>
      </c>
      <c r="D39" s="144" t="s">
        <v>226</v>
      </c>
      <c r="E39" s="141" t="s">
        <v>218</v>
      </c>
      <c r="F39" s="137" t="s">
        <v>222</v>
      </c>
      <c r="G39" s="137" t="s">
        <v>223</v>
      </c>
      <c r="H39" s="146" t="s">
        <v>228</v>
      </c>
      <c r="I39" s="147" t="s">
        <v>227</v>
      </c>
    </row>
    <row r="40" spans="1:9" x14ac:dyDescent="0.3">
      <c r="A40" s="151" t="s">
        <v>68</v>
      </c>
      <c r="B40" s="151" t="s">
        <v>206</v>
      </c>
      <c r="C40" s="152">
        <v>42236</v>
      </c>
      <c r="D40" s="153" t="s">
        <v>219</v>
      </c>
      <c r="E40" s="135" t="s">
        <v>219</v>
      </c>
      <c r="F40" s="140" t="str">
        <f>A24</f>
        <v>AllianceNRG Program</v>
      </c>
      <c r="G40" s="135">
        <f>B24</f>
        <v>159</v>
      </c>
      <c r="H40" s="148">
        <f>G40/$B$35</f>
        <v>0.10127388535031848</v>
      </c>
      <c r="I40" s="149">
        <f>IF(D40="No", 0, H40)</f>
        <v>0.10127388535031848</v>
      </c>
    </row>
    <row r="41" spans="1:9" x14ac:dyDescent="0.3">
      <c r="A41" s="151" t="s">
        <v>203</v>
      </c>
      <c r="B41" s="151" t="s">
        <v>204</v>
      </c>
      <c r="C41" s="152">
        <v>41810</v>
      </c>
      <c r="D41" s="153" t="s">
        <v>219</v>
      </c>
      <c r="E41" s="135" t="s">
        <v>220</v>
      </c>
      <c r="F41" s="140"/>
      <c r="G41" s="135"/>
      <c r="H41" s="148"/>
      <c r="I41" s="149">
        <f t="shared" ref="I41:I56" si="2">IF(D41="No", 0, H41)</f>
        <v>0</v>
      </c>
    </row>
    <row r="42" spans="1:9" x14ac:dyDescent="0.3">
      <c r="A42" s="151" t="s">
        <v>67</v>
      </c>
      <c r="B42" s="151" t="s">
        <v>206</v>
      </c>
      <c r="C42" s="152">
        <v>41813</v>
      </c>
      <c r="D42" s="153" t="s">
        <v>219</v>
      </c>
      <c r="E42" s="135" t="s">
        <v>219</v>
      </c>
      <c r="F42" s="140" t="str">
        <f>A30</f>
        <v>HERO</v>
      </c>
      <c r="G42" s="135">
        <f>B30</f>
        <v>439</v>
      </c>
      <c r="H42" s="148">
        <f>G42/$B$35</f>
        <v>0.27961783439490445</v>
      </c>
      <c r="I42" s="149">
        <f t="shared" si="2"/>
        <v>0.27961783439490445</v>
      </c>
    </row>
    <row r="43" spans="1:9" x14ac:dyDescent="0.3">
      <c r="A43" s="151" t="s">
        <v>212</v>
      </c>
      <c r="B43" s="151" t="s">
        <v>206</v>
      </c>
      <c r="C43" s="152">
        <v>42613</v>
      </c>
      <c r="D43" s="153" t="s">
        <v>220</v>
      </c>
      <c r="E43" s="135" t="s">
        <v>220</v>
      </c>
      <c r="F43" s="140"/>
      <c r="G43" s="135"/>
      <c r="H43" s="148"/>
      <c r="I43" s="149">
        <f t="shared" si="2"/>
        <v>0</v>
      </c>
    </row>
    <row r="44" spans="1:9" x14ac:dyDescent="0.3">
      <c r="A44" s="151" t="s">
        <v>64</v>
      </c>
      <c r="B44" s="151" t="s">
        <v>206</v>
      </c>
      <c r="C44" s="152">
        <v>41809</v>
      </c>
      <c r="D44" s="153" t="s">
        <v>219</v>
      </c>
      <c r="E44" s="135" t="s">
        <v>219</v>
      </c>
      <c r="F44" s="140" t="str">
        <f>A25</f>
        <v>CaliforniaFIRST</v>
      </c>
      <c r="G44" s="135">
        <f>B25</f>
        <v>391</v>
      </c>
      <c r="H44" s="148">
        <f>G44/$B$35</f>
        <v>0.24904458598726115</v>
      </c>
      <c r="I44" s="149">
        <f t="shared" si="2"/>
        <v>0.24904458598726115</v>
      </c>
    </row>
    <row r="45" spans="1:9" x14ac:dyDescent="0.3">
      <c r="A45" s="151" t="s">
        <v>70</v>
      </c>
      <c r="B45" s="151" t="s">
        <v>211</v>
      </c>
      <c r="C45" s="152">
        <v>42291</v>
      </c>
      <c r="D45" s="153" t="s">
        <v>219</v>
      </c>
      <c r="E45" s="135" t="s">
        <v>219</v>
      </c>
      <c r="F45" s="140" t="str">
        <f>A25</f>
        <v>CaliforniaFIRST</v>
      </c>
      <c r="G45" s="135"/>
      <c r="H45" s="148"/>
      <c r="I45" s="149">
        <f t="shared" si="2"/>
        <v>0</v>
      </c>
    </row>
    <row r="46" spans="1:9" x14ac:dyDescent="0.3">
      <c r="A46" s="151" t="s">
        <v>213</v>
      </c>
      <c r="B46" s="151" t="s">
        <v>206</v>
      </c>
      <c r="C46" s="152">
        <v>42922</v>
      </c>
      <c r="D46" s="153" t="s">
        <v>220</v>
      </c>
      <c r="E46" s="135" t="s">
        <v>219</v>
      </c>
      <c r="F46" s="140" t="str">
        <f>A30</f>
        <v>HERO</v>
      </c>
      <c r="G46" s="135"/>
      <c r="H46" s="148"/>
      <c r="I46" s="149">
        <f t="shared" si="2"/>
        <v>0</v>
      </c>
    </row>
    <row r="47" spans="1:9" x14ac:dyDescent="0.3">
      <c r="A47" s="151" t="s">
        <v>214</v>
      </c>
      <c r="B47" s="151" t="s">
        <v>206</v>
      </c>
      <c r="C47" s="152">
        <v>42948</v>
      </c>
      <c r="D47" s="153" t="s">
        <v>220</v>
      </c>
      <c r="E47" s="135" t="s">
        <v>219</v>
      </c>
      <c r="F47" s="140" t="str">
        <f>A29</f>
        <v>Figtree PACE Financing</v>
      </c>
      <c r="G47" s="135">
        <f>B29</f>
        <v>158</v>
      </c>
      <c r="H47" s="148">
        <f>G47/$B$35</f>
        <v>0.10063694267515924</v>
      </c>
      <c r="I47" s="149">
        <f t="shared" si="2"/>
        <v>0</v>
      </c>
    </row>
    <row r="48" spans="1:9" x14ac:dyDescent="0.3">
      <c r="A48" s="151" t="s">
        <v>69</v>
      </c>
      <c r="B48" s="151" t="s">
        <v>211</v>
      </c>
      <c r="C48" s="152">
        <v>42284</v>
      </c>
      <c r="D48" s="153" t="s">
        <v>219</v>
      </c>
      <c r="E48" s="135" t="s">
        <v>219</v>
      </c>
      <c r="F48" s="140" t="str">
        <f>A30</f>
        <v>HERO</v>
      </c>
      <c r="G48" s="135"/>
      <c r="H48" s="148"/>
      <c r="I48" s="149">
        <f t="shared" si="2"/>
        <v>0</v>
      </c>
    </row>
    <row r="49" spans="1:16" x14ac:dyDescent="0.3">
      <c r="A49" s="151" t="s">
        <v>61</v>
      </c>
      <c r="B49" s="151" t="s">
        <v>202</v>
      </c>
      <c r="C49" s="152">
        <v>41808</v>
      </c>
      <c r="D49" s="153" t="s">
        <v>219</v>
      </c>
      <c r="E49" s="135" t="s">
        <v>219</v>
      </c>
      <c r="F49" s="140" t="str">
        <f>A31</f>
        <v>mPower</v>
      </c>
      <c r="G49" s="135">
        <v>1</v>
      </c>
      <c r="H49" s="148">
        <f>G49/$B$35</f>
        <v>6.3694267515923564E-4</v>
      </c>
      <c r="I49" s="149">
        <f t="shared" si="2"/>
        <v>6.3694267515923564E-4</v>
      </c>
    </row>
    <row r="50" spans="1:16" x14ac:dyDescent="0.3">
      <c r="A50" s="151" t="s">
        <v>60</v>
      </c>
      <c r="B50" s="151" t="s">
        <v>201</v>
      </c>
      <c r="C50" s="152">
        <v>41808</v>
      </c>
      <c r="D50" s="153" t="s">
        <v>219</v>
      </c>
      <c r="E50" s="135" t="s">
        <v>219</v>
      </c>
      <c r="F50" s="140" t="str">
        <f>A31</f>
        <v>mPower</v>
      </c>
      <c r="G50" s="135">
        <v>1</v>
      </c>
      <c r="H50" s="148">
        <f>G50/$B$35</f>
        <v>6.3694267515923564E-4</v>
      </c>
      <c r="I50" s="149">
        <f t="shared" si="2"/>
        <v>6.3694267515923564E-4</v>
      </c>
    </row>
    <row r="51" spans="1:16" x14ac:dyDescent="0.3">
      <c r="A51" s="151" t="s">
        <v>72</v>
      </c>
      <c r="B51" s="151" t="s">
        <v>206</v>
      </c>
      <c r="C51" s="152">
        <v>42391</v>
      </c>
      <c r="D51" s="153" t="s">
        <v>219</v>
      </c>
      <c r="E51" s="135" t="s">
        <v>219</v>
      </c>
      <c r="F51" s="140" t="str">
        <f>A32</f>
        <v>PACEFunding</v>
      </c>
      <c r="G51" s="135">
        <f>B32</f>
        <v>169</v>
      </c>
      <c r="H51" s="148">
        <f>G51/$B$35</f>
        <v>0.10764331210191083</v>
      </c>
      <c r="I51" s="149">
        <f t="shared" si="2"/>
        <v>0.10764331210191083</v>
      </c>
    </row>
    <row r="52" spans="1:16" x14ac:dyDescent="0.3">
      <c r="A52" s="151" t="s">
        <v>209</v>
      </c>
      <c r="B52" s="151" t="s">
        <v>210</v>
      </c>
      <c r="C52" s="152">
        <v>41813</v>
      </c>
      <c r="D52" s="153" t="s">
        <v>219</v>
      </c>
      <c r="E52" s="135" t="s">
        <v>219</v>
      </c>
      <c r="F52" s="140" t="str">
        <f>A30</f>
        <v>HERO</v>
      </c>
      <c r="G52" s="135"/>
      <c r="H52" s="148"/>
      <c r="I52" s="149">
        <f t="shared" si="2"/>
        <v>0</v>
      </c>
    </row>
    <row r="53" spans="1:16" x14ac:dyDescent="0.3">
      <c r="A53" s="151" t="s">
        <v>63</v>
      </c>
      <c r="B53" s="151" t="s">
        <v>205</v>
      </c>
      <c r="C53" s="152">
        <v>41816</v>
      </c>
      <c r="D53" s="153" t="s">
        <v>219</v>
      </c>
      <c r="E53" s="135" t="s">
        <v>219</v>
      </c>
      <c r="F53" s="140" t="str">
        <f>A33</f>
        <v>Sonoma County Energy Independence Program (SCEIP)</v>
      </c>
      <c r="G53" s="135">
        <f>B33</f>
        <v>10</v>
      </c>
      <c r="H53" s="148">
        <f>G53/$B$35</f>
        <v>6.369426751592357E-3</v>
      </c>
      <c r="I53" s="149">
        <f t="shared" si="2"/>
        <v>6.369426751592357E-3</v>
      </c>
    </row>
    <row r="54" spans="1:16" x14ac:dyDescent="0.3">
      <c r="A54" s="151" t="s">
        <v>215</v>
      </c>
      <c r="B54" s="151" t="s">
        <v>206</v>
      </c>
      <c r="C54" s="152">
        <v>42975</v>
      </c>
      <c r="D54" s="153" t="s">
        <v>220</v>
      </c>
      <c r="E54" s="135" t="s">
        <v>220</v>
      </c>
      <c r="F54" s="140"/>
      <c r="G54" s="135"/>
      <c r="H54" s="148"/>
      <c r="I54" s="149">
        <f t="shared" si="2"/>
        <v>0</v>
      </c>
    </row>
    <row r="55" spans="1:16" x14ac:dyDescent="0.3">
      <c r="A55" s="151" t="s">
        <v>207</v>
      </c>
      <c r="B55" s="151" t="s">
        <v>208</v>
      </c>
      <c r="C55" s="152">
        <v>41813</v>
      </c>
      <c r="D55" s="153" t="s">
        <v>219</v>
      </c>
      <c r="E55" s="135" t="s">
        <v>220</v>
      </c>
      <c r="F55" s="140"/>
      <c r="G55" s="135"/>
      <c r="H55" s="148"/>
      <c r="I55" s="149">
        <f t="shared" si="2"/>
        <v>0</v>
      </c>
    </row>
    <row r="56" spans="1:16" x14ac:dyDescent="0.3">
      <c r="A56" s="151" t="s">
        <v>71</v>
      </c>
      <c r="B56" s="151" t="s">
        <v>206</v>
      </c>
      <c r="C56" s="152">
        <v>42296</v>
      </c>
      <c r="D56" s="153" t="s">
        <v>219</v>
      </c>
      <c r="E56" s="135" t="s">
        <v>219</v>
      </c>
      <c r="F56" s="140" t="str">
        <f>A34</f>
        <v>YgreneWorks</v>
      </c>
      <c r="G56" s="135">
        <f>B34</f>
        <v>219</v>
      </c>
      <c r="H56" s="148">
        <f>G56/$B$35</f>
        <v>0.13949044585987261</v>
      </c>
      <c r="I56" s="149">
        <f t="shared" si="2"/>
        <v>0.13949044585987261</v>
      </c>
    </row>
    <row r="57" spans="1:16" ht="15" thickBot="1" x14ac:dyDescent="0.35">
      <c r="E57" s="138" t="s">
        <v>136</v>
      </c>
      <c r="F57" s="139"/>
      <c r="G57" s="142">
        <f>SUM(G40:G56)</f>
        <v>1547</v>
      </c>
      <c r="H57" s="150">
        <f>SUM(H40:H56)</f>
        <v>0.98535031847133747</v>
      </c>
      <c r="I57" s="150">
        <f>SUM(I40:I56)</f>
        <v>0.88471337579617826</v>
      </c>
    </row>
    <row r="61" spans="1:16" ht="18" x14ac:dyDescent="0.35">
      <c r="A61" s="4" t="s">
        <v>240</v>
      </c>
      <c r="C61" s="6" t="s">
        <v>232</v>
      </c>
    </row>
    <row r="62" spans="1:16" x14ac:dyDescent="0.3">
      <c r="A62" s="41"/>
      <c r="B62" s="155">
        <v>2015</v>
      </c>
      <c r="C62" s="156">
        <v>2016</v>
      </c>
      <c r="D62" s="156">
        <v>2017</v>
      </c>
      <c r="E62" s="156">
        <v>2018</v>
      </c>
      <c r="F62" s="156">
        <v>2019</v>
      </c>
      <c r="G62" s="156">
        <v>2020</v>
      </c>
      <c r="H62" s="156">
        <v>2021</v>
      </c>
      <c r="I62" s="156">
        <v>2022</v>
      </c>
      <c r="J62" s="156">
        <v>2023</v>
      </c>
      <c r="K62" s="156">
        <v>2024</v>
      </c>
      <c r="L62" s="156">
        <v>2025</v>
      </c>
      <c r="M62" s="156">
        <v>2026</v>
      </c>
      <c r="N62" s="156">
        <v>2027</v>
      </c>
      <c r="O62" s="156">
        <v>2028</v>
      </c>
      <c r="P62" s="156">
        <v>2029</v>
      </c>
    </row>
    <row r="63" spans="1:16" x14ac:dyDescent="0.3">
      <c r="A63" s="41" t="s">
        <v>175</v>
      </c>
      <c r="B63" s="42">
        <f>$B$19/1000000</f>
        <v>488.93478803333329</v>
      </c>
      <c r="C63" s="42">
        <f t="shared" ref="C63:P63" si="3">$B$19/1000000</f>
        <v>488.93478803333329</v>
      </c>
      <c r="D63" s="42">
        <f t="shared" si="3"/>
        <v>488.93478803333329</v>
      </c>
      <c r="E63" s="42">
        <f t="shared" si="3"/>
        <v>488.93478803333329</v>
      </c>
      <c r="F63" s="42">
        <f t="shared" si="3"/>
        <v>488.93478803333329</v>
      </c>
      <c r="G63" s="42">
        <f t="shared" si="3"/>
        <v>488.93478803333329</v>
      </c>
      <c r="H63" s="42">
        <f t="shared" si="3"/>
        <v>488.93478803333329</v>
      </c>
      <c r="I63" s="42">
        <f t="shared" si="3"/>
        <v>488.93478803333329</v>
      </c>
      <c r="J63" s="42">
        <f t="shared" si="3"/>
        <v>488.93478803333329</v>
      </c>
      <c r="K63" s="42">
        <f t="shared" si="3"/>
        <v>488.93478803333329</v>
      </c>
      <c r="L63" s="42">
        <f t="shared" si="3"/>
        <v>488.93478803333329</v>
      </c>
      <c r="M63" s="42">
        <f t="shared" si="3"/>
        <v>488.93478803333329</v>
      </c>
      <c r="N63" s="42">
        <f t="shared" si="3"/>
        <v>488.93478803333329</v>
      </c>
      <c r="O63" s="42">
        <f t="shared" si="3"/>
        <v>488.93478803333329</v>
      </c>
      <c r="P63" s="42">
        <f t="shared" si="3"/>
        <v>488.93478803333329</v>
      </c>
    </row>
    <row r="64" spans="1:16" x14ac:dyDescent="0.3">
      <c r="A64" s="41" t="s">
        <v>229</v>
      </c>
      <c r="B64" s="154">
        <f>$C$19/1000000</f>
        <v>0.7481643</v>
      </c>
      <c r="C64" s="154">
        <f t="shared" ref="C64:P64" si="4">$C$19/1000000</f>
        <v>0.7481643</v>
      </c>
      <c r="D64" s="154">
        <f t="shared" si="4"/>
        <v>0.7481643</v>
      </c>
      <c r="E64" s="154">
        <f t="shared" si="4"/>
        <v>0.7481643</v>
      </c>
      <c r="F64" s="154">
        <f t="shared" si="4"/>
        <v>0.7481643</v>
      </c>
      <c r="G64" s="154">
        <f t="shared" si="4"/>
        <v>0.7481643</v>
      </c>
      <c r="H64" s="154">
        <f t="shared" si="4"/>
        <v>0.7481643</v>
      </c>
      <c r="I64" s="154">
        <f t="shared" si="4"/>
        <v>0.7481643</v>
      </c>
      <c r="J64" s="154">
        <f t="shared" si="4"/>
        <v>0.7481643</v>
      </c>
      <c r="K64" s="154">
        <f t="shared" si="4"/>
        <v>0.7481643</v>
      </c>
      <c r="L64" s="154">
        <f t="shared" si="4"/>
        <v>0.7481643</v>
      </c>
      <c r="M64" s="154">
        <f t="shared" si="4"/>
        <v>0.7481643</v>
      </c>
      <c r="N64" s="154">
        <f t="shared" si="4"/>
        <v>0.7481643</v>
      </c>
      <c r="O64" s="154">
        <f t="shared" si="4"/>
        <v>0.7481643</v>
      </c>
      <c r="P64" s="154">
        <f t="shared" si="4"/>
        <v>0.7481643</v>
      </c>
    </row>
    <row r="65" spans="1:16" x14ac:dyDescent="0.3">
      <c r="A65" s="161" t="s">
        <v>243</v>
      </c>
    </row>
    <row r="67" spans="1:16" ht="18" x14ac:dyDescent="0.35">
      <c r="A67" s="4" t="s">
        <v>242</v>
      </c>
      <c r="C67" s="6" t="s">
        <v>232</v>
      </c>
    </row>
    <row r="68" spans="1:16" x14ac:dyDescent="0.3">
      <c r="A68" s="41"/>
      <c r="B68" s="155">
        <v>2015</v>
      </c>
      <c r="C68" s="156">
        <v>2016</v>
      </c>
      <c r="D68" s="156">
        <v>2017</v>
      </c>
      <c r="E68" s="156">
        <v>2018</v>
      </c>
      <c r="F68" s="156">
        <v>2019</v>
      </c>
      <c r="G68" s="156">
        <v>2020</v>
      </c>
      <c r="H68" s="156">
        <v>2021</v>
      </c>
      <c r="I68" s="156">
        <v>2022</v>
      </c>
      <c r="J68" s="156">
        <v>2023</v>
      </c>
      <c r="K68" s="156">
        <v>2024</v>
      </c>
      <c r="L68" s="156">
        <v>2025</v>
      </c>
      <c r="M68" s="156">
        <v>2026</v>
      </c>
      <c r="N68" s="156">
        <v>2027</v>
      </c>
      <c r="O68" s="156">
        <v>2028</v>
      </c>
      <c r="P68" s="156">
        <v>2029</v>
      </c>
    </row>
    <row r="69" spans="1:16" x14ac:dyDescent="0.3">
      <c r="A69" s="41" t="s">
        <v>175</v>
      </c>
      <c r="B69" s="42">
        <f>$B$19/1000000*($H$57/$I$57)</f>
        <v>544.55156017823367</v>
      </c>
      <c r="C69" s="42">
        <f t="shared" ref="C69:P69" si="5">$B$19/1000000*($H$57/$I$57)</f>
        <v>544.55156017823367</v>
      </c>
      <c r="D69" s="42">
        <f t="shared" si="5"/>
        <v>544.55156017823367</v>
      </c>
      <c r="E69" s="42">
        <f t="shared" si="5"/>
        <v>544.55156017823367</v>
      </c>
      <c r="F69" s="42">
        <f t="shared" si="5"/>
        <v>544.55156017823367</v>
      </c>
      <c r="G69" s="42">
        <f t="shared" si="5"/>
        <v>544.55156017823367</v>
      </c>
      <c r="H69" s="42">
        <f t="shared" si="5"/>
        <v>544.55156017823367</v>
      </c>
      <c r="I69" s="42">
        <f t="shared" si="5"/>
        <v>544.55156017823367</v>
      </c>
      <c r="J69" s="42">
        <f t="shared" si="5"/>
        <v>544.55156017823367</v>
      </c>
      <c r="K69" s="42">
        <f t="shared" si="5"/>
        <v>544.55156017823367</v>
      </c>
      <c r="L69" s="42">
        <f t="shared" si="5"/>
        <v>544.55156017823367</v>
      </c>
      <c r="M69" s="42">
        <f t="shared" si="5"/>
        <v>544.55156017823367</v>
      </c>
      <c r="N69" s="42">
        <f t="shared" si="5"/>
        <v>544.55156017823367</v>
      </c>
      <c r="O69" s="42">
        <f t="shared" si="5"/>
        <v>544.55156017823367</v>
      </c>
      <c r="P69" s="42">
        <f t="shared" si="5"/>
        <v>544.55156017823367</v>
      </c>
    </row>
    <row r="70" spans="1:16" x14ac:dyDescent="0.3">
      <c r="A70" s="41" t="s">
        <v>229</v>
      </c>
      <c r="B70" s="154">
        <f>$C$19/1000000*($H$57/$I$57)</f>
        <v>0.83326866241900643</v>
      </c>
      <c r="C70" s="154">
        <f t="shared" ref="C70:P70" si="6">$C$19/1000000*($H$57/$I$57)</f>
        <v>0.83326866241900643</v>
      </c>
      <c r="D70" s="154">
        <f t="shared" si="6"/>
        <v>0.83326866241900643</v>
      </c>
      <c r="E70" s="154">
        <f t="shared" si="6"/>
        <v>0.83326866241900643</v>
      </c>
      <c r="F70" s="154">
        <f t="shared" si="6"/>
        <v>0.83326866241900643</v>
      </c>
      <c r="G70" s="154">
        <f t="shared" si="6"/>
        <v>0.83326866241900643</v>
      </c>
      <c r="H70" s="154">
        <f t="shared" si="6"/>
        <v>0.83326866241900643</v>
      </c>
      <c r="I70" s="154">
        <f t="shared" si="6"/>
        <v>0.83326866241900643</v>
      </c>
      <c r="J70" s="154">
        <f t="shared" si="6"/>
        <v>0.83326866241900643</v>
      </c>
      <c r="K70" s="154">
        <f t="shared" si="6"/>
        <v>0.83326866241900643</v>
      </c>
      <c r="L70" s="154">
        <f t="shared" si="6"/>
        <v>0.83326866241900643</v>
      </c>
      <c r="M70" s="154">
        <f t="shared" si="6"/>
        <v>0.83326866241900643</v>
      </c>
      <c r="N70" s="154">
        <f t="shared" si="6"/>
        <v>0.83326866241900643</v>
      </c>
      <c r="O70" s="154">
        <f t="shared" si="6"/>
        <v>0.83326866241900643</v>
      </c>
      <c r="P70" s="154">
        <f t="shared" si="6"/>
        <v>0.83326866241900643</v>
      </c>
    </row>
    <row r="71" spans="1:16" x14ac:dyDescent="0.3">
      <c r="A71" s="161" t="s">
        <v>241</v>
      </c>
    </row>
  </sheetData>
  <sortState ref="H38:L103">
    <sortCondition ref="H38"/>
  </sortState>
  <conditionalFormatting sqref="D40:D56">
    <cfRule type="cellIs" dxfId="1" priority="2" operator="equal">
      <formula>"No"</formula>
    </cfRule>
  </conditionalFormatting>
  <conditionalFormatting sqref="I40:I56">
    <cfRule type="cellIs" dxfId="0" priority="1" operator="equal">
      <formula>"No"</formula>
    </cfRule>
  </conditionalFormatting>
  <hyperlinks>
    <hyperlink ref="B2"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48"/>
  <sheetViews>
    <sheetView zoomScale="70" zoomScaleNormal="70" workbookViewId="0">
      <selection activeCell="K49" sqref="K49"/>
    </sheetView>
  </sheetViews>
  <sheetFormatPr defaultRowHeight="14.4" x14ac:dyDescent="0.3"/>
  <cols>
    <col min="1" max="1" width="30.21875" customWidth="1"/>
    <col min="2" max="5" width="15.33203125" customWidth="1"/>
    <col min="8" max="12" width="13.77734375" customWidth="1"/>
  </cols>
  <sheetData>
    <row r="1" spans="1:20" ht="18" x14ac:dyDescent="0.35">
      <c r="A1" s="4" t="s">
        <v>230</v>
      </c>
    </row>
    <row r="2" spans="1:20" x14ac:dyDescent="0.3">
      <c r="A2" t="s">
        <v>75</v>
      </c>
      <c r="B2" s="44" t="s">
        <v>79</v>
      </c>
    </row>
    <row r="3" spans="1:20" ht="18" x14ac:dyDescent="0.35">
      <c r="E3" s="4" t="s">
        <v>238</v>
      </c>
      <c r="J3" s="6" t="s">
        <v>232</v>
      </c>
    </row>
    <row r="4" spans="1:20" x14ac:dyDescent="0.3">
      <c r="A4" s="58" t="s">
        <v>235</v>
      </c>
      <c r="B4" s="58" t="s">
        <v>80</v>
      </c>
      <c r="C4" s="58" t="s">
        <v>49</v>
      </c>
      <c r="E4" s="41"/>
      <c r="F4" s="155">
        <v>2015</v>
      </c>
      <c r="G4" s="156">
        <v>2016</v>
      </c>
      <c r="H4" s="156">
        <v>2017</v>
      </c>
      <c r="I4" s="156">
        <v>2018</v>
      </c>
      <c r="J4" s="156">
        <v>2019</v>
      </c>
      <c r="K4" s="156">
        <v>2020</v>
      </c>
      <c r="L4" s="156">
        <v>2021</v>
      </c>
      <c r="M4" s="156">
        <v>2022</v>
      </c>
      <c r="N4" s="156">
        <v>2023</v>
      </c>
      <c r="O4" s="156">
        <v>2024</v>
      </c>
      <c r="P4" s="156">
        <v>2025</v>
      </c>
      <c r="Q4" s="156">
        <v>2026</v>
      </c>
      <c r="R4" s="156">
        <v>2027</v>
      </c>
      <c r="S4" s="156">
        <v>2028</v>
      </c>
      <c r="T4" s="156">
        <v>2029</v>
      </c>
    </row>
    <row r="5" spans="1:20" x14ac:dyDescent="0.3">
      <c r="A5" s="43" t="s">
        <v>236</v>
      </c>
      <c r="B5" s="49">
        <v>380000000</v>
      </c>
      <c r="C5" s="49">
        <v>3700000000</v>
      </c>
      <c r="E5" s="41" t="s">
        <v>175</v>
      </c>
      <c r="F5" s="42">
        <f>'RES PACE Data'!B$69*('NR PACE Data'!$B$6)*$B$9*$B$11</f>
        <v>8.9851007429408565</v>
      </c>
      <c r="G5" s="42">
        <f>'RES PACE Data'!C$69*('NR PACE Data'!$B$6)*$B$9*$B$11</f>
        <v>8.9851007429408565</v>
      </c>
      <c r="H5" s="42">
        <f>'RES PACE Data'!D$69*('NR PACE Data'!$B$6)*$B$9*$B$11</f>
        <v>8.9851007429408565</v>
      </c>
      <c r="I5" s="42">
        <f>'RES PACE Data'!E$69*('NR PACE Data'!$B$6)*$B$9*$B$11</f>
        <v>8.9851007429408565</v>
      </c>
      <c r="J5" s="42">
        <f>'RES PACE Data'!F$69*('NR PACE Data'!$B$6)*$B$9*$B$11</f>
        <v>8.9851007429408565</v>
      </c>
      <c r="K5" s="42">
        <f>'RES PACE Data'!G$69*('NR PACE Data'!$B$6)*$B$9*$B$11</f>
        <v>8.9851007429408565</v>
      </c>
      <c r="L5" s="42">
        <f>'RES PACE Data'!H$69*('NR PACE Data'!$B$6)*$B$9*$B$11</f>
        <v>8.9851007429408565</v>
      </c>
      <c r="M5" s="42">
        <f>'RES PACE Data'!I$69*('NR PACE Data'!$B$6)*$B$9*$B$11</f>
        <v>8.9851007429408565</v>
      </c>
      <c r="N5" s="42">
        <f>'RES PACE Data'!J$69*('NR PACE Data'!$B$6)*$B$9*$B$11</f>
        <v>8.9851007429408565</v>
      </c>
      <c r="O5" s="42">
        <f>'RES PACE Data'!K$69*('NR PACE Data'!$B$6)*$B$9*$B$11</f>
        <v>8.9851007429408565</v>
      </c>
      <c r="P5" s="42">
        <f>'RES PACE Data'!L$69*('NR PACE Data'!$B$6)*$B$9*$B$11</f>
        <v>8.9851007429408565</v>
      </c>
      <c r="Q5" s="42">
        <f>'RES PACE Data'!M$69*('NR PACE Data'!$B$6)*$B$9*$B$11</f>
        <v>8.9851007429408565</v>
      </c>
      <c r="R5" s="42">
        <f>'RES PACE Data'!N$69*('NR PACE Data'!$B$6)*$B$9*$B$11</f>
        <v>8.9851007429408565</v>
      </c>
      <c r="S5" s="42">
        <f>'RES PACE Data'!O$69*('NR PACE Data'!$B$6)*$B$9*$B$11</f>
        <v>8.9851007429408565</v>
      </c>
      <c r="T5" s="42">
        <f>'RES PACE Data'!P$69*('NR PACE Data'!$B$6)*$B$9*$B$11</f>
        <v>8.9851007429408565</v>
      </c>
    </row>
    <row r="6" spans="1:20" x14ac:dyDescent="0.3">
      <c r="A6" s="43" t="s">
        <v>221</v>
      </c>
      <c r="B6" s="159">
        <f>B5/SUM($B$5:$C$5)</f>
        <v>9.3137254901960786E-2</v>
      </c>
      <c r="C6" s="159">
        <f>C5/SUM($B$5:$C$5)</f>
        <v>0.90686274509803921</v>
      </c>
      <c r="E6" s="41" t="s">
        <v>229</v>
      </c>
      <c r="F6" s="42">
        <f>'RES PACE Data'!B$70*('NR PACE Data'!$B$6)*$B$9*$B$11</f>
        <v>1.3748932929913606E-2</v>
      </c>
      <c r="G6" s="42">
        <f>'RES PACE Data'!C$70*('NR PACE Data'!$B$6)*$B$9*$B$11</f>
        <v>1.3748932929913606E-2</v>
      </c>
      <c r="H6" s="42">
        <f>'RES PACE Data'!D$70*('NR PACE Data'!$B$6)*$B$9*$B$11</f>
        <v>1.3748932929913606E-2</v>
      </c>
      <c r="I6" s="42">
        <f>'RES PACE Data'!E$70*('NR PACE Data'!$B$6)*$B$9*$B$11</f>
        <v>1.3748932929913606E-2</v>
      </c>
      <c r="J6" s="42">
        <f>'RES PACE Data'!F$70*('NR PACE Data'!$B$6)*$B$9*$B$11</f>
        <v>1.3748932929913606E-2</v>
      </c>
      <c r="K6" s="42">
        <f>'RES PACE Data'!G$70*('NR PACE Data'!$B$6)*$B$9*$B$11</f>
        <v>1.3748932929913606E-2</v>
      </c>
      <c r="L6" s="42">
        <f>'RES PACE Data'!H$70*('NR PACE Data'!$B$6)*$B$9*$B$11</f>
        <v>1.3748932929913606E-2</v>
      </c>
      <c r="M6" s="42">
        <f>'RES PACE Data'!I$70*('NR PACE Data'!$B$6)*$B$9*$B$11</f>
        <v>1.3748932929913606E-2</v>
      </c>
      <c r="N6" s="42">
        <f>'RES PACE Data'!J$70*('NR PACE Data'!$B$6)*$B$9*$B$11</f>
        <v>1.3748932929913606E-2</v>
      </c>
      <c r="O6" s="42">
        <f>'RES PACE Data'!K$70*('NR PACE Data'!$B$6)*$B$9*$B$11</f>
        <v>1.3748932929913606E-2</v>
      </c>
      <c r="P6" s="42">
        <f>'RES PACE Data'!L$70*('NR PACE Data'!$B$6)*$B$9*$B$11</f>
        <v>1.3748932929913606E-2</v>
      </c>
      <c r="Q6" s="42">
        <f>'RES PACE Data'!M$70*('NR PACE Data'!$B$6)*$B$9*$B$11</f>
        <v>1.3748932929913606E-2</v>
      </c>
      <c r="R6" s="42">
        <f>'RES PACE Data'!N$70*('NR PACE Data'!$B$6)*$B$9*$B$11</f>
        <v>1.3748932929913606E-2</v>
      </c>
      <c r="S6" s="42">
        <f>'RES PACE Data'!O$70*('NR PACE Data'!$B$6)*$B$9*$B$11</f>
        <v>1.3748932929913606E-2</v>
      </c>
      <c r="T6" s="42">
        <f>'RES PACE Data'!P$70*('NR PACE Data'!$B$6)*$B$9*$B$11</f>
        <v>1.3748932929913606E-2</v>
      </c>
    </row>
    <row r="7" spans="1:20" x14ac:dyDescent="0.3">
      <c r="A7" s="58" t="s">
        <v>234</v>
      </c>
      <c r="B7" s="58" t="s">
        <v>80</v>
      </c>
      <c r="C7" s="58" t="s">
        <v>49</v>
      </c>
      <c r="E7" s="161" t="s">
        <v>239</v>
      </c>
      <c r="F7" s="160"/>
      <c r="G7" s="160"/>
      <c r="H7" s="160"/>
      <c r="I7" s="160"/>
      <c r="J7" s="160"/>
      <c r="K7" s="160"/>
      <c r="L7" s="160"/>
      <c r="M7" s="160"/>
      <c r="N7" s="160"/>
      <c r="O7" s="160"/>
      <c r="P7" s="160"/>
      <c r="Q7" s="160"/>
      <c r="R7" s="160"/>
      <c r="S7" s="160"/>
      <c r="T7" s="160"/>
    </row>
    <row r="8" spans="1:20" x14ac:dyDescent="0.3">
      <c r="A8" s="43" t="s">
        <v>236</v>
      </c>
      <c r="B8" s="49">
        <v>132000000</v>
      </c>
      <c r="C8" s="41"/>
      <c r="Q8" t="s">
        <v>233</v>
      </c>
    </row>
    <row r="9" spans="1:20" x14ac:dyDescent="0.3">
      <c r="A9" s="43" t="s">
        <v>237</v>
      </c>
      <c r="B9" s="159">
        <f>B8/B5</f>
        <v>0.3473684210526316</v>
      </c>
      <c r="C9" s="159"/>
    </row>
    <row r="10" spans="1:20" ht="18" x14ac:dyDescent="0.35">
      <c r="A10" s="43" t="s">
        <v>81</v>
      </c>
      <c r="B10" s="41">
        <v>1020</v>
      </c>
      <c r="C10" s="41">
        <v>148000</v>
      </c>
      <c r="E10" s="4" t="s">
        <v>238</v>
      </c>
      <c r="J10" s="6" t="s">
        <v>244</v>
      </c>
    </row>
    <row r="11" spans="1:20" x14ac:dyDescent="0.3">
      <c r="A11" s="43" t="s">
        <v>83</v>
      </c>
      <c r="B11" s="50">
        <v>0.51</v>
      </c>
      <c r="C11" s="50">
        <v>0.57999999999999996</v>
      </c>
      <c r="E11" s="41"/>
      <c r="F11" s="155">
        <v>2015</v>
      </c>
      <c r="G11" s="156">
        <v>2016</v>
      </c>
      <c r="H11" s="156">
        <v>2017</v>
      </c>
      <c r="I11" s="156">
        <v>2018</v>
      </c>
      <c r="J11" s="156">
        <v>2019</v>
      </c>
      <c r="K11" s="156">
        <v>2020</v>
      </c>
      <c r="L11" s="156">
        <v>2021</v>
      </c>
      <c r="M11" s="156">
        <v>2022</v>
      </c>
      <c r="N11" s="156">
        <v>2023</v>
      </c>
      <c r="O11" s="156">
        <v>2024</v>
      </c>
      <c r="P11" s="156">
        <v>2025</v>
      </c>
      <c r="Q11" s="156">
        <v>2026</v>
      </c>
      <c r="R11" s="156">
        <v>2027</v>
      </c>
      <c r="S11" s="156">
        <v>2028</v>
      </c>
      <c r="T11" s="156">
        <v>2029</v>
      </c>
    </row>
    <row r="12" spans="1:20" x14ac:dyDescent="0.3">
      <c r="A12" s="43" t="s">
        <v>84</v>
      </c>
      <c r="B12" s="50">
        <v>0.34</v>
      </c>
      <c r="C12" s="50">
        <v>0.37</v>
      </c>
      <c r="E12" s="145" t="s">
        <v>245</v>
      </c>
      <c r="F12" s="162"/>
      <c r="G12" s="162"/>
      <c r="H12" s="162"/>
      <c r="I12" s="162">
        <f t="shared" ref="I12:T12" si="0">VLOOKUP(I11, $A$36:$E$48, 3, FALSE)</f>
        <v>0.16311700056289719</v>
      </c>
      <c r="J12" s="162">
        <f t="shared" si="0"/>
        <v>0.1402412659122021</v>
      </c>
      <c r="K12" s="162">
        <f t="shared" si="0"/>
        <v>0.12299262454772461</v>
      </c>
      <c r="L12" s="162">
        <f t="shared" si="0"/>
        <v>0.10952220153472407</v>
      </c>
      <c r="M12" s="162">
        <f t="shared" si="0"/>
        <v>9.871114014954338E-2</v>
      </c>
      <c r="N12" s="162">
        <f t="shared" si="0"/>
        <v>8.9842667961032963E-2</v>
      </c>
      <c r="O12" s="162">
        <f t="shared" si="0"/>
        <v>8.2436364993048031E-2</v>
      </c>
      <c r="P12" s="162">
        <f t="shared" si="0"/>
        <v>7.6158162880621147E-2</v>
      </c>
      <c r="Q12" s="162">
        <f t="shared" si="0"/>
        <v>7.0768559406533399E-2</v>
      </c>
      <c r="R12" s="162">
        <f t="shared" si="0"/>
        <v>6.6091368470639469E-2</v>
      </c>
      <c r="S12" s="162">
        <f t="shared" si="0"/>
        <v>6.1994093963494701E-2</v>
      </c>
      <c r="T12" s="162">
        <f t="shared" si="0"/>
        <v>5.837517771132323E-2</v>
      </c>
    </row>
    <row r="13" spans="1:20" x14ac:dyDescent="0.3">
      <c r="A13" s="43" t="s">
        <v>82</v>
      </c>
      <c r="B13" s="50">
        <v>0.15</v>
      </c>
      <c r="C13" s="50">
        <v>0.04</v>
      </c>
      <c r="E13" s="41" t="s">
        <v>175</v>
      </c>
      <c r="F13" s="42">
        <f>'RES PACE Data'!B$69*('NR PACE Data'!$B$6)*$B$9*$B$11</f>
        <v>8.9851007429408565</v>
      </c>
      <c r="G13" s="42">
        <f>'RES PACE Data'!C$69*('NR PACE Data'!$B$6)*$B$9*$B$11</f>
        <v>8.9851007429408565</v>
      </c>
      <c r="H13" s="42">
        <f>'RES PACE Data'!D$69*('NR PACE Data'!$B$6)*$B$9*$B$11</f>
        <v>8.9851007429408565</v>
      </c>
      <c r="I13" s="42">
        <f>H13*(1+I$12)</f>
        <v>10.450723425884828</v>
      </c>
      <c r="J13" s="42">
        <f t="shared" ref="J13:T13" si="1">I13*(1+J$12)</f>
        <v>11.916346108829222</v>
      </c>
      <c r="K13" s="42">
        <f t="shared" si="1"/>
        <v>13.381968791773193</v>
      </c>
      <c r="L13" s="42">
        <f t="shared" si="1"/>
        <v>14.847591474717166</v>
      </c>
      <c r="M13" s="42">
        <f t="shared" si="1"/>
        <v>16.313214157661136</v>
      </c>
      <c r="N13" s="42">
        <f t="shared" si="1"/>
        <v>17.778836840605106</v>
      </c>
      <c r="O13" s="42">
        <f t="shared" si="1"/>
        <v>19.244459523549075</v>
      </c>
      <c r="P13" s="42">
        <f t="shared" si="1"/>
        <v>20.710082206493048</v>
      </c>
      <c r="Q13" s="42">
        <f t="shared" si="1"/>
        <v>22.175704889437444</v>
      </c>
      <c r="R13" s="42">
        <f t="shared" si="1"/>
        <v>23.641327572381414</v>
      </c>
      <c r="S13" s="42">
        <f t="shared" si="1"/>
        <v>25.106950255325383</v>
      </c>
      <c r="T13" s="42">
        <f t="shared" si="1"/>
        <v>26.572572938269357</v>
      </c>
    </row>
    <row r="14" spans="1:20" x14ac:dyDescent="0.3">
      <c r="A14" s="43" t="s">
        <v>27</v>
      </c>
      <c r="B14" s="41"/>
      <c r="C14" s="41"/>
      <c r="E14" s="41" t="s">
        <v>229</v>
      </c>
      <c r="F14" s="42">
        <f>'RES PACE Data'!B$70*('NR PACE Data'!$B$6)*$B$9*$B$11</f>
        <v>1.3748932929913606E-2</v>
      </c>
      <c r="G14" s="42">
        <f>'RES PACE Data'!C$70*('NR PACE Data'!$B$6)*$B$9*$B$11</f>
        <v>1.3748932929913606E-2</v>
      </c>
      <c r="H14" s="42">
        <f>'RES PACE Data'!D$70*('NR PACE Data'!$B$6)*$B$9*$B$11</f>
        <v>1.3748932929913606E-2</v>
      </c>
      <c r="I14" s="42">
        <f t="shared" ref="I14:T14" si="2">H14*(1+I$12)</f>
        <v>1.5991617630381559E-2</v>
      </c>
      <c r="J14" s="42">
        <f t="shared" si="2"/>
        <v>1.8234302330850157E-2</v>
      </c>
      <c r="K14" s="42">
        <f t="shared" si="2"/>
        <v>2.047698703131811E-2</v>
      </c>
      <c r="L14" s="42">
        <f t="shared" si="2"/>
        <v>2.2719671731786066E-2</v>
      </c>
      <c r="M14" s="42">
        <f t="shared" si="2"/>
        <v>2.4962356432254019E-2</v>
      </c>
      <c r="N14" s="42">
        <f t="shared" si="2"/>
        <v>2.7205041132721972E-2</v>
      </c>
      <c r="O14" s="42">
        <f t="shared" si="2"/>
        <v>2.9447725833189924E-2</v>
      </c>
      <c r="P14" s="42">
        <f t="shared" si="2"/>
        <v>3.1690410533657877E-2</v>
      </c>
      <c r="Q14" s="42">
        <f t="shared" si="2"/>
        <v>3.3933095234126479E-2</v>
      </c>
      <c r="R14" s="42">
        <f t="shared" si="2"/>
        <v>3.6175779934594428E-2</v>
      </c>
      <c r="S14" s="42">
        <f t="shared" si="2"/>
        <v>3.8418464635062377E-2</v>
      </c>
      <c r="T14" s="42">
        <f t="shared" si="2"/>
        <v>4.0661149335530333E-2</v>
      </c>
    </row>
    <row r="15" spans="1:20" x14ac:dyDescent="0.3">
      <c r="A15" s="53" t="s">
        <v>85</v>
      </c>
      <c r="B15" s="51">
        <v>0.2664576802507837</v>
      </c>
      <c r="C15" s="41"/>
      <c r="D15" s="36"/>
      <c r="E15" s="161" t="s">
        <v>239</v>
      </c>
      <c r="F15" s="160"/>
      <c r="G15" s="160"/>
      <c r="H15" s="160"/>
      <c r="I15" s="160"/>
      <c r="J15" s="160"/>
      <c r="K15" s="160"/>
      <c r="L15" s="160"/>
      <c r="M15" s="160"/>
      <c r="N15" s="160"/>
      <c r="O15" s="160"/>
      <c r="P15" s="160"/>
      <c r="Q15" s="160"/>
      <c r="R15" s="160"/>
      <c r="S15" s="160"/>
      <c r="T15" s="160"/>
    </row>
    <row r="16" spans="1:20" x14ac:dyDescent="0.3">
      <c r="A16" s="53" t="s">
        <v>40</v>
      </c>
      <c r="B16" s="51">
        <v>0.21943573667711599</v>
      </c>
      <c r="C16" s="41"/>
      <c r="D16" s="36"/>
    </row>
    <row r="17" spans="1:20" x14ac:dyDescent="0.3">
      <c r="A17" s="54" t="s">
        <v>86</v>
      </c>
      <c r="B17" s="52">
        <v>0.13479623824451412</v>
      </c>
      <c r="C17" s="41"/>
      <c r="D17" s="36"/>
    </row>
    <row r="18" spans="1:20" ht="18" x14ac:dyDescent="0.35">
      <c r="A18" s="54" t="s">
        <v>87</v>
      </c>
      <c r="B18" s="52">
        <v>8.7774294670846395E-2</v>
      </c>
      <c r="C18" s="41"/>
      <c r="D18" s="36"/>
      <c r="E18" s="4" t="s">
        <v>231</v>
      </c>
      <c r="J18" s="6" t="s">
        <v>244</v>
      </c>
    </row>
    <row r="19" spans="1:20" x14ac:dyDescent="0.3">
      <c r="A19" s="54" t="s">
        <v>88</v>
      </c>
      <c r="B19" s="52">
        <v>6.8965517241379309E-2</v>
      </c>
      <c r="C19" s="41"/>
      <c r="D19" s="36"/>
      <c r="E19" s="41"/>
      <c r="F19" s="155">
        <v>2015</v>
      </c>
      <c r="G19" s="156">
        <v>2016</v>
      </c>
      <c r="H19" s="156">
        <v>2017</v>
      </c>
      <c r="I19" s="156">
        <v>2018</v>
      </c>
      <c r="J19" s="156">
        <v>2019</v>
      </c>
      <c r="K19" s="156">
        <v>2020</v>
      </c>
      <c r="L19" s="156">
        <v>2021</v>
      </c>
      <c r="M19" s="156">
        <v>2022</v>
      </c>
      <c r="N19" s="156">
        <v>2023</v>
      </c>
      <c r="O19" s="156">
        <v>2024</v>
      </c>
      <c r="P19" s="156">
        <v>2025</v>
      </c>
      <c r="Q19" s="156">
        <v>2026</v>
      </c>
      <c r="R19" s="156">
        <v>2027</v>
      </c>
      <c r="S19" s="156">
        <v>2028</v>
      </c>
      <c r="T19" s="156">
        <v>2029</v>
      </c>
    </row>
    <row r="20" spans="1:20" x14ac:dyDescent="0.3">
      <c r="A20" s="54" t="s">
        <v>89</v>
      </c>
      <c r="B20" s="52">
        <v>7.5235109717868343E-2</v>
      </c>
      <c r="C20" s="41"/>
      <c r="E20" s="145" t="s">
        <v>245</v>
      </c>
      <c r="F20" s="162"/>
      <c r="G20" s="162"/>
      <c r="H20" s="162"/>
      <c r="I20" s="162">
        <f>VLOOKUP(I19, $A$36:$E$48, 5, FALSE)</f>
        <v>0.17277122292218727</v>
      </c>
      <c r="J20" s="162">
        <f t="shared" ref="J20:T20" si="3">VLOOKUP(J19, $A$36:$E$48, 5, FALSE)</f>
        <v>0.14731877756325593</v>
      </c>
      <c r="K20" s="162">
        <f t="shared" si="3"/>
        <v>0.12840265534229048</v>
      </c>
      <c r="L20" s="162">
        <f t="shared" si="3"/>
        <v>0.11379152178917529</v>
      </c>
      <c r="M20" s="162">
        <f t="shared" si="3"/>
        <v>0.10216590767932388</v>
      </c>
      <c r="N20" s="162">
        <f t="shared" si="3"/>
        <v>9.2695579646882811E-2</v>
      </c>
      <c r="O20" s="162">
        <f t="shared" si="3"/>
        <v>8.4832025839071054E-2</v>
      </c>
      <c r="P20" s="162">
        <f t="shared" si="3"/>
        <v>7.8198305192449941E-2</v>
      </c>
      <c r="Q20" s="162">
        <f t="shared" si="3"/>
        <v>7.2526830005041273E-2</v>
      </c>
      <c r="R20" s="162">
        <f t="shared" si="3"/>
        <v>6.7622392257293412E-2</v>
      </c>
      <c r="S20" s="162">
        <f t="shared" si="3"/>
        <v>6.3339241240799732E-2</v>
      </c>
      <c r="T20" s="162">
        <f t="shared" si="3"/>
        <v>5.9566353600302539E-2</v>
      </c>
    </row>
    <row r="21" spans="1:20" x14ac:dyDescent="0.3">
      <c r="A21" s="54" t="s">
        <v>90</v>
      </c>
      <c r="B21" s="52">
        <v>6.2695924764890276E-2</v>
      </c>
      <c r="C21" s="41"/>
      <c r="E21" s="41" t="s">
        <v>175</v>
      </c>
      <c r="F21" s="42">
        <f>'RES PACE Data'!B69</f>
        <v>544.55156017823367</v>
      </c>
      <c r="G21" s="42">
        <f>'RES PACE Data'!C69</f>
        <v>544.55156017823367</v>
      </c>
      <c r="H21" s="42">
        <f>'RES PACE Data'!D69</f>
        <v>544.55156017823367</v>
      </c>
      <c r="I21" s="42">
        <f t="shared" ref="I21:T21" si="4">H21*(1+I$20)</f>
        <v>638.63439917441224</v>
      </c>
      <c r="J21" s="42">
        <f t="shared" si="4"/>
        <v>732.71723817063105</v>
      </c>
      <c r="K21" s="42">
        <f t="shared" si="4"/>
        <v>826.80007716680961</v>
      </c>
      <c r="L21" s="42">
        <f t="shared" si="4"/>
        <v>920.88291616302854</v>
      </c>
      <c r="M21" s="42">
        <f t="shared" si="4"/>
        <v>1014.9657551592072</v>
      </c>
      <c r="N21" s="42">
        <f t="shared" si="4"/>
        <v>1109.0485941554261</v>
      </c>
      <c r="O21" s="42">
        <f t="shared" si="4"/>
        <v>1203.1314331516048</v>
      </c>
      <c r="P21" s="42">
        <f t="shared" si="4"/>
        <v>1297.2142721478237</v>
      </c>
      <c r="Q21" s="42">
        <f t="shared" si="4"/>
        <v>1391.2971111440022</v>
      </c>
      <c r="R21" s="42">
        <f t="shared" si="4"/>
        <v>1485.3799501402211</v>
      </c>
      <c r="S21" s="42">
        <f t="shared" si="4"/>
        <v>1579.4627891363998</v>
      </c>
      <c r="T21" s="42">
        <f t="shared" si="4"/>
        <v>1673.5456281326187</v>
      </c>
    </row>
    <row r="22" spans="1:20" x14ac:dyDescent="0.3">
      <c r="A22" s="54" t="s">
        <v>91</v>
      </c>
      <c r="B22" s="52">
        <v>5.329153605015674E-2</v>
      </c>
      <c r="C22" s="41"/>
      <c r="E22" s="41" t="s">
        <v>229</v>
      </c>
      <c r="F22" s="154">
        <f>'RES PACE Data'!B70</f>
        <v>0.83326866241900643</v>
      </c>
      <c r="G22" s="154">
        <f>'RES PACE Data'!C70</f>
        <v>0.83326866241900643</v>
      </c>
      <c r="H22" s="154">
        <f>'RES PACE Data'!D70</f>
        <v>0.83326866241900643</v>
      </c>
      <c r="I22" s="154">
        <f t="shared" ref="I22:T22" si="5">H22*(1+I$20)</f>
        <v>0.97723350824787347</v>
      </c>
      <c r="J22" s="154">
        <f t="shared" si="5"/>
        <v>1.121198354076802</v>
      </c>
      <c r="K22" s="154">
        <f t="shared" si="5"/>
        <v>1.2651631999056692</v>
      </c>
      <c r="L22" s="154">
        <f t="shared" si="5"/>
        <v>1.409128045734598</v>
      </c>
      <c r="M22" s="154">
        <f t="shared" si="5"/>
        <v>1.5530928915634652</v>
      </c>
      <c r="N22" s="154">
        <f t="shared" si="5"/>
        <v>1.6970577373923941</v>
      </c>
      <c r="O22" s="154">
        <f t="shared" si="5"/>
        <v>1.8410225832212612</v>
      </c>
      <c r="P22" s="154">
        <f t="shared" si="5"/>
        <v>1.9849874290501901</v>
      </c>
      <c r="Q22" s="154">
        <f t="shared" si="5"/>
        <v>2.1289522748790572</v>
      </c>
      <c r="R22" s="154">
        <f t="shared" si="5"/>
        <v>2.2729171207079859</v>
      </c>
      <c r="S22" s="154">
        <f t="shared" si="5"/>
        <v>2.4168819665368533</v>
      </c>
      <c r="T22" s="154">
        <f t="shared" si="5"/>
        <v>2.5608468123657824</v>
      </c>
    </row>
    <row r="23" spans="1:20" x14ac:dyDescent="0.3">
      <c r="A23" s="54" t="s">
        <v>92</v>
      </c>
      <c r="B23" s="52">
        <v>3.1347962382445138E-2</v>
      </c>
      <c r="C23" s="41"/>
    </row>
    <row r="24" spans="1:20" ht="28.8" x14ac:dyDescent="0.3">
      <c r="A24" s="59" t="s">
        <v>93</v>
      </c>
      <c r="B24" s="59" t="s">
        <v>96</v>
      </c>
      <c r="C24" s="59" t="s">
        <v>96</v>
      </c>
    </row>
    <row r="25" spans="1:20" x14ac:dyDescent="0.3">
      <c r="A25" s="53">
        <v>2010</v>
      </c>
      <c r="B25" s="49">
        <v>4.7799999999999994</v>
      </c>
      <c r="C25" s="49">
        <v>8.17</v>
      </c>
    </row>
    <row r="26" spans="1:20" x14ac:dyDescent="0.3">
      <c r="A26" s="53">
        <v>2011</v>
      </c>
      <c r="B26" s="49">
        <v>6.4</v>
      </c>
      <c r="C26" s="49">
        <v>6.4</v>
      </c>
    </row>
    <row r="27" spans="1:20" x14ac:dyDescent="0.3">
      <c r="A27" s="53">
        <v>2012</v>
      </c>
      <c r="B27" s="49">
        <v>13.61</v>
      </c>
      <c r="C27" s="49">
        <v>6.43</v>
      </c>
    </row>
    <row r="28" spans="1:20" x14ac:dyDescent="0.3">
      <c r="A28" s="53">
        <v>2013</v>
      </c>
      <c r="B28" s="49">
        <v>41.339999999999996</v>
      </c>
      <c r="C28" s="49">
        <v>179</v>
      </c>
    </row>
    <row r="29" spans="1:20" x14ac:dyDescent="0.3">
      <c r="A29" s="53">
        <v>2014</v>
      </c>
      <c r="B29" s="49">
        <v>45.47</v>
      </c>
      <c r="C29" s="49">
        <v>350</v>
      </c>
    </row>
    <row r="30" spans="1:20" x14ac:dyDescent="0.3">
      <c r="A30" s="53">
        <v>2015</v>
      </c>
      <c r="B30" s="49">
        <v>92.690000000000012</v>
      </c>
      <c r="C30" s="49">
        <v>1250</v>
      </c>
    </row>
    <row r="31" spans="1:20" x14ac:dyDescent="0.3">
      <c r="A31" s="53">
        <v>2016</v>
      </c>
      <c r="B31" s="49">
        <v>172.32</v>
      </c>
      <c r="C31" s="49">
        <v>1600</v>
      </c>
    </row>
    <row r="34" spans="1:5" ht="18" x14ac:dyDescent="0.35">
      <c r="A34" s="171" t="s">
        <v>254</v>
      </c>
      <c r="B34" s="192" t="s">
        <v>80</v>
      </c>
      <c r="C34" s="192"/>
      <c r="D34" s="192" t="s">
        <v>49</v>
      </c>
      <c r="E34" s="192"/>
    </row>
    <row r="35" spans="1:5" ht="28.8" x14ac:dyDescent="0.3">
      <c r="A35" s="133" t="s">
        <v>94</v>
      </c>
      <c r="B35" s="133" t="s">
        <v>97</v>
      </c>
      <c r="C35" s="132" t="s">
        <v>246</v>
      </c>
      <c r="D35" s="133" t="s">
        <v>97</v>
      </c>
      <c r="E35" s="132" t="s">
        <v>246</v>
      </c>
    </row>
    <row r="36" spans="1:5" x14ac:dyDescent="0.3">
      <c r="A36" s="54">
        <v>2017</v>
      </c>
      <c r="B36" s="131">
        <f t="shared" ref="B36:B48" si="6">TREND($B$25:$B$31, $A$25:$A$31,A36)</f>
        <v>154.80999999999767</v>
      </c>
      <c r="C36" s="145"/>
      <c r="D36" s="131">
        <f t="shared" ref="D36:D48" si="7">TREND($C$25:$C$31, $A$25:$A$31,A36)</f>
        <v>1572.3228571428917</v>
      </c>
      <c r="E36" s="145"/>
    </row>
    <row r="37" spans="1:5" x14ac:dyDescent="0.3">
      <c r="A37" s="54">
        <v>2018</v>
      </c>
      <c r="B37" s="131">
        <f t="shared" si="6"/>
        <v>180.06214285713941</v>
      </c>
      <c r="C37" s="162">
        <f t="shared" ref="C37:C43" si="8">(B37-B36)/B36</f>
        <v>0.16311700056289719</v>
      </c>
      <c r="D37" s="131">
        <f t="shared" si="7"/>
        <v>1843.9749999999767</v>
      </c>
      <c r="E37" s="162">
        <f t="shared" ref="E37:E43" si="9">(D37-D36)/D36</f>
        <v>0.17277122292218727</v>
      </c>
    </row>
    <row r="38" spans="1:5" x14ac:dyDescent="0.3">
      <c r="A38" s="54">
        <v>2019</v>
      </c>
      <c r="B38" s="131">
        <f t="shared" si="6"/>
        <v>205.31428571428842</v>
      </c>
      <c r="C38" s="162">
        <f t="shared" si="8"/>
        <v>0.1402412659122021</v>
      </c>
      <c r="D38" s="131">
        <f t="shared" si="7"/>
        <v>2115.6271428571781</v>
      </c>
      <c r="E38" s="162">
        <f t="shared" si="9"/>
        <v>0.14731877756325593</v>
      </c>
    </row>
    <row r="39" spans="1:5" x14ac:dyDescent="0.3">
      <c r="A39" s="54">
        <v>2020</v>
      </c>
      <c r="B39" s="131">
        <f t="shared" si="6"/>
        <v>230.56642857143015</v>
      </c>
      <c r="C39" s="162">
        <f t="shared" si="8"/>
        <v>0.12299262454772461</v>
      </c>
      <c r="D39" s="131">
        <f t="shared" si="7"/>
        <v>2387.2792857142631</v>
      </c>
      <c r="E39" s="162">
        <f t="shared" si="9"/>
        <v>0.12840265534229048</v>
      </c>
    </row>
    <row r="40" spans="1:5" x14ac:dyDescent="0.3">
      <c r="A40" s="54">
        <v>2021</v>
      </c>
      <c r="B40" s="131">
        <f t="shared" si="6"/>
        <v>255.81857142857189</v>
      </c>
      <c r="C40" s="162">
        <f t="shared" si="8"/>
        <v>0.10952220153472407</v>
      </c>
      <c r="D40" s="131">
        <f t="shared" si="7"/>
        <v>2658.9314285714645</v>
      </c>
      <c r="E40" s="162">
        <f t="shared" si="9"/>
        <v>0.11379152178917529</v>
      </c>
    </row>
    <row r="41" spans="1:5" x14ac:dyDescent="0.3">
      <c r="A41" s="54">
        <v>2022</v>
      </c>
      <c r="B41" s="131">
        <f t="shared" si="6"/>
        <v>281.07071428571362</v>
      </c>
      <c r="C41" s="162">
        <f t="shared" si="8"/>
        <v>9.871114014954338E-2</v>
      </c>
      <c r="D41" s="131">
        <f t="shared" si="7"/>
        <v>2930.5835714285495</v>
      </c>
      <c r="E41" s="162">
        <f t="shared" si="9"/>
        <v>0.10216590767932388</v>
      </c>
    </row>
    <row r="42" spans="1:5" x14ac:dyDescent="0.3">
      <c r="A42" s="54">
        <v>2023</v>
      </c>
      <c r="B42" s="131">
        <f t="shared" si="6"/>
        <v>306.32285714285536</v>
      </c>
      <c r="C42" s="162">
        <f t="shared" si="8"/>
        <v>8.9842667961032963E-2</v>
      </c>
      <c r="D42" s="131">
        <f t="shared" si="7"/>
        <v>3202.2357142857509</v>
      </c>
      <c r="E42" s="162">
        <f t="shared" si="9"/>
        <v>9.2695579646882811E-2</v>
      </c>
    </row>
    <row r="43" spans="1:5" x14ac:dyDescent="0.3">
      <c r="A43" s="54">
        <v>2024</v>
      </c>
      <c r="B43" s="131">
        <f t="shared" si="6"/>
        <v>331.57499999999709</v>
      </c>
      <c r="C43" s="162">
        <f t="shared" si="8"/>
        <v>8.2436364993048031E-2</v>
      </c>
      <c r="D43" s="131">
        <f t="shared" si="7"/>
        <v>3473.8878571428359</v>
      </c>
      <c r="E43" s="162">
        <f t="shared" si="9"/>
        <v>8.4832025839071054E-2</v>
      </c>
    </row>
    <row r="44" spans="1:5" x14ac:dyDescent="0.3">
      <c r="A44" s="54">
        <v>2025</v>
      </c>
      <c r="B44" s="131">
        <f t="shared" si="6"/>
        <v>356.82714285713882</v>
      </c>
      <c r="C44" s="162">
        <f t="shared" ref="C44:E48" si="10">(B44-B43)/B43</f>
        <v>7.6158162880621147E-2</v>
      </c>
      <c r="D44" s="131">
        <f t="shared" si="7"/>
        <v>3745.5400000000373</v>
      </c>
      <c r="E44" s="162">
        <f t="shared" si="10"/>
        <v>7.8198305192449941E-2</v>
      </c>
    </row>
    <row r="45" spans="1:5" x14ac:dyDescent="0.3">
      <c r="A45" s="54">
        <v>2026</v>
      </c>
      <c r="B45" s="131">
        <f t="shared" si="6"/>
        <v>382.07928571428783</v>
      </c>
      <c r="C45" s="162">
        <f t="shared" si="10"/>
        <v>7.0768559406533399E-2</v>
      </c>
      <c r="D45" s="131">
        <f t="shared" si="7"/>
        <v>4017.1921428571222</v>
      </c>
      <c r="E45" s="162">
        <f t="shared" si="10"/>
        <v>7.2526830005041273E-2</v>
      </c>
    </row>
    <row r="46" spans="1:5" x14ac:dyDescent="0.3">
      <c r="A46" s="54">
        <v>2027</v>
      </c>
      <c r="B46" s="131">
        <f t="shared" si="6"/>
        <v>407.33142857142957</v>
      </c>
      <c r="C46" s="162">
        <f t="shared" si="10"/>
        <v>6.6091368470639469E-2</v>
      </c>
      <c r="D46" s="131">
        <f t="shared" si="7"/>
        <v>4288.8442857143236</v>
      </c>
      <c r="E46" s="162">
        <f t="shared" si="10"/>
        <v>6.7622392257293412E-2</v>
      </c>
    </row>
    <row r="47" spans="1:5" x14ac:dyDescent="0.3">
      <c r="A47" s="54">
        <v>2028</v>
      </c>
      <c r="B47" s="131">
        <f t="shared" si="6"/>
        <v>432.5835714285713</v>
      </c>
      <c r="C47" s="162">
        <f t="shared" si="10"/>
        <v>6.1994093963494701E-2</v>
      </c>
      <c r="D47" s="131">
        <f t="shared" si="7"/>
        <v>4560.4964285714086</v>
      </c>
      <c r="E47" s="162">
        <f t="shared" si="10"/>
        <v>6.3339241240799732E-2</v>
      </c>
    </row>
    <row r="48" spans="1:5" x14ac:dyDescent="0.3">
      <c r="A48" s="54">
        <v>2029</v>
      </c>
      <c r="B48" s="131">
        <f t="shared" si="6"/>
        <v>457.83571428571304</v>
      </c>
      <c r="C48" s="162">
        <f t="shared" si="10"/>
        <v>5.837517771132323E-2</v>
      </c>
      <c r="D48" s="131">
        <f t="shared" si="7"/>
        <v>4832.14857142861</v>
      </c>
      <c r="E48" s="162">
        <f t="shared" si="10"/>
        <v>5.9566353600302539E-2</v>
      </c>
    </row>
  </sheetData>
  <mergeCells count="2">
    <mergeCell ref="B34:C34"/>
    <mergeCell ref="D34:E34"/>
  </mergeCells>
  <hyperlinks>
    <hyperlink ref="B2" r:id="rId1"/>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E36"/>
  <sheetViews>
    <sheetView zoomScale="115" zoomScaleNormal="115" workbookViewId="0">
      <pane xSplit="1" ySplit="3" topLeftCell="B6" activePane="bottomRight" state="frozen"/>
      <selection pane="topRight" activeCell="B1" sqref="B1"/>
      <selection pane="bottomLeft" activeCell="A4" sqref="A4"/>
      <selection pane="bottomRight" activeCell="H31" sqref="H31"/>
    </sheetView>
  </sheetViews>
  <sheetFormatPr defaultColWidth="8.88671875" defaultRowHeight="14.4" x14ac:dyDescent="0.3"/>
  <cols>
    <col min="1" max="1" width="27.33203125" style="2" bestFit="1" customWidth="1"/>
    <col min="2" max="2" width="25.109375" style="2" customWidth="1"/>
    <col min="3" max="3" width="14.33203125" style="2" customWidth="1"/>
    <col min="4" max="4" width="11.33203125" style="2" customWidth="1"/>
    <col min="5" max="16384" width="8.88671875" style="2"/>
  </cols>
  <sheetData>
    <row r="1" spans="1:5" ht="18" x14ac:dyDescent="0.35">
      <c r="A1" s="37" t="s">
        <v>34</v>
      </c>
      <c r="B1" s="8"/>
      <c r="C1" s="8"/>
      <c r="D1" s="8"/>
    </row>
    <row r="2" spans="1:5" ht="18" x14ac:dyDescent="0.35">
      <c r="A2" s="4"/>
      <c r="B2" s="8"/>
      <c r="C2" s="8"/>
      <c r="D2" s="8"/>
    </row>
    <row r="3" spans="1:5" ht="15" thickBot="1" x14ac:dyDescent="0.35">
      <c r="A3" s="11" t="s">
        <v>55</v>
      </c>
      <c r="B3" s="11" t="s">
        <v>56</v>
      </c>
      <c r="C3" s="11" t="s">
        <v>25</v>
      </c>
      <c r="D3" s="11" t="s">
        <v>1</v>
      </c>
    </row>
    <row r="4" spans="1:5" x14ac:dyDescent="0.3">
      <c r="A4" s="38" t="s">
        <v>9</v>
      </c>
      <c r="B4" s="129" t="s">
        <v>8</v>
      </c>
      <c r="C4" s="38" t="s">
        <v>22</v>
      </c>
      <c r="D4" s="129" t="s">
        <v>2</v>
      </c>
    </row>
    <row r="5" spans="1:5" x14ac:dyDescent="0.3">
      <c r="A5" s="38" t="s">
        <v>10</v>
      </c>
      <c r="B5" s="129" t="s">
        <v>8</v>
      </c>
      <c r="C5" s="38" t="s">
        <v>22</v>
      </c>
      <c r="D5" s="129" t="s">
        <v>5</v>
      </c>
    </row>
    <row r="6" spans="1:5" x14ac:dyDescent="0.3">
      <c r="A6" s="38" t="s">
        <v>180</v>
      </c>
      <c r="B6" s="129" t="s">
        <v>8</v>
      </c>
      <c r="C6" s="38" t="s">
        <v>22</v>
      </c>
      <c r="D6" s="129" t="s">
        <v>5</v>
      </c>
    </row>
    <row r="7" spans="1:5" x14ac:dyDescent="0.3">
      <c r="A7" s="38" t="s">
        <v>17</v>
      </c>
      <c r="B7" s="129" t="s">
        <v>8</v>
      </c>
      <c r="C7" s="38" t="s">
        <v>22</v>
      </c>
      <c r="D7" s="38" t="s">
        <v>13</v>
      </c>
      <c r="E7" s="35"/>
    </row>
    <row r="8" spans="1:5" x14ac:dyDescent="0.3">
      <c r="A8" s="38" t="s">
        <v>181</v>
      </c>
      <c r="B8" s="38" t="s">
        <v>6</v>
      </c>
      <c r="C8" s="38" t="s">
        <v>22</v>
      </c>
      <c r="D8" s="38" t="s">
        <v>13</v>
      </c>
      <c r="E8" s="35"/>
    </row>
    <row r="9" spans="1:5" x14ac:dyDescent="0.3">
      <c r="A9" s="130" t="s">
        <v>18</v>
      </c>
      <c r="B9" s="130" t="s">
        <v>6</v>
      </c>
      <c r="C9" s="130" t="s">
        <v>22</v>
      </c>
      <c r="D9" s="130" t="s">
        <v>2</v>
      </c>
      <c r="E9" s="35"/>
    </row>
    <row r="10" spans="1:5" x14ac:dyDescent="0.3">
      <c r="A10" s="38" t="s">
        <v>31</v>
      </c>
      <c r="B10" s="38" t="s">
        <v>6</v>
      </c>
      <c r="C10" s="38" t="s">
        <v>24</v>
      </c>
      <c r="D10" s="38" t="s">
        <v>15</v>
      </c>
      <c r="E10" s="35"/>
    </row>
    <row r="11" spans="1:5" x14ac:dyDescent="0.3">
      <c r="A11" s="38" t="s">
        <v>134</v>
      </c>
      <c r="B11" s="38" t="s">
        <v>6</v>
      </c>
      <c r="C11" s="38" t="s">
        <v>23</v>
      </c>
      <c r="D11" s="38" t="s">
        <v>14</v>
      </c>
      <c r="E11" s="35"/>
    </row>
    <row r="12" spans="1:5" x14ac:dyDescent="0.3">
      <c r="A12" s="38" t="s">
        <v>30</v>
      </c>
      <c r="B12" s="38" t="s">
        <v>6</v>
      </c>
      <c r="C12" s="38" t="s">
        <v>22</v>
      </c>
      <c r="D12" s="38" t="s">
        <v>21</v>
      </c>
      <c r="E12" s="35"/>
    </row>
    <row r="13" spans="1:5" x14ac:dyDescent="0.3">
      <c r="A13" s="38" t="s">
        <v>11</v>
      </c>
      <c r="B13" s="38" t="s">
        <v>6</v>
      </c>
      <c r="C13" s="38" t="s">
        <v>24</v>
      </c>
      <c r="D13" s="38" t="s">
        <v>16</v>
      </c>
      <c r="E13" s="35"/>
    </row>
    <row r="14" spans="1:5" x14ac:dyDescent="0.3">
      <c r="A14" s="38" t="s">
        <v>19</v>
      </c>
      <c r="B14" s="38" t="s">
        <v>6</v>
      </c>
      <c r="C14" s="38" t="s">
        <v>22</v>
      </c>
      <c r="D14" s="38" t="s">
        <v>2</v>
      </c>
      <c r="E14" s="35"/>
    </row>
    <row r="15" spans="1:5" x14ac:dyDescent="0.3">
      <c r="A15" s="38" t="s">
        <v>20</v>
      </c>
      <c r="B15" s="38" t="s">
        <v>6</v>
      </c>
      <c r="C15" s="38" t="s">
        <v>22</v>
      </c>
      <c r="D15" s="38" t="s">
        <v>13</v>
      </c>
      <c r="E15" s="35"/>
    </row>
    <row r="16" spans="1:5" x14ac:dyDescent="0.3">
      <c r="A16" s="38" t="s">
        <v>182</v>
      </c>
      <c r="B16" s="38" t="s">
        <v>183</v>
      </c>
      <c r="C16" s="38" t="s">
        <v>22</v>
      </c>
      <c r="D16" s="38" t="s">
        <v>14</v>
      </c>
      <c r="E16" s="35"/>
    </row>
    <row r="17" spans="1:5" x14ac:dyDescent="0.3">
      <c r="A17" s="38" t="s">
        <v>184</v>
      </c>
      <c r="B17" s="38" t="s">
        <v>183</v>
      </c>
      <c r="C17" s="38" t="s">
        <v>22</v>
      </c>
      <c r="D17" s="38" t="s">
        <v>14</v>
      </c>
      <c r="E17" s="35"/>
    </row>
    <row r="18" spans="1:5" x14ac:dyDescent="0.3">
      <c r="A18" s="38" t="s">
        <v>7</v>
      </c>
      <c r="B18" s="38" t="s">
        <v>183</v>
      </c>
      <c r="C18" s="38" t="s">
        <v>22</v>
      </c>
      <c r="D18" s="38" t="s">
        <v>14</v>
      </c>
      <c r="E18" s="35"/>
    </row>
    <row r="19" spans="1:5" x14ac:dyDescent="0.3">
      <c r="A19" s="38" t="s">
        <v>29</v>
      </c>
      <c r="B19" s="38" t="s">
        <v>183</v>
      </c>
      <c r="C19" s="38" t="s">
        <v>22</v>
      </c>
      <c r="D19" s="38" t="s">
        <v>14</v>
      </c>
      <c r="E19" s="35"/>
    </row>
    <row r="20" spans="1:5" x14ac:dyDescent="0.3">
      <c r="A20" s="38" t="s">
        <v>185</v>
      </c>
      <c r="B20" s="38" t="s">
        <v>183</v>
      </c>
      <c r="C20" s="38" t="s">
        <v>22</v>
      </c>
      <c r="D20" s="38" t="s">
        <v>14</v>
      </c>
    </row>
    <row r="22" spans="1:5" x14ac:dyDescent="0.3">
      <c r="A22" s="38"/>
      <c r="B22" s="38"/>
      <c r="C22" s="38"/>
      <c r="D22" s="38"/>
    </row>
    <row r="23" spans="1:5" ht="15" thickBot="1" x14ac:dyDescent="0.35">
      <c r="A23" s="13" t="s">
        <v>52</v>
      </c>
      <c r="B23" s="13" t="s">
        <v>54</v>
      </c>
      <c r="C23" s="13" t="s">
        <v>49</v>
      </c>
      <c r="D23" s="38"/>
    </row>
    <row r="24" spans="1:5" x14ac:dyDescent="0.3">
      <c r="A24" s="39" t="s">
        <v>54</v>
      </c>
      <c r="B24" s="15" t="s">
        <v>45</v>
      </c>
      <c r="C24" s="15" t="s">
        <v>33</v>
      </c>
      <c r="D24" s="38"/>
    </row>
    <row r="25" spans="1:5" x14ac:dyDescent="0.3">
      <c r="A25" s="40" t="s">
        <v>49</v>
      </c>
      <c r="B25" s="15" t="s">
        <v>46</v>
      </c>
      <c r="C25" s="15" t="s">
        <v>50</v>
      </c>
      <c r="D25" s="38"/>
    </row>
    <row r="26" spans="1:5" x14ac:dyDescent="0.3">
      <c r="A26" s="40"/>
      <c r="B26" s="15" t="s">
        <v>47</v>
      </c>
      <c r="C26" s="15" t="s">
        <v>51</v>
      </c>
      <c r="D26" s="38"/>
    </row>
    <row r="27" spans="1:5" x14ac:dyDescent="0.3">
      <c r="A27" s="40"/>
      <c r="B27" s="15" t="s">
        <v>42</v>
      </c>
      <c r="C27" s="15"/>
      <c r="D27" s="38"/>
    </row>
    <row r="28" spans="1:5" x14ac:dyDescent="0.3">
      <c r="A28" s="40"/>
      <c r="B28" s="15" t="s">
        <v>48</v>
      </c>
      <c r="C28" s="15"/>
      <c r="D28" s="38"/>
    </row>
    <row r="29" spans="1:5" x14ac:dyDescent="0.3">
      <c r="A29" s="40"/>
      <c r="B29" s="15" t="s">
        <v>38</v>
      </c>
      <c r="C29" s="15"/>
      <c r="D29" s="38"/>
    </row>
    <row r="30" spans="1:5" x14ac:dyDescent="0.3">
      <c r="A30" s="40"/>
      <c r="B30" s="15" t="s">
        <v>43</v>
      </c>
      <c r="C30" s="15"/>
      <c r="D30" s="38"/>
    </row>
    <row r="31" spans="1:5" x14ac:dyDescent="0.3">
      <c r="A31" s="40"/>
      <c r="B31" s="15" t="s">
        <v>39</v>
      </c>
      <c r="C31" s="15"/>
      <c r="D31" s="38"/>
    </row>
    <row r="32" spans="1:5" x14ac:dyDescent="0.3">
      <c r="A32" s="40"/>
      <c r="B32" s="15" t="s">
        <v>40</v>
      </c>
      <c r="C32" s="15"/>
      <c r="D32" s="38"/>
    </row>
    <row r="33" spans="1:4" x14ac:dyDescent="0.3">
      <c r="A33" s="40"/>
      <c r="B33" s="15" t="s">
        <v>44</v>
      </c>
      <c r="C33" s="15"/>
      <c r="D33" s="38"/>
    </row>
    <row r="34" spans="1:4" x14ac:dyDescent="0.3">
      <c r="A34" s="40"/>
      <c r="B34" s="15" t="s">
        <v>41</v>
      </c>
      <c r="C34" s="15"/>
      <c r="D34" s="38"/>
    </row>
    <row r="35" spans="1:4" x14ac:dyDescent="0.3">
      <c r="A35" s="40"/>
      <c r="B35" s="15" t="s">
        <v>53</v>
      </c>
      <c r="C35" s="15"/>
      <c r="D35" s="38"/>
    </row>
    <row r="36" spans="1:4" x14ac:dyDescent="0.3">
      <c r="A36"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Z5JXHV6S7NA6-3-113406</_dlc_DocId>
    <_dlc_DocIdUrl xmlns="8eef3743-c7b3-4cbe-8837-b6e805be353c">
      <Url>http://efilingspinternal/_layouts/DocIdRedir.aspx?ID=Z5JXHV6S7NA6-3-113406</Url>
      <Description>Z5JXHV6S7NA6-3-113406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A9928C-7B3E-4FDA-8DD9-6D942403E499}"/>
</file>

<file path=customXml/itemProps2.xml><?xml version="1.0" encoding="utf-8"?>
<ds:datastoreItem xmlns:ds="http://schemas.openxmlformats.org/officeDocument/2006/customXml" ds:itemID="{1732E59A-DF9E-4F2F-A27A-4F501A04DD12}"/>
</file>

<file path=customXml/itemProps3.xml><?xml version="1.0" encoding="utf-8"?>
<ds:datastoreItem xmlns:ds="http://schemas.openxmlformats.org/officeDocument/2006/customXml" ds:itemID="{B876DD93-C316-435A-80C5-99543FC16FF9}"/>
</file>

<file path=customXml/itemProps4.xml><?xml version="1.0" encoding="utf-8"?>
<ds:datastoreItem xmlns:ds="http://schemas.openxmlformats.org/officeDocument/2006/customXml" ds:itemID="{FB8D54FD-C7BB-4E9C-9AB6-BE5D159240C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9</vt:i4>
      </vt:variant>
      <vt:variant>
        <vt:lpstr>Charts</vt:lpstr>
      </vt:variant>
      <vt:variant>
        <vt:i4>2</vt:i4>
      </vt:variant>
      <vt:variant>
        <vt:lpstr>Named Ranges</vt:lpstr>
      </vt:variant>
      <vt:variant>
        <vt:i4>6</vt:i4>
      </vt:variant>
    </vt:vector>
  </HeadingPairs>
  <TitlesOfParts>
    <vt:vector size="17" baseType="lpstr">
      <vt:lpstr>Home</vt:lpstr>
      <vt:lpstr>Program Analysis</vt:lpstr>
      <vt:lpstr>SB 350 Potential</vt:lpstr>
      <vt:lpstr>Reference</vt:lpstr>
      <vt:lpstr>Conservative</vt:lpstr>
      <vt:lpstr>Aggressive</vt:lpstr>
      <vt:lpstr>RES PACE Data</vt:lpstr>
      <vt:lpstr>NR PACE Data</vt:lpstr>
      <vt:lpstr>Look-up</vt:lpstr>
      <vt:lpstr>Graph (electricity)</vt:lpstr>
      <vt:lpstr>Graph (gas)</vt:lpstr>
      <vt:lpstr>Bldg_Sectors</vt:lpstr>
      <vt:lpstr>Non_Residential</vt:lpstr>
      <vt:lpstr>NR_BldgTypes</vt:lpstr>
      <vt:lpstr>Programs</vt:lpstr>
      <vt:lpstr>RES_BldgTypes</vt:lpstr>
      <vt:lpstr>Residential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A12 - PACE Financing</dc:title>
  <dc:creator/>
  <cp:lastModifiedBy/>
  <dcterms:created xsi:type="dcterms:W3CDTF">2017-08-31T17:27:05Z</dcterms:created>
  <dcterms:modified xsi:type="dcterms:W3CDTF">2017-09-01T02:52:38Z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877ec86c-7d52-4e9f-8b97-a1b7b9a3c37a</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http://efilingspinternal/PendingDocuments/17-IEPR-06/20171025T140058_Program_Workbook_A12_PACE.xlsx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2493000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